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tables/table15.xml" ContentType="application/vnd.openxmlformats-officedocument.spreadsheetml.table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tables/table16.xml" ContentType="application/vnd.openxmlformats-officedocument.spreadsheetml.table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tables/table17.xml" ContentType="application/vnd.openxmlformats-officedocument.spreadsheetml.table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tables/table18.xml" ContentType="application/vnd.openxmlformats-officedocument.spreadsheetml.table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tables/table19.xml" ContentType="application/vnd.openxmlformats-officedocument.spreadsheetml.table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tables/table20.xml" ContentType="application/vnd.openxmlformats-officedocument.spreadsheetml.table+xml"/>
  <Override PartName="/xl/comments19.xml" ContentType="application/vnd.openxmlformats-officedocument.spreadsheetml.comments+xml"/>
  <Override PartName="/xl/tables/table21.xml" ContentType="application/vnd.openxmlformats-officedocument.spreadsheetml.table+xml"/>
  <Override PartName="/xl/comments20.xml" ContentType="application/vnd.openxmlformats-officedocument.spreadsheetml.comments+xml"/>
  <Override PartName="/xl/tables/table22.xml" ContentType="application/vnd.openxmlformats-officedocument.spreadsheetml.table+xml"/>
  <Override PartName="/xl/comments21.xml" ContentType="application/vnd.openxmlformats-officedocument.spreadsheetml.comments+xml"/>
  <Override PartName="/xl/threadedComments/threadedComment19.xml" ContentType="application/vnd.ms-excel.threadedcomments+xml"/>
  <Override PartName="/xl/tables/table23.xml" ContentType="application/vnd.openxmlformats-officedocument.spreadsheetml.table+xml"/>
  <Override PartName="/xl/comments22.xml" ContentType="application/vnd.openxmlformats-officedocument.spreadsheetml.comments+xml"/>
  <Override PartName="/xl/tables/table24.xml" ContentType="application/vnd.openxmlformats-officedocument.spreadsheetml.table+xml"/>
  <Override PartName="/xl/comments23.xml" ContentType="application/vnd.openxmlformats-officedocument.spreadsheetml.comments+xml"/>
  <Override PartName="/xl/tables/table25.xml" ContentType="application/vnd.openxmlformats-officedocument.spreadsheetml.table+xml"/>
  <Override PartName="/xl/comments24.xml" ContentType="application/vnd.openxmlformats-officedocument.spreadsheetml.comments+xml"/>
  <Override PartName="/xl/threadedComments/threadedComment20.xml" ContentType="application/vnd.ms-excel.threadedcomments+xml"/>
  <Override PartName="/xl/tables/table26.xml" ContentType="application/vnd.openxmlformats-officedocument.spreadsheetml.table+xml"/>
  <Override PartName="/xl/comments25.xml" ContentType="application/vnd.openxmlformats-officedocument.spreadsheetml.comments+xml"/>
  <Override PartName="/xl/tables/table27.xml" ContentType="application/vnd.openxmlformats-officedocument.spreadsheetml.table+xml"/>
  <Override PartName="/xl/comments26.xml" ContentType="application/vnd.openxmlformats-officedocument.spreadsheetml.comments+xml"/>
  <Override PartName="/xl/threadedComments/threadedComment21.xml" ContentType="application/vnd.ms-excel.threadedcomments+xml"/>
  <Override PartName="/xl/tables/table28.xml" ContentType="application/vnd.openxmlformats-officedocument.spreadsheetml.table+xml"/>
  <Override PartName="/xl/comments27.xml" ContentType="application/vnd.openxmlformats-officedocument.spreadsheetml.comments+xml"/>
  <Override PartName="/xl/threadedComments/threadedComment22.xml" ContentType="application/vnd.ms-excel.threadedcomments+xml"/>
  <Override PartName="/xl/tables/table29.xml" ContentType="application/vnd.openxmlformats-officedocument.spreadsheetml.table+xml"/>
  <Override PartName="/xl/comments28.xml" ContentType="application/vnd.openxmlformats-officedocument.spreadsheetml.comments+xml"/>
  <Override PartName="/xl/threadedComments/threadedComment23.xml" ContentType="application/vnd.ms-excel.threadedcomments+xml"/>
  <Override PartName="/xl/tables/table30.xml" ContentType="application/vnd.openxmlformats-officedocument.spreadsheetml.table+xml"/>
  <Override PartName="/xl/comments29.xml" ContentType="application/vnd.openxmlformats-officedocument.spreadsheetml.comments+xml"/>
  <Override PartName="/xl/threadedComments/threadedComment24.xml" ContentType="application/vnd.ms-excel.threadedcomments+xml"/>
  <Override PartName="/xl/tables/table31.xml" ContentType="application/vnd.openxmlformats-officedocument.spreadsheetml.table+xml"/>
  <Override PartName="/xl/comments30.xml" ContentType="application/vnd.openxmlformats-officedocument.spreadsheetml.comments+xml"/>
  <Override PartName="/xl/threadedComments/threadedComment25.xml" ContentType="application/vnd.ms-excel.threadedcomments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31.xml" ContentType="application/vnd.openxmlformats-officedocument.spreadsheetml.comments+xml"/>
  <Override PartName="/xl/threadedComments/threadedComment26.xml" ContentType="application/vnd.ms-excel.threadedcomments+xml"/>
  <Override PartName="/xl/tables/table34.xml" ContentType="application/vnd.openxmlformats-officedocument.spreadsheetml.table+xml"/>
  <Override PartName="/xl/comments32.xml" ContentType="application/vnd.openxmlformats-officedocument.spreadsheetml.comments+xml"/>
  <Override PartName="/xl/threadedComments/threadedComment27.xml" ContentType="application/vnd.ms-excel.threadedcomments+xml"/>
  <Override PartName="/xl/tables/table35.xml" ContentType="application/vnd.openxmlformats-officedocument.spreadsheetml.table+xml"/>
  <Override PartName="/xl/comments33.xml" ContentType="application/vnd.openxmlformats-officedocument.spreadsheetml.comments+xml"/>
  <Override PartName="/xl/threadedComments/threadedComment28.xml" ContentType="application/vnd.ms-excel.threadedcomments+xml"/>
  <Override PartName="/xl/tables/table36.xml" ContentType="application/vnd.openxmlformats-officedocument.spreadsheetml.table+xml"/>
  <Override PartName="/xl/comments34.xml" ContentType="application/vnd.openxmlformats-officedocument.spreadsheetml.comments+xml"/>
  <Override PartName="/xl/threadedComments/threadedComment29.xml" ContentType="application/vnd.ms-excel.threadedcomments+xml"/>
  <Override PartName="/xl/tables/table3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kochems\DR_Potentials\"/>
    </mc:Choice>
  </mc:AlternateContent>
  <xr:revisionPtr revIDLastSave="0" documentId="13_ncr:1_{E97D091E-398D-4B73-A60A-D3B13DAA60F1}" xr6:coauthVersionLast="44" xr6:coauthVersionMax="44" xr10:uidLastSave="{00000000-0000-0000-0000-000000000000}"/>
  <bookViews>
    <workbookView xWindow="-120" yWindow="-120" windowWidth="29040" windowHeight="15840" tabRatio="657" xr2:uid="{00000000-000D-0000-FFFF-FFFF00000000}"/>
  </bookViews>
  <sheets>
    <sheet name="Ape12" sheetId="14" r:id="rId1"/>
    <sheet name="Ary17" sheetId="48" r:id="rId2"/>
    <sheet name="Blu13" sheetId="44" r:id="rId3"/>
    <sheet name="Bel15" sheetId="27" state="hidden" r:id="rId4"/>
    <sheet name="Foc11" sheetId="29" r:id="rId5"/>
    <sheet name="Gil15" sheetId="16" r:id="rId6"/>
    <sheet name="Gob12" sheetId="43" r:id="rId7"/>
    <sheet name="Gro13" sheetId="47" r:id="rId8"/>
    <sheet name="Gru17" sheetId="23" r:id="rId9"/>
    <sheet name="Haa17" sheetId="46" r:id="rId10"/>
    <sheet name="Hen15" sheetId="45" r:id="rId11"/>
    <sheet name="Klo09" sheetId="4" r:id="rId12"/>
    <sheet name="Herleitung_Klo09" sheetId="5" state="hidden" r:id="rId13"/>
    <sheet name="Klo13" sheetId="15" r:id="rId14"/>
    <sheet name="Krz13" sheetId="32" r:id="rId15"/>
    <sheet name="Lad18" sheetId="41" r:id="rId16"/>
    <sheet name="Lan15" sheetId="19" r:id="rId17"/>
    <sheet name="Lie15" sheetId="33" r:id="rId18"/>
    <sheet name="Mol10" sheetId="8" r:id="rId19"/>
    <sheet name="Herleitung_Mol10" sheetId="11" state="hidden" r:id="rId20"/>
    <sheet name="Pau11" sheetId="13" r:id="rId21"/>
    <sheet name="Pel16" sheetId="22" r:id="rId22"/>
    <sheet name="r2b14" sheetId="18" r:id="rId23"/>
    <sheet name="Roo10" sheetId="10" r:id="rId24"/>
    <sheet name="Herleitung_Sch14" sheetId="36" state="hidden" r:id="rId25"/>
    <sheet name="Herleitung_Gil15" sheetId="38" state="hidden" r:id="rId26"/>
    <sheet name="Sta06" sheetId="42" r:id="rId27"/>
    <sheet name="Ste17" sheetId="24" r:id="rId28"/>
    <sheet name="Stoe12" sheetId="34" state="hidden" r:id="rId29"/>
    <sheet name="Sty15" sheetId="20" r:id="rId30"/>
    <sheet name="Herleitung_Pel16" sheetId="39" state="hidden" r:id="rId31"/>
    <sheet name="Kuerzel" sheetId="17" r:id="rId32"/>
    <sheet name="Dropdown" sheetId="9" r:id="rId33"/>
    <sheet name="Kategorien" sheetId="49" r:id="rId34"/>
    <sheet name="Kategorien_grob" sheetId="52" r:id="rId35"/>
    <sheet name="Farben" sheetId="51" r:id="rId36"/>
    <sheet name="Umrechnungsfaktoren" sheetId="2" r:id="rId37"/>
    <sheet name="Methode" sheetId="25" r:id="rId38"/>
  </sheets>
  <definedNames>
    <definedName name="Alumi2005">'Klo09'!$A$6:$BD$6</definedName>
    <definedName name="Chlor2005">Herleitung_Klo09!$A$2:$Q$5</definedName>
    <definedName name="Chlor2020">Herleitung_Klo09!$A$6:$Q$9</definedName>
    <definedName name="Luft2005">Herleitung_Klo09!$A$10:$Q$10</definedName>
    <definedName name="Luft2020">Herleitung_Klo09!$A$11:$Q$11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29" l="1"/>
  <c r="V3" i="29"/>
  <c r="AC4" i="29"/>
  <c r="U8" i="44"/>
  <c r="U7" i="44"/>
  <c r="U6" i="44"/>
  <c r="U5" i="44"/>
  <c r="U4" i="44"/>
  <c r="U3" i="44"/>
  <c r="S47" i="4"/>
  <c r="S46" i="4"/>
  <c r="AJ2" i="14"/>
  <c r="AJ3" i="14"/>
  <c r="AJ4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S3" i="19" l="1"/>
  <c r="R54" i="4"/>
  <c r="Z57" i="16"/>
  <c r="W2" i="44"/>
  <c r="Z3" i="19"/>
  <c r="Z6" i="19"/>
  <c r="X2" i="19"/>
  <c r="X3" i="19"/>
  <c r="X4" i="19"/>
  <c r="X5" i="19"/>
  <c r="X6" i="19"/>
  <c r="Y3" i="19"/>
  <c r="Y4" i="19"/>
  <c r="Y5" i="19"/>
  <c r="Y6" i="19"/>
  <c r="Y2" i="19"/>
  <c r="AC2" i="41"/>
  <c r="AC5" i="41"/>
  <c r="AC8" i="41"/>
  <c r="AC9" i="41"/>
  <c r="AC10" i="41"/>
  <c r="AC11" i="41"/>
  <c r="AC12" i="41"/>
  <c r="AC15" i="41"/>
  <c r="AC18" i="41"/>
  <c r="AC21" i="41"/>
  <c r="AC24" i="41"/>
  <c r="AC27" i="41"/>
  <c r="AC30" i="41"/>
  <c r="AC33" i="41"/>
  <c r="AC36" i="41"/>
  <c r="AC37" i="41"/>
  <c r="AC38" i="41"/>
  <c r="AC39" i="41"/>
  <c r="AC40" i="41"/>
  <c r="AB2" i="41"/>
  <c r="AB5" i="41"/>
  <c r="AB8" i="41"/>
  <c r="AB9" i="41"/>
  <c r="AB11" i="41"/>
  <c r="AB12" i="41"/>
  <c r="AB15" i="41"/>
  <c r="AB18" i="41"/>
  <c r="AB21" i="41"/>
  <c r="AB24" i="41"/>
  <c r="AB27" i="41"/>
  <c r="AB30" i="41"/>
  <c r="AB33" i="41"/>
  <c r="AB36" i="41"/>
  <c r="AB37" i="41"/>
  <c r="AB38" i="41"/>
  <c r="AB39" i="41"/>
  <c r="AB40" i="41"/>
  <c r="AA2" i="41"/>
  <c r="AA5" i="41"/>
  <c r="AA8" i="41"/>
  <c r="AA9" i="41"/>
  <c r="AA10" i="41"/>
  <c r="AA11" i="41"/>
  <c r="AA12" i="41"/>
  <c r="AA15" i="41"/>
  <c r="AA18" i="41"/>
  <c r="AA21" i="41"/>
  <c r="AA24" i="41"/>
  <c r="AA27" i="41"/>
  <c r="AA30" i="41"/>
  <c r="AA33" i="41"/>
  <c r="AA36" i="41"/>
  <c r="AA37" i="41"/>
  <c r="AA38" i="41"/>
  <c r="AA39" i="41"/>
  <c r="AA40" i="41"/>
  <c r="AI2" i="41"/>
  <c r="AI14" i="41"/>
  <c r="AI15" i="41"/>
  <c r="AI16" i="41"/>
  <c r="AI17" i="41"/>
  <c r="AI18" i="41"/>
  <c r="AI19" i="41"/>
  <c r="AI20" i="41"/>
  <c r="AI21" i="41"/>
  <c r="AI22" i="41"/>
  <c r="AI23" i="41"/>
  <c r="AI24" i="41"/>
  <c r="AI25" i="41"/>
  <c r="AI26" i="41"/>
  <c r="AI27" i="41"/>
  <c r="AI28" i="41"/>
  <c r="AI29" i="41"/>
  <c r="AI30" i="41"/>
  <c r="AI31" i="41"/>
  <c r="AI32" i="41"/>
  <c r="AI33" i="41"/>
  <c r="AJ33" i="41" s="1"/>
  <c r="AI34" i="41"/>
  <c r="AI35" i="41"/>
  <c r="AI36" i="41"/>
  <c r="AI37" i="41"/>
  <c r="AI38" i="41"/>
  <c r="AI39" i="41"/>
  <c r="AI40" i="41"/>
  <c r="AI13" i="41"/>
  <c r="AQ2" i="15"/>
  <c r="AP2" i="15"/>
  <c r="T7" i="15"/>
  <c r="S7" i="15"/>
  <c r="Q3" i="15"/>
  <c r="R3" i="15"/>
  <c r="Q4" i="15"/>
  <c r="R4" i="15"/>
  <c r="Q5" i="15"/>
  <c r="R5" i="15"/>
  <c r="Q6" i="15"/>
  <c r="R6" i="15"/>
  <c r="Q8" i="15"/>
  <c r="R8" i="15"/>
  <c r="Q9" i="15"/>
  <c r="R9" i="15"/>
  <c r="Q10" i="15"/>
  <c r="R10" i="15"/>
  <c r="Q11" i="15"/>
  <c r="R11" i="15"/>
  <c r="Q12" i="15"/>
  <c r="R12" i="15"/>
  <c r="Q13" i="15"/>
  <c r="R2" i="15"/>
  <c r="Q2" i="15"/>
  <c r="M13" i="15" l="1"/>
  <c r="X13" i="15"/>
  <c r="U13" i="15" s="1"/>
  <c r="M2" i="15"/>
  <c r="M3" i="15"/>
  <c r="M4" i="15"/>
  <c r="M5" i="15"/>
  <c r="M6" i="15"/>
  <c r="M7" i="15"/>
  <c r="M8" i="15"/>
  <c r="M9" i="15"/>
  <c r="M10" i="15"/>
  <c r="M11" i="15"/>
  <c r="M12" i="15"/>
  <c r="X2" i="15"/>
  <c r="U2" i="15" s="1"/>
  <c r="X4" i="15"/>
  <c r="U4" i="15" s="1"/>
  <c r="X5" i="15"/>
  <c r="U5" i="15" s="1"/>
  <c r="X6" i="15"/>
  <c r="X7" i="15"/>
  <c r="X8" i="15"/>
  <c r="U8" i="15" s="1"/>
  <c r="X9" i="15"/>
  <c r="U9" i="15" s="1"/>
  <c r="X10" i="15"/>
  <c r="U10" i="15" s="1"/>
  <c r="X11" i="15"/>
  <c r="U11" i="15" s="1"/>
  <c r="X12" i="15"/>
  <c r="U12" i="15" s="1"/>
  <c r="N4" i="4"/>
  <c r="N14" i="4"/>
  <c r="N15" i="4"/>
  <c r="N16" i="4"/>
  <c r="N17" i="4"/>
  <c r="N18" i="4"/>
  <c r="N19" i="4"/>
  <c r="N22" i="4"/>
  <c r="N23" i="4"/>
  <c r="N24" i="4"/>
  <c r="N25" i="4"/>
  <c r="N26" i="4"/>
  <c r="N27" i="4"/>
  <c r="N28" i="4"/>
  <c r="N30" i="4"/>
  <c r="N31" i="4"/>
  <c r="N32" i="4"/>
  <c r="N33" i="4"/>
  <c r="N34" i="4"/>
  <c r="N36" i="4"/>
  <c r="N38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P25" i="4"/>
  <c r="P24" i="4"/>
  <c r="U38" i="4" l="1"/>
  <c r="J29" i="4"/>
  <c r="N29" i="4" s="1"/>
  <c r="M23" i="4" l="1"/>
  <c r="M22" i="4"/>
  <c r="J2" i="4"/>
  <c r="N2" i="4" s="1"/>
  <c r="J3" i="4"/>
  <c r="N3" i="4" s="1"/>
  <c r="J7" i="4"/>
  <c r="J21" i="4"/>
  <c r="M24" i="4"/>
  <c r="M25" i="4"/>
  <c r="N10" i="23" l="1"/>
  <c r="N6" i="23"/>
  <c r="I22" i="23"/>
  <c r="I10" i="23"/>
  <c r="I6" i="23"/>
  <c r="W3" i="43"/>
  <c r="X3" i="43"/>
  <c r="W4" i="43"/>
  <c r="X4" i="43"/>
  <c r="W5" i="43"/>
  <c r="X5" i="43"/>
  <c r="W6" i="43"/>
  <c r="X6" i="43"/>
  <c r="W7" i="43"/>
  <c r="X7" i="43"/>
  <c r="W8" i="43"/>
  <c r="X8" i="43"/>
  <c r="W9" i="43"/>
  <c r="X9" i="43"/>
  <c r="W10" i="43"/>
  <c r="X10" i="43"/>
  <c r="W11" i="43"/>
  <c r="X11" i="43"/>
  <c r="W12" i="43"/>
  <c r="X12" i="43"/>
  <c r="W13" i="43"/>
  <c r="X13" i="43"/>
  <c r="W14" i="43"/>
  <c r="X14" i="43"/>
  <c r="W15" i="43"/>
  <c r="X15" i="43"/>
  <c r="W16" i="43"/>
  <c r="X16" i="43"/>
  <c r="W17" i="43"/>
  <c r="X17" i="43"/>
  <c r="W18" i="43"/>
  <c r="X18" i="43"/>
  <c r="W19" i="43"/>
  <c r="X19" i="43"/>
  <c r="W20" i="43"/>
  <c r="X20" i="43"/>
  <c r="W21" i="43"/>
  <c r="X21" i="43"/>
  <c r="W22" i="43"/>
  <c r="X22" i="43"/>
  <c r="W23" i="43"/>
  <c r="X23" i="43"/>
  <c r="X2" i="43"/>
  <c r="W2" i="43"/>
  <c r="Z2" i="16" l="1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55" i="16"/>
  <c r="Z56" i="16"/>
  <c r="Z59" i="16"/>
  <c r="Z60" i="16"/>
  <c r="Z61" i="16"/>
  <c r="Z63" i="16"/>
  <c r="Z64" i="16"/>
  <c r="Z65" i="16"/>
  <c r="Z67" i="16"/>
  <c r="Z68" i="16"/>
  <c r="Z69" i="16"/>
  <c r="Z70" i="16"/>
  <c r="Z75" i="16"/>
  <c r="Z76" i="16"/>
  <c r="Z77" i="16"/>
  <c r="Z79" i="16"/>
  <c r="Z80" i="16"/>
  <c r="Z81" i="16"/>
  <c r="Z83" i="16"/>
  <c r="Z84" i="16"/>
  <c r="Z85" i="16"/>
  <c r="Z87" i="16"/>
  <c r="Z88" i="16"/>
  <c r="Z89" i="16"/>
  <c r="Z90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4" i="16"/>
  <c r="Z115" i="16"/>
  <c r="Z116" i="16"/>
  <c r="Z117" i="16"/>
  <c r="Z118" i="16"/>
  <c r="Z119" i="16"/>
  <c r="Z120" i="16"/>
  <c r="Z121" i="16"/>
  <c r="L42" i="16"/>
  <c r="K42" i="16"/>
  <c r="K6" i="16"/>
  <c r="L6" i="16"/>
  <c r="Z2" i="44"/>
  <c r="U2" i="44"/>
  <c r="G2" i="44"/>
  <c r="BE4" i="14" l="1"/>
  <c r="BE3" i="14"/>
  <c r="BE2" i="14"/>
  <c r="AF19" i="14"/>
  <c r="AF18" i="14"/>
  <c r="AF17" i="14"/>
  <c r="AF11" i="14"/>
  <c r="AF12" i="14"/>
  <c r="AF13" i="14"/>
  <c r="I19" i="14"/>
  <c r="I18" i="14"/>
  <c r="I16" i="14"/>
  <c r="I15" i="14"/>
  <c r="G6" i="14"/>
  <c r="I6" i="14" s="1"/>
  <c r="G7" i="14"/>
  <c r="I7" i="14" s="1"/>
  <c r="R21" i="14"/>
  <c r="R22" i="14"/>
  <c r="R20" i="14"/>
  <c r="AG16" i="14"/>
  <c r="AG15" i="14"/>
  <c r="AG14" i="14"/>
  <c r="AI14" i="14" s="1"/>
  <c r="I14" i="14"/>
  <c r="AG10" i="14"/>
  <c r="AF10" i="14" s="1"/>
  <c r="AG9" i="14"/>
  <c r="AF9" i="14" s="1"/>
  <c r="DH3" i="24" l="1"/>
  <c r="DH4" i="24"/>
  <c r="DH5" i="24"/>
  <c r="DH6" i="24"/>
  <c r="DH7" i="24"/>
  <c r="DH8" i="24"/>
  <c r="DH9" i="24"/>
  <c r="DH10" i="24"/>
  <c r="DH11" i="24"/>
  <c r="DH12" i="24"/>
  <c r="DH13" i="24"/>
  <c r="DH14" i="24"/>
  <c r="DH15" i="24"/>
  <c r="DH16" i="24"/>
  <c r="DH17" i="24"/>
  <c r="DH18" i="24"/>
  <c r="DH19" i="24"/>
  <c r="DH20" i="24"/>
  <c r="DH21" i="24"/>
  <c r="DH22" i="24"/>
  <c r="DH23" i="24"/>
  <c r="DH24" i="24"/>
  <c r="DH25" i="24"/>
  <c r="DH26" i="24"/>
  <c r="DH27" i="24"/>
  <c r="DH28" i="24"/>
  <c r="DH29" i="24"/>
  <c r="DH30" i="24"/>
  <c r="DH31" i="24"/>
  <c r="DH32" i="24"/>
  <c r="DH33" i="24"/>
  <c r="DH34" i="24"/>
  <c r="DH35" i="24"/>
  <c r="DH36" i="24"/>
  <c r="DH37" i="24"/>
  <c r="DH38" i="24"/>
  <c r="DH39" i="24"/>
  <c r="DH40" i="24"/>
  <c r="DH41" i="24"/>
  <c r="DH42" i="24"/>
  <c r="DH43" i="24"/>
  <c r="DH44" i="24"/>
  <c r="DH45" i="24"/>
  <c r="DH46" i="24"/>
  <c r="DH47" i="24"/>
  <c r="DH48" i="24"/>
  <c r="DH49" i="24"/>
  <c r="DH50" i="24"/>
  <c r="DH51" i="24"/>
  <c r="DH52" i="24"/>
  <c r="DH53" i="24"/>
  <c r="DH54" i="24"/>
  <c r="DH55" i="24"/>
  <c r="DH56" i="24"/>
  <c r="DH57" i="24"/>
  <c r="DH58" i="24"/>
  <c r="DH59" i="24"/>
  <c r="DH60" i="24"/>
  <c r="DH61" i="24"/>
  <c r="DH62" i="24"/>
  <c r="DH63" i="24"/>
  <c r="DH64" i="24"/>
  <c r="DH65" i="24"/>
  <c r="DH66" i="24"/>
  <c r="DH67" i="24"/>
  <c r="DH68" i="24"/>
  <c r="DH69" i="24"/>
  <c r="DH70" i="24"/>
  <c r="DH71" i="24"/>
  <c r="DH72" i="24"/>
  <c r="DH73" i="24"/>
  <c r="DH74" i="24"/>
  <c r="DH75" i="24"/>
  <c r="DH76" i="24"/>
  <c r="DH77" i="24"/>
  <c r="DH78" i="24"/>
  <c r="DH79" i="24"/>
  <c r="DH80" i="24"/>
  <c r="DH81" i="24"/>
  <c r="DH82" i="24"/>
  <c r="DH83" i="24"/>
  <c r="DH84" i="24"/>
  <c r="DH85" i="24"/>
  <c r="DH86" i="24"/>
  <c r="DH87" i="24"/>
  <c r="DH88" i="24"/>
  <c r="DH89" i="24"/>
  <c r="DH90" i="24"/>
  <c r="DH91" i="24"/>
  <c r="DH92" i="24"/>
  <c r="DH93" i="24"/>
  <c r="DH94" i="24"/>
  <c r="DH95" i="24"/>
  <c r="DH96" i="24"/>
  <c r="DH97" i="24"/>
  <c r="DH98" i="24"/>
  <c r="DH99" i="24"/>
  <c r="DH100" i="24"/>
  <c r="DH101" i="24"/>
  <c r="DH102" i="24"/>
  <c r="DH103" i="24"/>
  <c r="DH104" i="24"/>
  <c r="DH105" i="24"/>
  <c r="DH106" i="24"/>
  <c r="DH107" i="24"/>
  <c r="DH108" i="24"/>
  <c r="DH109" i="24"/>
  <c r="DH110" i="24"/>
  <c r="DH111" i="24"/>
  <c r="DH112" i="24"/>
  <c r="DH113" i="24"/>
  <c r="DH114" i="24"/>
  <c r="DH115" i="24"/>
  <c r="DH116" i="24"/>
  <c r="DH117" i="24"/>
  <c r="DH118" i="24"/>
  <c r="DH119" i="24"/>
  <c r="DH120" i="24"/>
  <c r="DH121" i="24"/>
  <c r="DH122" i="24"/>
  <c r="DH123" i="24"/>
  <c r="DH124" i="24"/>
  <c r="DH125" i="24"/>
  <c r="DH126" i="24"/>
  <c r="DH127" i="24"/>
  <c r="DH128" i="24"/>
  <c r="DH129" i="24"/>
  <c r="DH130" i="24"/>
  <c r="DH131" i="24"/>
  <c r="DH132" i="24"/>
  <c r="DH133" i="24"/>
  <c r="DH134" i="24"/>
  <c r="DH135" i="24"/>
  <c r="DH136" i="24"/>
  <c r="DH137" i="24"/>
  <c r="DH138" i="24"/>
  <c r="DH139" i="24"/>
  <c r="DH140" i="24"/>
  <c r="DH141" i="24"/>
  <c r="DH142" i="24"/>
  <c r="DH143" i="24"/>
  <c r="DH144" i="24"/>
  <c r="DH145" i="24"/>
  <c r="DH146" i="24"/>
  <c r="DH147" i="24"/>
  <c r="DH148" i="24"/>
  <c r="DH149" i="24"/>
  <c r="DH150" i="24"/>
  <c r="DH151" i="24"/>
  <c r="DH152" i="24"/>
  <c r="DH153" i="24"/>
  <c r="DH154" i="24"/>
  <c r="DH155" i="24"/>
  <c r="DH156" i="24"/>
  <c r="DH157" i="24"/>
  <c r="DH158" i="24"/>
  <c r="DH159" i="24"/>
  <c r="DH160" i="24"/>
  <c r="DH161" i="24"/>
  <c r="DH162" i="24"/>
  <c r="DH163" i="24"/>
  <c r="DH164" i="24"/>
  <c r="DH165" i="24"/>
  <c r="DH166" i="24"/>
  <c r="DH167" i="24"/>
  <c r="DH168" i="24"/>
  <c r="DH169" i="24"/>
  <c r="DH170" i="24"/>
  <c r="DH171" i="24"/>
  <c r="DH172" i="24"/>
  <c r="DH173" i="24"/>
  <c r="DH174" i="24"/>
  <c r="DH175" i="24"/>
  <c r="DH176" i="24"/>
  <c r="DH177" i="24"/>
  <c r="DH178" i="24"/>
  <c r="DH179" i="24"/>
  <c r="DH180" i="24"/>
  <c r="DH181" i="24"/>
  <c r="DH182" i="24"/>
  <c r="DH183" i="24"/>
  <c r="DH184" i="24"/>
  <c r="DH185" i="24"/>
  <c r="DH186" i="24"/>
  <c r="DH187" i="24"/>
  <c r="DH188" i="24"/>
  <c r="DH189" i="24"/>
  <c r="DH190" i="24"/>
  <c r="DH191" i="24"/>
  <c r="DH192" i="24"/>
  <c r="DH193" i="24"/>
  <c r="DH194" i="24"/>
  <c r="DH195" i="24"/>
  <c r="DH196" i="24"/>
  <c r="DH197" i="24"/>
  <c r="DH198" i="24"/>
  <c r="DH199" i="24"/>
  <c r="DH200" i="24"/>
  <c r="DH201" i="24"/>
  <c r="DH202" i="24"/>
  <c r="DH203" i="24"/>
  <c r="DH204" i="24"/>
  <c r="DH205" i="24"/>
  <c r="DH206" i="24"/>
  <c r="DH207" i="24"/>
  <c r="DH208" i="24"/>
  <c r="DH209" i="24"/>
  <c r="DH210" i="24"/>
  <c r="DH211" i="24"/>
  <c r="DH212" i="24"/>
  <c r="DH213" i="24"/>
  <c r="DH214" i="24"/>
  <c r="DH215" i="24"/>
  <c r="DH216" i="24"/>
  <c r="DH217" i="24"/>
  <c r="DH218" i="24"/>
  <c r="DH219" i="24"/>
  <c r="DH220" i="24"/>
  <c r="DH221" i="24"/>
  <c r="DH222" i="24"/>
  <c r="DH223" i="24"/>
  <c r="DH224" i="24"/>
  <c r="DH225" i="24"/>
  <c r="DH226" i="24"/>
  <c r="DH227" i="24"/>
  <c r="DH228" i="24"/>
  <c r="DH229" i="24"/>
  <c r="DH230" i="24"/>
  <c r="DH231" i="24"/>
  <c r="DH232" i="24"/>
  <c r="DH233" i="24"/>
  <c r="DH234" i="24"/>
  <c r="DH235" i="24"/>
  <c r="DH236" i="24"/>
  <c r="DH237" i="24"/>
  <c r="DH238" i="24"/>
  <c r="DH239" i="24"/>
  <c r="DH240" i="24"/>
  <c r="DH241" i="24"/>
  <c r="DH242" i="24"/>
  <c r="DH243" i="24"/>
  <c r="DH244" i="24"/>
  <c r="DH245" i="24"/>
  <c r="DH246" i="24"/>
  <c r="DH247" i="24"/>
  <c r="DH248" i="24"/>
  <c r="DH249" i="24"/>
  <c r="DH2" i="24"/>
  <c r="BT2" i="24"/>
  <c r="BT3" i="24"/>
  <c r="BT4" i="24"/>
  <c r="BT5" i="24"/>
  <c r="BT6" i="24"/>
  <c r="BT7" i="24"/>
  <c r="BT8" i="24"/>
  <c r="BT9" i="24"/>
  <c r="BT10" i="24"/>
  <c r="BT11" i="24"/>
  <c r="BT12" i="24"/>
  <c r="BT13" i="24"/>
  <c r="BT14" i="24"/>
  <c r="BT15" i="24"/>
  <c r="BT16" i="24"/>
  <c r="BT17" i="24"/>
  <c r="BT18" i="24"/>
  <c r="BT19" i="24"/>
  <c r="BT20" i="24"/>
  <c r="BT21" i="24"/>
  <c r="BT22" i="24"/>
  <c r="BT23" i="24"/>
  <c r="BT24" i="24"/>
  <c r="BT25" i="24"/>
  <c r="BT26" i="24"/>
  <c r="BT27" i="24"/>
  <c r="BT28" i="24"/>
  <c r="BT29" i="24"/>
  <c r="BT30" i="24"/>
  <c r="BT31" i="24"/>
  <c r="BT32" i="24"/>
  <c r="BT33" i="24"/>
  <c r="BT34" i="24"/>
  <c r="BT35" i="24"/>
  <c r="BT36" i="24"/>
  <c r="BT37" i="24"/>
  <c r="BT38" i="24"/>
  <c r="BT39" i="24"/>
  <c r="BT40" i="24"/>
  <c r="BT41" i="24"/>
  <c r="BT42" i="24"/>
  <c r="BT43" i="24"/>
  <c r="BT44" i="24"/>
  <c r="BT45" i="24"/>
  <c r="BT46" i="24"/>
  <c r="BT47" i="24"/>
  <c r="BT48" i="24"/>
  <c r="BT49" i="24"/>
  <c r="BT50" i="24"/>
  <c r="BT51" i="24"/>
  <c r="BT52" i="24"/>
  <c r="BT53" i="24"/>
  <c r="BT54" i="24"/>
  <c r="BT55" i="24"/>
  <c r="BT56" i="24"/>
  <c r="BT57" i="24"/>
  <c r="BT58" i="24"/>
  <c r="BT59" i="24"/>
  <c r="BT60" i="24"/>
  <c r="BT61" i="24"/>
  <c r="BT62" i="24"/>
  <c r="BT63" i="24"/>
  <c r="BT64" i="24"/>
  <c r="BT65" i="24"/>
  <c r="BT66" i="24"/>
  <c r="BT67" i="24"/>
  <c r="BT68" i="24"/>
  <c r="BT69" i="24"/>
  <c r="BT70" i="24"/>
  <c r="BT71" i="24"/>
  <c r="BT72" i="24"/>
  <c r="BT73" i="24"/>
  <c r="BT74" i="24"/>
  <c r="BT75" i="24"/>
  <c r="BT76" i="24"/>
  <c r="BT77" i="24"/>
  <c r="BT78" i="24"/>
  <c r="BT79" i="24"/>
  <c r="BT80" i="24"/>
  <c r="BT81" i="24"/>
  <c r="BT82" i="24"/>
  <c r="BT83" i="24"/>
  <c r="BT84" i="24"/>
  <c r="BT85" i="24"/>
  <c r="BT86" i="24"/>
  <c r="BT87" i="24"/>
  <c r="BT88" i="24"/>
  <c r="BT89" i="24"/>
  <c r="BT90" i="24"/>
  <c r="BT91" i="24"/>
  <c r="BT92" i="24"/>
  <c r="BT93" i="24"/>
  <c r="BT94" i="24"/>
  <c r="BT95" i="24"/>
  <c r="BT96" i="24"/>
  <c r="BT97" i="24"/>
  <c r="BT98" i="24"/>
  <c r="BT99" i="24"/>
  <c r="BT100" i="24"/>
  <c r="BT101" i="24"/>
  <c r="BT102" i="24"/>
  <c r="BT103" i="24"/>
  <c r="BT104" i="24"/>
  <c r="BT105" i="24"/>
  <c r="BT106" i="24"/>
  <c r="BT107" i="24"/>
  <c r="BT108" i="24"/>
  <c r="BT109" i="24"/>
  <c r="BT110" i="24"/>
  <c r="BT111" i="24"/>
  <c r="BT112" i="24"/>
  <c r="BT113" i="24"/>
  <c r="BT114" i="24"/>
  <c r="BT115" i="24"/>
  <c r="BT116" i="24"/>
  <c r="BT117" i="24"/>
  <c r="BT118" i="24"/>
  <c r="BT119" i="24"/>
  <c r="BT120" i="24"/>
  <c r="BT121" i="24"/>
  <c r="BT122" i="24"/>
  <c r="BT123" i="24"/>
  <c r="BT124" i="24"/>
  <c r="BT125" i="24"/>
  <c r="BT126" i="24"/>
  <c r="BT127" i="24"/>
  <c r="BT128" i="24"/>
  <c r="BT129" i="24"/>
  <c r="BT130" i="24"/>
  <c r="BT131" i="24"/>
  <c r="BT132" i="24"/>
  <c r="BT133" i="24"/>
  <c r="BT134" i="24"/>
  <c r="BT135" i="24"/>
  <c r="BT136" i="24"/>
  <c r="BT137" i="24"/>
  <c r="BT138" i="24"/>
  <c r="BT139" i="24"/>
  <c r="BT140" i="24"/>
  <c r="BT141" i="24"/>
  <c r="BT142" i="24"/>
  <c r="BT143" i="24"/>
  <c r="BT144" i="24"/>
  <c r="BT145" i="24"/>
  <c r="BT146" i="24"/>
  <c r="BT147" i="24"/>
  <c r="BT148" i="24"/>
  <c r="BT149" i="24"/>
  <c r="BT150" i="24"/>
  <c r="BT151" i="24"/>
  <c r="BT152" i="24"/>
  <c r="BT153" i="24"/>
  <c r="BT154" i="24"/>
  <c r="BT155" i="24"/>
  <c r="BT156" i="24"/>
  <c r="BT157" i="24"/>
  <c r="BT158" i="24"/>
  <c r="BT159" i="24"/>
  <c r="BT160" i="24"/>
  <c r="BT161" i="24"/>
  <c r="BT162" i="24"/>
  <c r="BT163" i="24"/>
  <c r="BT164" i="24"/>
  <c r="BT165" i="24"/>
  <c r="BT166" i="24"/>
  <c r="BT167" i="24"/>
  <c r="BT168" i="24"/>
  <c r="BT169" i="24"/>
  <c r="BT170" i="24"/>
  <c r="BT171" i="24"/>
  <c r="BT172" i="24"/>
  <c r="BT173" i="24"/>
  <c r="BT174" i="24"/>
  <c r="BT175" i="24"/>
  <c r="BT176" i="24"/>
  <c r="BT177" i="24"/>
  <c r="BT178" i="24"/>
  <c r="BT179" i="24"/>
  <c r="BT180" i="24"/>
  <c r="BT181" i="24"/>
  <c r="BT182" i="24"/>
  <c r="BT183" i="24"/>
  <c r="BT184" i="24"/>
  <c r="BT185" i="24"/>
  <c r="BT186" i="24"/>
  <c r="BT187" i="24"/>
  <c r="BT188" i="24"/>
  <c r="BT189" i="24"/>
  <c r="BT190" i="24"/>
  <c r="BT191" i="24"/>
  <c r="BT192" i="24"/>
  <c r="BT193" i="24"/>
  <c r="BT194" i="24"/>
  <c r="BT195" i="24"/>
  <c r="BT196" i="24"/>
  <c r="BT197" i="24"/>
  <c r="BT198" i="24"/>
  <c r="BT199" i="24"/>
  <c r="BT200" i="24"/>
  <c r="BT201" i="24"/>
  <c r="BT202" i="24"/>
  <c r="BT203" i="24"/>
  <c r="BT204" i="24"/>
  <c r="BT205" i="24"/>
  <c r="BT206" i="24"/>
  <c r="BT207" i="24"/>
  <c r="BT208" i="24"/>
  <c r="BT209" i="24"/>
  <c r="BT210" i="24"/>
  <c r="BT211" i="24"/>
  <c r="BT212" i="24"/>
  <c r="BT213" i="24"/>
  <c r="BT214" i="24"/>
  <c r="BT215" i="24"/>
  <c r="BT216" i="24"/>
  <c r="BT217" i="24"/>
  <c r="BT218" i="24"/>
  <c r="BT219" i="24"/>
  <c r="BT220" i="24"/>
  <c r="BT221" i="24"/>
  <c r="BT222" i="24"/>
  <c r="BT223" i="24"/>
  <c r="BT224" i="24"/>
  <c r="BT225" i="24"/>
  <c r="BT226" i="24"/>
  <c r="BT227" i="24"/>
  <c r="BT228" i="24"/>
  <c r="BT229" i="24"/>
  <c r="BT230" i="24"/>
  <c r="BT231" i="24"/>
  <c r="BT232" i="24"/>
  <c r="BT233" i="24"/>
  <c r="BT234" i="24"/>
  <c r="BT235" i="24"/>
  <c r="BT236" i="24"/>
  <c r="BT237" i="24"/>
  <c r="BT238" i="24"/>
  <c r="BT239" i="24"/>
  <c r="BT240" i="24"/>
  <c r="BT241" i="24"/>
  <c r="BT242" i="24"/>
  <c r="BT243" i="24"/>
  <c r="BT244" i="24"/>
  <c r="BT245" i="24"/>
  <c r="BT246" i="24"/>
  <c r="BT247" i="24"/>
  <c r="BT248" i="24"/>
  <c r="BT249" i="24"/>
  <c r="DE2" i="24"/>
  <c r="DF2" i="24"/>
  <c r="DG2" i="24"/>
  <c r="DI2" i="24"/>
  <c r="DJ2" i="24"/>
  <c r="DE3" i="24"/>
  <c r="DF3" i="24"/>
  <c r="DG3" i="24"/>
  <c r="DI3" i="24"/>
  <c r="DJ3" i="24"/>
  <c r="DE4" i="24"/>
  <c r="DF4" i="24"/>
  <c r="DG4" i="24"/>
  <c r="DI4" i="24"/>
  <c r="DJ4" i="24"/>
  <c r="DE5" i="24"/>
  <c r="DF5" i="24"/>
  <c r="DG5" i="24"/>
  <c r="DI5" i="24"/>
  <c r="DJ5" i="24"/>
  <c r="DE6" i="24"/>
  <c r="DF6" i="24"/>
  <c r="DG6" i="24"/>
  <c r="DI6" i="24"/>
  <c r="DJ6" i="24"/>
  <c r="DE7" i="24"/>
  <c r="DF7" i="24"/>
  <c r="DG7" i="24"/>
  <c r="DI7" i="24"/>
  <c r="DJ7" i="24"/>
  <c r="DE8" i="24"/>
  <c r="DF8" i="24"/>
  <c r="DG8" i="24"/>
  <c r="DI8" i="24"/>
  <c r="DJ8" i="24"/>
  <c r="DE9" i="24"/>
  <c r="DF9" i="24"/>
  <c r="DG9" i="24"/>
  <c r="DI9" i="24"/>
  <c r="DJ9" i="24"/>
  <c r="DE10" i="24"/>
  <c r="DF10" i="24"/>
  <c r="DG10" i="24"/>
  <c r="DI10" i="24"/>
  <c r="DJ10" i="24"/>
  <c r="DE11" i="24"/>
  <c r="DF11" i="24"/>
  <c r="DG11" i="24"/>
  <c r="DI11" i="24"/>
  <c r="DJ11" i="24"/>
  <c r="DE12" i="24"/>
  <c r="DF12" i="24"/>
  <c r="DG12" i="24"/>
  <c r="DI12" i="24"/>
  <c r="DJ12" i="24"/>
  <c r="DE13" i="24"/>
  <c r="DF13" i="24"/>
  <c r="DG13" i="24"/>
  <c r="DI13" i="24"/>
  <c r="DJ13" i="24"/>
  <c r="DE14" i="24"/>
  <c r="DF14" i="24"/>
  <c r="DG14" i="24"/>
  <c r="DI14" i="24"/>
  <c r="DJ14" i="24"/>
  <c r="DE15" i="24"/>
  <c r="DF15" i="24"/>
  <c r="DG15" i="24"/>
  <c r="DI15" i="24"/>
  <c r="DJ15" i="24"/>
  <c r="DE16" i="24"/>
  <c r="DF16" i="24"/>
  <c r="DG16" i="24"/>
  <c r="DI16" i="24"/>
  <c r="DJ16" i="24"/>
  <c r="DE17" i="24"/>
  <c r="DF17" i="24"/>
  <c r="DG17" i="24"/>
  <c r="DI17" i="24"/>
  <c r="DJ17" i="24"/>
  <c r="DE18" i="24"/>
  <c r="DF18" i="24"/>
  <c r="DG18" i="24"/>
  <c r="DI18" i="24"/>
  <c r="DJ18" i="24"/>
  <c r="DE19" i="24"/>
  <c r="DF19" i="24"/>
  <c r="DG19" i="24"/>
  <c r="DI19" i="24"/>
  <c r="DJ19" i="24"/>
  <c r="DE20" i="24"/>
  <c r="DF20" i="24"/>
  <c r="DG20" i="24"/>
  <c r="DI20" i="24"/>
  <c r="DJ20" i="24"/>
  <c r="DE21" i="24"/>
  <c r="DF21" i="24"/>
  <c r="DG21" i="24"/>
  <c r="DI21" i="24"/>
  <c r="DJ21" i="24"/>
  <c r="DE22" i="24"/>
  <c r="DF22" i="24"/>
  <c r="DG22" i="24"/>
  <c r="DI22" i="24"/>
  <c r="DJ22" i="24"/>
  <c r="DE23" i="24"/>
  <c r="DF23" i="24"/>
  <c r="DG23" i="24"/>
  <c r="DI23" i="24"/>
  <c r="DJ23" i="24"/>
  <c r="DE24" i="24"/>
  <c r="DF24" i="24"/>
  <c r="DG24" i="24"/>
  <c r="DI24" i="24"/>
  <c r="DJ24" i="24"/>
  <c r="DE25" i="24"/>
  <c r="DF25" i="24"/>
  <c r="DG25" i="24"/>
  <c r="DI25" i="24"/>
  <c r="DJ25" i="24"/>
  <c r="DE26" i="24"/>
  <c r="DF26" i="24"/>
  <c r="DG26" i="24"/>
  <c r="DI26" i="24"/>
  <c r="DJ26" i="24"/>
  <c r="DE27" i="24"/>
  <c r="DF27" i="24"/>
  <c r="DG27" i="24"/>
  <c r="DI27" i="24"/>
  <c r="DJ27" i="24"/>
  <c r="DE28" i="24"/>
  <c r="DF28" i="24"/>
  <c r="DG28" i="24"/>
  <c r="DI28" i="24"/>
  <c r="DJ28" i="24"/>
  <c r="DE29" i="24"/>
  <c r="DF29" i="24"/>
  <c r="DG29" i="24"/>
  <c r="DI29" i="24"/>
  <c r="DJ29" i="24"/>
  <c r="DE30" i="24"/>
  <c r="DF30" i="24"/>
  <c r="DG30" i="24"/>
  <c r="DI30" i="24"/>
  <c r="DJ30" i="24"/>
  <c r="DE31" i="24"/>
  <c r="DF31" i="24"/>
  <c r="DG31" i="24"/>
  <c r="DI31" i="24"/>
  <c r="DJ31" i="24"/>
  <c r="DE32" i="24"/>
  <c r="DF32" i="24"/>
  <c r="DG32" i="24"/>
  <c r="DI32" i="24"/>
  <c r="DJ32" i="24"/>
  <c r="DE33" i="24"/>
  <c r="DF33" i="24"/>
  <c r="DG33" i="24"/>
  <c r="DI33" i="24"/>
  <c r="DJ33" i="24"/>
  <c r="DE34" i="24"/>
  <c r="DF34" i="24"/>
  <c r="DG34" i="24"/>
  <c r="DI34" i="24"/>
  <c r="DJ34" i="24"/>
  <c r="DE35" i="24"/>
  <c r="DF35" i="24"/>
  <c r="DG35" i="24"/>
  <c r="DI35" i="24"/>
  <c r="DJ35" i="24"/>
  <c r="DE36" i="24"/>
  <c r="DF36" i="24"/>
  <c r="DG36" i="24"/>
  <c r="DI36" i="24"/>
  <c r="DJ36" i="24"/>
  <c r="DE37" i="24"/>
  <c r="DF37" i="24"/>
  <c r="DG37" i="24"/>
  <c r="DI37" i="24"/>
  <c r="DJ37" i="24"/>
  <c r="DE38" i="24"/>
  <c r="DF38" i="24"/>
  <c r="DG38" i="24"/>
  <c r="DI38" i="24"/>
  <c r="DJ38" i="24"/>
  <c r="DE39" i="24"/>
  <c r="DF39" i="24"/>
  <c r="DG39" i="24"/>
  <c r="DI39" i="24"/>
  <c r="DJ39" i="24"/>
  <c r="DE40" i="24"/>
  <c r="DF40" i="24"/>
  <c r="DG40" i="24"/>
  <c r="DI40" i="24"/>
  <c r="DJ40" i="24"/>
  <c r="DE41" i="24"/>
  <c r="DF41" i="24"/>
  <c r="DG41" i="24"/>
  <c r="DI41" i="24"/>
  <c r="DJ41" i="24"/>
  <c r="DE42" i="24"/>
  <c r="DF42" i="24"/>
  <c r="DG42" i="24"/>
  <c r="DI42" i="24"/>
  <c r="DJ42" i="24"/>
  <c r="DE43" i="24"/>
  <c r="DF43" i="24"/>
  <c r="DG43" i="24"/>
  <c r="DI43" i="24"/>
  <c r="DJ43" i="24"/>
  <c r="DE44" i="24"/>
  <c r="DF44" i="24"/>
  <c r="DG44" i="24"/>
  <c r="DI44" i="24"/>
  <c r="DJ44" i="24"/>
  <c r="DE45" i="24"/>
  <c r="DF45" i="24"/>
  <c r="DG45" i="24"/>
  <c r="DI45" i="24"/>
  <c r="DJ45" i="24"/>
  <c r="DE46" i="24"/>
  <c r="DF46" i="24"/>
  <c r="DG46" i="24"/>
  <c r="DI46" i="24"/>
  <c r="DJ46" i="24"/>
  <c r="DE47" i="24"/>
  <c r="DF47" i="24"/>
  <c r="DG47" i="24"/>
  <c r="DI47" i="24"/>
  <c r="DJ47" i="24"/>
  <c r="DE48" i="24"/>
  <c r="DF48" i="24"/>
  <c r="DG48" i="24"/>
  <c r="DI48" i="24"/>
  <c r="DJ48" i="24"/>
  <c r="DE49" i="24"/>
  <c r="DF49" i="24"/>
  <c r="DG49" i="24"/>
  <c r="DI49" i="24"/>
  <c r="DJ49" i="24"/>
  <c r="DE50" i="24"/>
  <c r="DF50" i="24"/>
  <c r="DG50" i="24"/>
  <c r="DI50" i="24"/>
  <c r="DJ50" i="24"/>
  <c r="DE51" i="24"/>
  <c r="DF51" i="24"/>
  <c r="DG51" i="24"/>
  <c r="DI51" i="24"/>
  <c r="DJ51" i="24"/>
  <c r="DE52" i="24"/>
  <c r="DF52" i="24"/>
  <c r="DG52" i="24"/>
  <c r="DI52" i="24"/>
  <c r="DJ52" i="24"/>
  <c r="DE53" i="24"/>
  <c r="DF53" i="24"/>
  <c r="DG53" i="24"/>
  <c r="DI53" i="24"/>
  <c r="DJ53" i="24"/>
  <c r="DE54" i="24"/>
  <c r="DF54" i="24"/>
  <c r="DG54" i="24"/>
  <c r="DI54" i="24"/>
  <c r="DJ54" i="24"/>
  <c r="DE55" i="24"/>
  <c r="DF55" i="24"/>
  <c r="DG55" i="24"/>
  <c r="DI55" i="24"/>
  <c r="DJ55" i="24"/>
  <c r="DE56" i="24"/>
  <c r="DF56" i="24"/>
  <c r="DG56" i="24"/>
  <c r="DI56" i="24"/>
  <c r="DJ56" i="24"/>
  <c r="DE57" i="24"/>
  <c r="DF57" i="24"/>
  <c r="DG57" i="24"/>
  <c r="DI57" i="24"/>
  <c r="DJ57" i="24"/>
  <c r="DE58" i="24"/>
  <c r="DF58" i="24"/>
  <c r="DG58" i="24"/>
  <c r="DI58" i="24"/>
  <c r="DJ58" i="24"/>
  <c r="DE59" i="24"/>
  <c r="DF59" i="24"/>
  <c r="DG59" i="24"/>
  <c r="DI59" i="24"/>
  <c r="DJ59" i="24"/>
  <c r="DE60" i="24"/>
  <c r="DF60" i="24"/>
  <c r="DG60" i="24"/>
  <c r="DI60" i="24"/>
  <c r="DJ60" i="24"/>
  <c r="DE61" i="24"/>
  <c r="DF61" i="24"/>
  <c r="DG61" i="24"/>
  <c r="DI61" i="24"/>
  <c r="DJ61" i="24"/>
  <c r="DE62" i="24"/>
  <c r="DF62" i="24"/>
  <c r="DG62" i="24"/>
  <c r="DI62" i="24"/>
  <c r="DJ62" i="24"/>
  <c r="DE63" i="24"/>
  <c r="DF63" i="24"/>
  <c r="DG63" i="24"/>
  <c r="DI63" i="24"/>
  <c r="DJ63" i="24"/>
  <c r="DE64" i="24"/>
  <c r="DF64" i="24"/>
  <c r="DG64" i="24"/>
  <c r="DI64" i="24"/>
  <c r="DJ64" i="24"/>
  <c r="DE65" i="24"/>
  <c r="DF65" i="24"/>
  <c r="DG65" i="24"/>
  <c r="DI65" i="24"/>
  <c r="DJ65" i="24"/>
  <c r="DE66" i="24"/>
  <c r="DF66" i="24"/>
  <c r="DG66" i="24"/>
  <c r="DI66" i="24"/>
  <c r="DJ66" i="24"/>
  <c r="DE67" i="24"/>
  <c r="DF67" i="24"/>
  <c r="DG67" i="24"/>
  <c r="DI67" i="24"/>
  <c r="DJ67" i="24"/>
  <c r="DE68" i="24"/>
  <c r="DF68" i="24"/>
  <c r="DG68" i="24"/>
  <c r="DI68" i="24"/>
  <c r="DJ68" i="24"/>
  <c r="DE69" i="24"/>
  <c r="DF69" i="24"/>
  <c r="DG69" i="24"/>
  <c r="DI69" i="24"/>
  <c r="DJ69" i="24"/>
  <c r="DE70" i="24"/>
  <c r="DF70" i="24"/>
  <c r="DG70" i="24"/>
  <c r="DI70" i="24"/>
  <c r="DJ70" i="24"/>
  <c r="DE71" i="24"/>
  <c r="DF71" i="24"/>
  <c r="DG71" i="24"/>
  <c r="DI71" i="24"/>
  <c r="DJ71" i="24"/>
  <c r="DE72" i="24"/>
  <c r="DF72" i="24"/>
  <c r="DG72" i="24"/>
  <c r="DI72" i="24"/>
  <c r="DJ72" i="24"/>
  <c r="DE73" i="24"/>
  <c r="DF73" i="24"/>
  <c r="DG73" i="24"/>
  <c r="DI73" i="24"/>
  <c r="DJ73" i="24"/>
  <c r="DE74" i="24"/>
  <c r="DF74" i="24"/>
  <c r="DG74" i="24"/>
  <c r="DI74" i="24"/>
  <c r="DJ74" i="24"/>
  <c r="DE75" i="24"/>
  <c r="DF75" i="24"/>
  <c r="DG75" i="24"/>
  <c r="DI75" i="24"/>
  <c r="DJ75" i="24"/>
  <c r="DE76" i="24"/>
  <c r="DF76" i="24"/>
  <c r="DG76" i="24"/>
  <c r="DI76" i="24"/>
  <c r="DJ76" i="24"/>
  <c r="DE77" i="24"/>
  <c r="DF77" i="24"/>
  <c r="DG77" i="24"/>
  <c r="DI77" i="24"/>
  <c r="DJ77" i="24"/>
  <c r="DE78" i="24"/>
  <c r="DF78" i="24"/>
  <c r="DG78" i="24"/>
  <c r="DI78" i="24"/>
  <c r="DJ78" i="24"/>
  <c r="DE79" i="24"/>
  <c r="DF79" i="24"/>
  <c r="DG79" i="24"/>
  <c r="DI79" i="24"/>
  <c r="DJ79" i="24"/>
  <c r="DE80" i="24"/>
  <c r="DF80" i="24"/>
  <c r="DG80" i="24"/>
  <c r="DI80" i="24"/>
  <c r="DJ80" i="24"/>
  <c r="DE81" i="24"/>
  <c r="DF81" i="24"/>
  <c r="DG81" i="24"/>
  <c r="DI81" i="24"/>
  <c r="DJ81" i="24"/>
  <c r="DE82" i="24"/>
  <c r="DF82" i="24"/>
  <c r="DG82" i="24"/>
  <c r="DI82" i="24"/>
  <c r="DJ82" i="24"/>
  <c r="DE83" i="24"/>
  <c r="DF83" i="24"/>
  <c r="DG83" i="24"/>
  <c r="DI83" i="24"/>
  <c r="DJ83" i="24"/>
  <c r="DE84" i="24"/>
  <c r="DF84" i="24"/>
  <c r="DG84" i="24"/>
  <c r="DI84" i="24"/>
  <c r="DJ84" i="24"/>
  <c r="DE85" i="24"/>
  <c r="DF85" i="24"/>
  <c r="DG85" i="24"/>
  <c r="DI85" i="24"/>
  <c r="DJ85" i="24"/>
  <c r="DE86" i="24"/>
  <c r="DF86" i="24"/>
  <c r="DG86" i="24"/>
  <c r="DI86" i="24"/>
  <c r="DJ86" i="24"/>
  <c r="DE87" i="24"/>
  <c r="DF87" i="24"/>
  <c r="DG87" i="24"/>
  <c r="DI87" i="24"/>
  <c r="DJ87" i="24"/>
  <c r="DE88" i="24"/>
  <c r="DF88" i="24"/>
  <c r="DG88" i="24"/>
  <c r="DI88" i="24"/>
  <c r="DJ88" i="24"/>
  <c r="DE89" i="24"/>
  <c r="DF89" i="24"/>
  <c r="DG89" i="24"/>
  <c r="DI89" i="24"/>
  <c r="DJ89" i="24"/>
  <c r="DE90" i="24"/>
  <c r="DF90" i="24"/>
  <c r="DG90" i="24"/>
  <c r="DI90" i="24"/>
  <c r="DJ90" i="24"/>
  <c r="DE91" i="24"/>
  <c r="DF91" i="24"/>
  <c r="DG91" i="24"/>
  <c r="DI91" i="24"/>
  <c r="DJ91" i="24"/>
  <c r="DE92" i="24"/>
  <c r="DF92" i="24"/>
  <c r="DG92" i="24"/>
  <c r="DI92" i="24"/>
  <c r="DJ92" i="24"/>
  <c r="DE93" i="24"/>
  <c r="DF93" i="24"/>
  <c r="DG93" i="24"/>
  <c r="DI93" i="24"/>
  <c r="DJ93" i="24"/>
  <c r="DE94" i="24"/>
  <c r="DF94" i="24"/>
  <c r="DG94" i="24"/>
  <c r="DI94" i="24"/>
  <c r="DJ94" i="24"/>
  <c r="DE95" i="24"/>
  <c r="DF95" i="24"/>
  <c r="DG95" i="24"/>
  <c r="DI95" i="24"/>
  <c r="DJ95" i="24"/>
  <c r="DE96" i="24"/>
  <c r="DF96" i="24"/>
  <c r="DG96" i="24"/>
  <c r="DI96" i="24"/>
  <c r="DJ96" i="24"/>
  <c r="DE97" i="24"/>
  <c r="DF97" i="24"/>
  <c r="DG97" i="24"/>
  <c r="DI97" i="24"/>
  <c r="DJ97" i="24"/>
  <c r="DE98" i="24"/>
  <c r="DF98" i="24"/>
  <c r="DG98" i="24"/>
  <c r="DI98" i="24"/>
  <c r="DJ98" i="24"/>
  <c r="DE99" i="24"/>
  <c r="DF99" i="24"/>
  <c r="DG99" i="24"/>
  <c r="DI99" i="24"/>
  <c r="DJ99" i="24"/>
  <c r="DE100" i="24"/>
  <c r="DF100" i="24"/>
  <c r="DG100" i="24"/>
  <c r="DI100" i="24"/>
  <c r="DJ100" i="24"/>
  <c r="DE101" i="24"/>
  <c r="DF101" i="24"/>
  <c r="DG101" i="24"/>
  <c r="DI101" i="24"/>
  <c r="DJ101" i="24"/>
  <c r="DE102" i="24"/>
  <c r="DF102" i="24"/>
  <c r="DG102" i="24"/>
  <c r="DI102" i="24"/>
  <c r="DJ102" i="24"/>
  <c r="DE103" i="24"/>
  <c r="DF103" i="24"/>
  <c r="DG103" i="24"/>
  <c r="DI103" i="24"/>
  <c r="DJ103" i="24"/>
  <c r="DE104" i="24"/>
  <c r="DF104" i="24"/>
  <c r="DG104" i="24"/>
  <c r="DI104" i="24"/>
  <c r="DJ104" i="24"/>
  <c r="DE105" i="24"/>
  <c r="DF105" i="24"/>
  <c r="DG105" i="24"/>
  <c r="DI105" i="24"/>
  <c r="DJ105" i="24"/>
  <c r="DE106" i="24"/>
  <c r="DF106" i="24"/>
  <c r="DG106" i="24"/>
  <c r="DI106" i="24"/>
  <c r="DJ106" i="24"/>
  <c r="DE107" i="24"/>
  <c r="DF107" i="24"/>
  <c r="DG107" i="24"/>
  <c r="DI107" i="24"/>
  <c r="DJ107" i="24"/>
  <c r="DE108" i="24"/>
  <c r="DF108" i="24"/>
  <c r="DG108" i="24"/>
  <c r="DI108" i="24"/>
  <c r="DJ108" i="24"/>
  <c r="DE109" i="24"/>
  <c r="DF109" i="24"/>
  <c r="DG109" i="24"/>
  <c r="DI109" i="24"/>
  <c r="DJ109" i="24"/>
  <c r="DE110" i="24"/>
  <c r="DF110" i="24"/>
  <c r="DG110" i="24"/>
  <c r="DI110" i="24"/>
  <c r="DJ110" i="24"/>
  <c r="DE111" i="24"/>
  <c r="DF111" i="24"/>
  <c r="DG111" i="24"/>
  <c r="DI111" i="24"/>
  <c r="DJ111" i="24"/>
  <c r="DE112" i="24"/>
  <c r="DF112" i="24"/>
  <c r="DG112" i="24"/>
  <c r="DI112" i="24"/>
  <c r="DJ112" i="24"/>
  <c r="DE113" i="24"/>
  <c r="DF113" i="24"/>
  <c r="DG113" i="24"/>
  <c r="DI113" i="24"/>
  <c r="DJ113" i="24"/>
  <c r="DE114" i="24"/>
  <c r="DF114" i="24"/>
  <c r="DG114" i="24"/>
  <c r="DI114" i="24"/>
  <c r="DJ114" i="24"/>
  <c r="DE115" i="24"/>
  <c r="DF115" i="24"/>
  <c r="DG115" i="24"/>
  <c r="DI115" i="24"/>
  <c r="DJ115" i="24"/>
  <c r="DE116" i="24"/>
  <c r="DF116" i="24"/>
  <c r="DG116" i="24"/>
  <c r="DI116" i="24"/>
  <c r="DJ116" i="24"/>
  <c r="DE117" i="24"/>
  <c r="DF117" i="24"/>
  <c r="DG117" i="24"/>
  <c r="DI117" i="24"/>
  <c r="DJ117" i="24"/>
  <c r="DE118" i="24"/>
  <c r="DF118" i="24"/>
  <c r="DG118" i="24"/>
  <c r="DI118" i="24"/>
  <c r="DJ118" i="24"/>
  <c r="DE119" i="24"/>
  <c r="DF119" i="24"/>
  <c r="DG119" i="24"/>
  <c r="DI119" i="24"/>
  <c r="DJ119" i="24"/>
  <c r="DE120" i="24"/>
  <c r="DF120" i="24"/>
  <c r="DG120" i="24"/>
  <c r="DI120" i="24"/>
  <c r="DJ120" i="24"/>
  <c r="DE121" i="24"/>
  <c r="DF121" i="24"/>
  <c r="DG121" i="24"/>
  <c r="DI121" i="24"/>
  <c r="DJ121" i="24"/>
  <c r="DE122" i="24"/>
  <c r="DF122" i="24"/>
  <c r="DG122" i="24"/>
  <c r="DI122" i="24"/>
  <c r="DJ122" i="24"/>
  <c r="DE123" i="24"/>
  <c r="DF123" i="24"/>
  <c r="DG123" i="24"/>
  <c r="DI123" i="24"/>
  <c r="DJ123" i="24"/>
  <c r="DE124" i="24"/>
  <c r="DF124" i="24"/>
  <c r="DG124" i="24"/>
  <c r="DI124" i="24"/>
  <c r="DJ124" i="24"/>
  <c r="DE125" i="24"/>
  <c r="DF125" i="24"/>
  <c r="DG125" i="24"/>
  <c r="DI125" i="24"/>
  <c r="DJ125" i="24"/>
  <c r="DE126" i="24"/>
  <c r="DF126" i="24"/>
  <c r="DG126" i="24"/>
  <c r="DI126" i="24"/>
  <c r="DJ126" i="24"/>
  <c r="DE127" i="24"/>
  <c r="DF127" i="24"/>
  <c r="DG127" i="24"/>
  <c r="DI127" i="24"/>
  <c r="DJ127" i="24"/>
  <c r="DE128" i="24"/>
  <c r="DF128" i="24"/>
  <c r="DG128" i="24"/>
  <c r="DI128" i="24"/>
  <c r="DJ128" i="24"/>
  <c r="DE129" i="24"/>
  <c r="DF129" i="24"/>
  <c r="DG129" i="24"/>
  <c r="DI129" i="24"/>
  <c r="DJ129" i="24"/>
  <c r="DE130" i="24"/>
  <c r="DF130" i="24"/>
  <c r="DG130" i="24"/>
  <c r="DI130" i="24"/>
  <c r="DJ130" i="24"/>
  <c r="DE131" i="24"/>
  <c r="DF131" i="24"/>
  <c r="DG131" i="24"/>
  <c r="DI131" i="24"/>
  <c r="DJ131" i="24"/>
  <c r="DE132" i="24"/>
  <c r="DF132" i="24"/>
  <c r="DG132" i="24"/>
  <c r="DI132" i="24"/>
  <c r="DJ132" i="24"/>
  <c r="DE133" i="24"/>
  <c r="DF133" i="24"/>
  <c r="DG133" i="24"/>
  <c r="DI133" i="24"/>
  <c r="DJ133" i="24"/>
  <c r="DE134" i="24"/>
  <c r="DF134" i="24"/>
  <c r="DG134" i="24"/>
  <c r="DI134" i="24"/>
  <c r="DJ134" i="24"/>
  <c r="DE135" i="24"/>
  <c r="DF135" i="24"/>
  <c r="DG135" i="24"/>
  <c r="DI135" i="24"/>
  <c r="DJ135" i="24"/>
  <c r="DE136" i="24"/>
  <c r="DF136" i="24"/>
  <c r="DG136" i="24"/>
  <c r="DI136" i="24"/>
  <c r="DJ136" i="24"/>
  <c r="DE137" i="24"/>
  <c r="DF137" i="24"/>
  <c r="DG137" i="24"/>
  <c r="DI137" i="24"/>
  <c r="DJ137" i="24"/>
  <c r="DE138" i="24"/>
  <c r="DF138" i="24"/>
  <c r="DG138" i="24"/>
  <c r="DI138" i="24"/>
  <c r="DJ138" i="24"/>
  <c r="DE139" i="24"/>
  <c r="DF139" i="24"/>
  <c r="DG139" i="24"/>
  <c r="DI139" i="24"/>
  <c r="DJ139" i="24"/>
  <c r="DE140" i="24"/>
  <c r="DF140" i="24"/>
  <c r="DG140" i="24"/>
  <c r="DI140" i="24"/>
  <c r="DJ140" i="24"/>
  <c r="DE141" i="24"/>
  <c r="DF141" i="24"/>
  <c r="DG141" i="24"/>
  <c r="DI141" i="24"/>
  <c r="DJ141" i="24"/>
  <c r="DE142" i="24"/>
  <c r="DF142" i="24"/>
  <c r="DG142" i="24"/>
  <c r="DI142" i="24"/>
  <c r="DJ142" i="24"/>
  <c r="DE143" i="24"/>
  <c r="DF143" i="24"/>
  <c r="DG143" i="24"/>
  <c r="DI143" i="24"/>
  <c r="DJ143" i="24"/>
  <c r="DE144" i="24"/>
  <c r="DF144" i="24"/>
  <c r="DG144" i="24"/>
  <c r="DI144" i="24"/>
  <c r="DJ144" i="24"/>
  <c r="DE145" i="24"/>
  <c r="DF145" i="24"/>
  <c r="DG145" i="24"/>
  <c r="DI145" i="24"/>
  <c r="DJ145" i="24"/>
  <c r="DE146" i="24"/>
  <c r="DF146" i="24"/>
  <c r="DG146" i="24"/>
  <c r="DI146" i="24"/>
  <c r="DJ146" i="24"/>
  <c r="DE147" i="24"/>
  <c r="DF147" i="24"/>
  <c r="DG147" i="24"/>
  <c r="DI147" i="24"/>
  <c r="DJ147" i="24"/>
  <c r="DE148" i="24"/>
  <c r="DF148" i="24"/>
  <c r="DG148" i="24"/>
  <c r="DI148" i="24"/>
  <c r="DJ148" i="24"/>
  <c r="DE149" i="24"/>
  <c r="DF149" i="24"/>
  <c r="DG149" i="24"/>
  <c r="DI149" i="24"/>
  <c r="DJ149" i="24"/>
  <c r="DE150" i="24"/>
  <c r="DF150" i="24"/>
  <c r="DG150" i="24"/>
  <c r="DI150" i="24"/>
  <c r="DJ150" i="24"/>
  <c r="DE151" i="24"/>
  <c r="DF151" i="24"/>
  <c r="DG151" i="24"/>
  <c r="DI151" i="24"/>
  <c r="DJ151" i="24"/>
  <c r="DE152" i="24"/>
  <c r="DF152" i="24"/>
  <c r="DG152" i="24"/>
  <c r="DI152" i="24"/>
  <c r="DJ152" i="24"/>
  <c r="DE153" i="24"/>
  <c r="DF153" i="24"/>
  <c r="DG153" i="24"/>
  <c r="DI153" i="24"/>
  <c r="DJ153" i="24"/>
  <c r="I17" i="14" l="1"/>
  <c r="AL12" i="14"/>
  <c r="AI12" i="14" s="1"/>
  <c r="AL13" i="14"/>
  <c r="AI13" i="14" s="1"/>
  <c r="AL11" i="14"/>
  <c r="AI11" i="14" s="1"/>
  <c r="G5" i="14"/>
  <c r="AI2" i="14"/>
  <c r="AI3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I5" i="14"/>
  <c r="C106" i="16" l="1"/>
  <c r="Y38" i="22" l="1"/>
  <c r="AF38" i="22"/>
  <c r="AD17" i="29" l="1"/>
  <c r="AD15" i="29"/>
  <c r="W15" i="29"/>
  <c r="W16" i="29"/>
  <c r="W17" i="29"/>
  <c r="V2" i="29"/>
  <c r="AV2" i="29"/>
  <c r="AW2" i="29"/>
  <c r="AV4" i="29"/>
  <c r="AW4" i="29"/>
  <c r="V6" i="29"/>
  <c r="AV8" i="29"/>
  <c r="AW8" i="29"/>
  <c r="V12" i="29"/>
  <c r="AC12" i="29"/>
  <c r="Z15" i="29"/>
  <c r="V15" i="29" s="1"/>
  <c r="AV15" i="29"/>
  <c r="AW15" i="29"/>
  <c r="AC17" i="29"/>
  <c r="AV17" i="29"/>
  <c r="AW17" i="29"/>
  <c r="AC15" i="29" l="1"/>
  <c r="AM5" i="48" l="1"/>
  <c r="AN5" i="48"/>
  <c r="AN4" i="48"/>
  <c r="AN3" i="48"/>
  <c r="AP4" i="42" l="1"/>
  <c r="AA4" i="42"/>
  <c r="T4" i="42"/>
  <c r="Z12" i="41" l="1"/>
  <c r="Z18" i="41"/>
  <c r="Z21" i="41"/>
  <c r="Z24" i="41"/>
  <c r="Z27" i="41"/>
  <c r="Z30" i="41"/>
  <c r="V29" i="41"/>
  <c r="AC29" i="41" s="1"/>
  <c r="U29" i="41"/>
  <c r="AB29" i="41" s="1"/>
  <c r="T29" i="41"/>
  <c r="AA29" i="41" s="1"/>
  <c r="V28" i="41"/>
  <c r="AC28" i="41" s="1"/>
  <c r="U28" i="41"/>
  <c r="AB28" i="41" s="1"/>
  <c r="T28" i="41"/>
  <c r="AA28" i="41" s="1"/>
  <c r="V32" i="41"/>
  <c r="AC32" i="41" s="1"/>
  <c r="U32" i="41"/>
  <c r="AB32" i="41" s="1"/>
  <c r="T32" i="41"/>
  <c r="AA32" i="41" s="1"/>
  <c r="V31" i="41"/>
  <c r="AC31" i="41" s="1"/>
  <c r="U31" i="41"/>
  <c r="AB31" i="41" s="1"/>
  <c r="T31" i="41"/>
  <c r="AA31" i="41" s="1"/>
  <c r="V23" i="41"/>
  <c r="AC23" i="41" s="1"/>
  <c r="U23" i="41"/>
  <c r="AB23" i="41" s="1"/>
  <c r="T23" i="41"/>
  <c r="AA23" i="41" s="1"/>
  <c r="V22" i="41"/>
  <c r="AC22" i="41" s="1"/>
  <c r="U22" i="41"/>
  <c r="AB22" i="41" s="1"/>
  <c r="T22" i="41"/>
  <c r="AA22" i="41" s="1"/>
  <c r="V20" i="41"/>
  <c r="AC20" i="41" s="1"/>
  <c r="U20" i="41"/>
  <c r="AB20" i="41" s="1"/>
  <c r="T20" i="41"/>
  <c r="AA20" i="41" s="1"/>
  <c r="V19" i="41"/>
  <c r="AC19" i="41" s="1"/>
  <c r="U19" i="41"/>
  <c r="AB19" i="41" s="1"/>
  <c r="T19" i="41"/>
  <c r="AA19" i="41" s="1"/>
  <c r="V26" i="41"/>
  <c r="AC26" i="41" s="1"/>
  <c r="U26" i="41"/>
  <c r="AB26" i="41" s="1"/>
  <c r="T26" i="41"/>
  <c r="AA26" i="41" s="1"/>
  <c r="V25" i="41"/>
  <c r="AC25" i="41" s="1"/>
  <c r="U25" i="41"/>
  <c r="AB25" i="41" s="1"/>
  <c r="T25" i="41"/>
  <c r="AA25" i="41" s="1"/>
  <c r="AZ37" i="41"/>
  <c r="AZ38" i="41"/>
  <c r="AZ35" i="41"/>
  <c r="AZ34" i="41"/>
  <c r="AZ32" i="41"/>
  <c r="AZ31" i="41"/>
  <c r="AZ29" i="41"/>
  <c r="AZ28" i="41"/>
  <c r="AZ26" i="41"/>
  <c r="AZ25" i="41"/>
  <c r="AZ24" i="41"/>
  <c r="AZ23" i="41"/>
  <c r="AZ22" i="41"/>
  <c r="AZ27" i="41"/>
  <c r="AZ30" i="41"/>
  <c r="AZ33" i="41"/>
  <c r="AZ36" i="41"/>
  <c r="AZ19" i="41"/>
  <c r="AZ20" i="41"/>
  <c r="S3" i="41"/>
  <c r="S4" i="41"/>
  <c r="S6" i="41"/>
  <c r="S7" i="41"/>
  <c r="S10" i="41"/>
  <c r="S11" i="41"/>
  <c r="S13" i="41"/>
  <c r="V13" i="41" s="1"/>
  <c r="AC13" i="41" s="1"/>
  <c r="S14" i="41"/>
  <c r="V14" i="41" s="1"/>
  <c r="AC14" i="41" s="1"/>
  <c r="S16" i="41"/>
  <c r="S17" i="41"/>
  <c r="Q3" i="41"/>
  <c r="Q4" i="41"/>
  <c r="Q6" i="41"/>
  <c r="Q7" i="41"/>
  <c r="Q10" i="41"/>
  <c r="Q11" i="41"/>
  <c r="Q13" i="41"/>
  <c r="T13" i="41" s="1"/>
  <c r="AA13" i="41" s="1"/>
  <c r="Q14" i="41"/>
  <c r="T14" i="41" s="1"/>
  <c r="AA14" i="41" s="1"/>
  <c r="Q16" i="41"/>
  <c r="Q17" i="41"/>
  <c r="R13" i="41"/>
  <c r="U13" i="41" s="1"/>
  <c r="AB13" i="41" s="1"/>
  <c r="R16" i="41"/>
  <c r="AZ16" i="41"/>
  <c r="R17" i="41"/>
  <c r="AZ17" i="41"/>
  <c r="AZ13" i="41"/>
  <c r="R14" i="41"/>
  <c r="U14" i="41" s="1"/>
  <c r="AB14" i="41" s="1"/>
  <c r="AZ14" i="41"/>
  <c r="R10" i="41"/>
  <c r="AZ10" i="41"/>
  <c r="R11" i="41"/>
  <c r="AZ11" i="41"/>
  <c r="R6" i="41"/>
  <c r="AZ6" i="41"/>
  <c r="R7" i="41"/>
  <c r="AZ7" i="41"/>
  <c r="R3" i="41"/>
  <c r="AZ3" i="41"/>
  <c r="R4" i="41"/>
  <c r="AZ4" i="41"/>
  <c r="R33" i="41" l="1"/>
  <c r="AE33" i="41"/>
  <c r="AE24" i="41"/>
  <c r="R2" i="41"/>
  <c r="R5" i="41"/>
  <c r="R8" i="41"/>
  <c r="Z8" i="41" s="1"/>
  <c r="R9" i="41"/>
  <c r="Z9" i="41" s="1"/>
  <c r="R15" i="41"/>
  <c r="AE2" i="41"/>
  <c r="AE5" i="41"/>
  <c r="AE15" i="41"/>
  <c r="AE8" i="41"/>
  <c r="AE9" i="41"/>
  <c r="AE12" i="41"/>
  <c r="T16" i="41" l="1"/>
  <c r="AA16" i="41" s="1"/>
  <c r="Z15" i="41"/>
  <c r="U4" i="41"/>
  <c r="AB4" i="41" s="1"/>
  <c r="Z2" i="41"/>
  <c r="V35" i="41"/>
  <c r="AC35" i="41" s="1"/>
  <c r="U34" i="41"/>
  <c r="AB34" i="41" s="1"/>
  <c r="T35" i="41"/>
  <c r="AA35" i="41" s="1"/>
  <c r="V34" i="41"/>
  <c r="AC34" i="41" s="1"/>
  <c r="U35" i="41"/>
  <c r="AB35" i="41" s="1"/>
  <c r="T34" i="41"/>
  <c r="AA34" i="41" s="1"/>
  <c r="Z33" i="41"/>
  <c r="T7" i="41"/>
  <c r="AA7" i="41" s="1"/>
  <c r="Z5" i="41"/>
  <c r="V3" i="41"/>
  <c r="AC3" i="41" s="1"/>
  <c r="V17" i="41"/>
  <c r="AC17" i="41" s="1"/>
  <c r="U16" i="41"/>
  <c r="AB16" i="41" s="1"/>
  <c r="U10" i="41"/>
  <c r="AB10" i="41" s="1"/>
  <c r="U3" i="41"/>
  <c r="AB3" i="41" s="1"/>
  <c r="V4" i="41"/>
  <c r="AC4" i="41" s="1"/>
  <c r="V16" i="41"/>
  <c r="AC16" i="41" s="1"/>
  <c r="U7" i="41"/>
  <c r="AB7" i="41" s="1"/>
  <c r="V6" i="41"/>
  <c r="AC6" i="41" s="1"/>
  <c r="T4" i="41"/>
  <c r="AA4" i="41" s="1"/>
  <c r="U6" i="41"/>
  <c r="AB6" i="41" s="1"/>
  <c r="V7" i="41"/>
  <c r="AC7" i="41" s="1"/>
  <c r="T6" i="41"/>
  <c r="AA6" i="41" s="1"/>
  <c r="T17" i="41"/>
  <c r="AA17" i="41" s="1"/>
  <c r="T3" i="41"/>
  <c r="AA3" i="41" s="1"/>
  <c r="U17" i="41"/>
  <c r="AB17" i="41" s="1"/>
  <c r="AZ21" i="41"/>
  <c r="AZ18" i="41"/>
  <c r="AI12" i="41"/>
  <c r="AS6" i="46" l="1"/>
  <c r="AS5" i="46"/>
  <c r="AS4" i="46"/>
  <c r="AS2" i="46"/>
  <c r="AS3" i="46"/>
  <c r="T7" i="45" l="1"/>
  <c r="T6" i="45"/>
  <c r="I7" i="45"/>
  <c r="I6" i="45"/>
  <c r="M7" i="45"/>
  <c r="M6" i="45"/>
  <c r="AU6" i="45"/>
  <c r="AU7" i="45"/>
  <c r="AL7" i="45"/>
  <c r="AK7" i="45"/>
  <c r="AL6" i="45"/>
  <c r="AK6" i="45"/>
  <c r="M5" i="45"/>
  <c r="M4" i="45"/>
  <c r="I5" i="45"/>
  <c r="I4" i="45"/>
  <c r="T5" i="45"/>
  <c r="T4" i="45"/>
  <c r="S5" i="45"/>
  <c r="S4" i="45"/>
  <c r="AO5" i="45"/>
  <c r="AN5" i="45"/>
  <c r="AO4" i="45"/>
  <c r="AN4" i="45"/>
  <c r="W2" i="45"/>
  <c r="W3" i="45"/>
  <c r="W4" i="45"/>
  <c r="W5" i="45"/>
  <c r="W6" i="45"/>
  <c r="W7" i="45"/>
  <c r="AI2" i="45"/>
  <c r="AI3" i="45"/>
  <c r="Q2" i="45"/>
  <c r="Q3" i="45"/>
  <c r="Q4" i="45"/>
  <c r="Q5" i="45"/>
  <c r="AO3" i="45"/>
  <c r="AO2" i="45"/>
  <c r="AN2" i="45"/>
  <c r="AN3" i="45"/>
  <c r="AL2" i="45"/>
  <c r="AL3" i="45"/>
  <c r="AK2" i="45"/>
  <c r="AK3" i="45"/>
  <c r="N3" i="33" l="1"/>
  <c r="L3" i="33"/>
  <c r="L2" i="33"/>
  <c r="N2" i="33"/>
  <c r="J3" i="33"/>
  <c r="J2" i="33"/>
  <c r="AX2" i="22" l="1"/>
  <c r="DI154" i="24" l="1"/>
  <c r="DI155" i="24"/>
  <c r="DI156" i="24"/>
  <c r="DI157" i="24"/>
  <c r="DI158" i="24"/>
  <c r="DI159" i="24"/>
  <c r="DI160" i="24"/>
  <c r="DI161" i="24"/>
  <c r="DI162" i="24"/>
  <c r="DI163" i="24"/>
  <c r="DI164" i="24"/>
  <c r="DI165" i="24"/>
  <c r="DI166" i="24"/>
  <c r="DI167" i="24"/>
  <c r="DI168" i="24"/>
  <c r="DI169" i="24"/>
  <c r="DI170" i="24"/>
  <c r="DI171" i="24"/>
  <c r="DI172" i="24"/>
  <c r="DI173" i="24"/>
  <c r="DI174" i="24"/>
  <c r="DI175" i="24"/>
  <c r="DI176" i="24"/>
  <c r="DI177" i="24"/>
  <c r="DI179" i="24"/>
  <c r="DI180" i="24"/>
  <c r="DI181" i="24"/>
  <c r="DI182" i="24"/>
  <c r="DI183" i="24"/>
  <c r="DI184" i="24"/>
  <c r="DI185" i="24"/>
  <c r="DI178" i="24"/>
  <c r="DI186" i="24"/>
  <c r="DI187" i="24"/>
  <c r="DI188" i="24"/>
  <c r="DI189" i="24"/>
  <c r="DI190" i="24"/>
  <c r="DI191" i="24"/>
  <c r="DI192" i="24"/>
  <c r="DI193" i="24"/>
  <c r="DI194" i="24"/>
  <c r="DI195" i="24"/>
  <c r="DI196" i="24"/>
  <c r="DI197" i="24"/>
  <c r="DI198" i="24"/>
  <c r="DI199" i="24"/>
  <c r="DI200" i="24"/>
  <c r="DI201" i="24"/>
  <c r="DI202" i="24"/>
  <c r="DI203" i="24"/>
  <c r="DI204" i="24"/>
  <c r="DI205" i="24"/>
  <c r="DI206" i="24"/>
  <c r="DI207" i="24"/>
  <c r="DI208" i="24"/>
  <c r="DI209" i="24"/>
  <c r="DI210" i="24"/>
  <c r="DI211" i="24"/>
  <c r="DI212" i="24"/>
  <c r="DI213" i="24"/>
  <c r="DI214" i="24"/>
  <c r="DI215" i="24"/>
  <c r="DI216" i="24"/>
  <c r="DI217" i="24"/>
  <c r="DI218" i="24"/>
  <c r="DI219" i="24"/>
  <c r="DI220" i="24"/>
  <c r="DI221" i="24"/>
  <c r="DI222" i="24"/>
  <c r="DI223" i="24"/>
  <c r="DI224" i="24"/>
  <c r="DI225" i="24"/>
  <c r="DI226" i="24"/>
  <c r="DI227" i="24"/>
  <c r="DI228" i="24"/>
  <c r="DI229" i="24"/>
  <c r="DI230" i="24"/>
  <c r="DI231" i="24"/>
  <c r="DI232" i="24"/>
  <c r="DI233" i="24"/>
  <c r="DI234" i="24"/>
  <c r="DI235" i="24"/>
  <c r="DI236" i="24"/>
  <c r="DI237" i="24"/>
  <c r="DI238" i="24"/>
  <c r="DI239" i="24"/>
  <c r="DI240" i="24"/>
  <c r="DI241" i="24"/>
  <c r="DI242" i="24"/>
  <c r="DI243" i="24"/>
  <c r="DI244" i="24"/>
  <c r="DI245" i="24"/>
  <c r="DI246" i="24"/>
  <c r="DI247" i="24"/>
  <c r="DI248" i="24"/>
  <c r="DI249" i="24"/>
  <c r="BV47" i="24"/>
  <c r="BV46" i="24"/>
  <c r="BV43" i="24"/>
  <c r="BV42" i="24"/>
  <c r="BV127" i="24"/>
  <c r="BV126" i="24"/>
  <c r="BV123" i="24"/>
  <c r="BV122" i="24"/>
  <c r="BV119" i="24"/>
  <c r="BV118" i="24"/>
  <c r="BV115" i="24"/>
  <c r="BV114" i="24"/>
  <c r="BV111" i="24"/>
  <c r="BV110" i="24"/>
  <c r="BV107" i="24"/>
  <c r="BV106" i="24"/>
  <c r="BV103" i="24"/>
  <c r="BV102" i="24"/>
  <c r="BV99" i="24"/>
  <c r="BV98" i="24"/>
  <c r="BV95" i="24"/>
  <c r="BV94" i="24"/>
  <c r="BV91" i="24"/>
  <c r="BV90" i="24"/>
  <c r="BV39" i="24"/>
  <c r="BV38" i="24"/>
  <c r="BV35" i="24"/>
  <c r="BV34" i="24"/>
  <c r="BV152" i="24"/>
  <c r="BV32" i="24"/>
  <c r="BV150" i="24"/>
  <c r="BV30" i="24"/>
  <c r="BV148" i="24"/>
  <c r="BV28" i="24"/>
  <c r="BV146" i="24"/>
  <c r="BV26" i="24"/>
  <c r="BV87" i="24"/>
  <c r="BV86" i="24"/>
  <c r="BV83" i="24"/>
  <c r="BV82" i="24"/>
  <c r="BV144" i="24"/>
  <c r="BV24" i="24"/>
  <c r="BV142" i="24"/>
  <c r="BV22" i="24"/>
  <c r="BV140" i="24"/>
  <c r="BV20" i="24"/>
  <c r="BV138" i="24"/>
  <c r="BV18" i="24"/>
  <c r="BV17" i="24"/>
  <c r="BV136" i="24"/>
  <c r="BV135" i="24"/>
  <c r="BV79" i="24"/>
  <c r="BV78" i="24"/>
  <c r="BV14" i="24"/>
  <c r="BV13" i="24"/>
  <c r="BV132" i="24"/>
  <c r="BV131" i="24"/>
  <c r="BV75" i="24"/>
  <c r="BV74" i="24"/>
  <c r="BV10" i="24"/>
  <c r="BV71" i="24"/>
  <c r="BV70" i="24"/>
  <c r="BV67" i="24"/>
  <c r="BV66" i="24"/>
  <c r="BV63" i="24"/>
  <c r="BV62" i="24"/>
  <c r="BV59" i="24"/>
  <c r="BV58" i="24"/>
  <c r="BV55" i="24"/>
  <c r="BV54" i="24"/>
  <c r="BV51" i="24"/>
  <c r="BV50" i="24"/>
  <c r="BV7" i="24"/>
  <c r="BV6" i="24"/>
  <c r="BV3" i="24"/>
  <c r="BV2" i="24"/>
  <c r="BU47" i="24"/>
  <c r="BU46" i="24"/>
  <c r="BU43" i="24"/>
  <c r="BU42" i="24"/>
  <c r="BU127" i="24"/>
  <c r="BU126" i="24"/>
  <c r="BU123" i="24"/>
  <c r="BU122" i="24"/>
  <c r="BU119" i="24"/>
  <c r="BU118" i="24"/>
  <c r="BU115" i="24"/>
  <c r="BU114" i="24"/>
  <c r="BU111" i="24"/>
  <c r="BU110" i="24"/>
  <c r="BU107" i="24"/>
  <c r="BU106" i="24"/>
  <c r="BU103" i="24"/>
  <c r="BU102" i="24"/>
  <c r="BU99" i="24"/>
  <c r="BU98" i="24"/>
  <c r="BU95" i="24"/>
  <c r="BU94" i="24"/>
  <c r="BU91" i="24"/>
  <c r="BU90" i="24"/>
  <c r="BU39" i="24"/>
  <c r="BU38" i="24"/>
  <c r="BU35" i="24"/>
  <c r="BU34" i="24"/>
  <c r="BU152" i="24"/>
  <c r="BU32" i="24"/>
  <c r="BU150" i="24"/>
  <c r="BU30" i="24"/>
  <c r="BU148" i="24"/>
  <c r="BU28" i="24"/>
  <c r="BU146" i="24"/>
  <c r="BU26" i="24"/>
  <c r="BU87" i="24"/>
  <c r="BU86" i="24"/>
  <c r="BU83" i="24"/>
  <c r="BU82" i="24"/>
  <c r="BU144" i="24"/>
  <c r="BU24" i="24"/>
  <c r="BU142" i="24"/>
  <c r="BU22" i="24"/>
  <c r="BU140" i="24"/>
  <c r="BU20" i="24"/>
  <c r="BU138" i="24"/>
  <c r="BU18" i="24"/>
  <c r="BU17" i="24"/>
  <c r="BU136" i="24"/>
  <c r="BU135" i="24"/>
  <c r="BU79" i="24"/>
  <c r="BU78" i="24"/>
  <c r="BU14" i="24"/>
  <c r="BU13" i="24"/>
  <c r="BU132" i="24"/>
  <c r="BU131" i="24"/>
  <c r="BU75" i="24"/>
  <c r="BU74" i="24"/>
  <c r="BU10" i="24"/>
  <c r="BU71" i="24"/>
  <c r="BU70" i="24"/>
  <c r="BU67" i="24"/>
  <c r="BU66" i="24"/>
  <c r="BU63" i="24"/>
  <c r="BU62" i="24"/>
  <c r="BU59" i="24"/>
  <c r="BU58" i="24"/>
  <c r="BU55" i="24"/>
  <c r="BU54" i="24"/>
  <c r="BU51" i="24"/>
  <c r="BU50" i="24"/>
  <c r="BU7" i="24"/>
  <c r="BU6" i="24"/>
  <c r="BU3" i="24"/>
  <c r="BU2" i="24"/>
  <c r="DJ154" i="24"/>
  <c r="DJ155" i="24"/>
  <c r="DJ156" i="24"/>
  <c r="DJ157" i="24"/>
  <c r="DJ158" i="24"/>
  <c r="DJ159" i="24"/>
  <c r="DJ160" i="24"/>
  <c r="DJ161" i="24"/>
  <c r="DJ162" i="24"/>
  <c r="DJ163" i="24"/>
  <c r="DJ164" i="24"/>
  <c r="DJ165" i="24"/>
  <c r="DJ166" i="24"/>
  <c r="DJ167" i="24"/>
  <c r="DJ168" i="24"/>
  <c r="DJ169" i="24"/>
  <c r="DJ170" i="24"/>
  <c r="DJ171" i="24"/>
  <c r="DJ172" i="24"/>
  <c r="DJ173" i="24"/>
  <c r="DJ174" i="24"/>
  <c r="DJ175" i="24"/>
  <c r="DJ176" i="24"/>
  <c r="DJ177" i="24"/>
  <c r="DJ179" i="24"/>
  <c r="DJ180" i="24"/>
  <c r="DJ181" i="24"/>
  <c r="DJ182" i="24"/>
  <c r="DJ183" i="24"/>
  <c r="DJ184" i="24"/>
  <c r="DJ185" i="24"/>
  <c r="DJ178" i="24"/>
  <c r="DJ186" i="24"/>
  <c r="DJ187" i="24"/>
  <c r="DJ188" i="24"/>
  <c r="DJ189" i="24"/>
  <c r="DJ190" i="24"/>
  <c r="DJ191" i="24"/>
  <c r="DJ192" i="24"/>
  <c r="DJ193" i="24"/>
  <c r="DJ194" i="24"/>
  <c r="DJ195" i="24"/>
  <c r="DJ196" i="24"/>
  <c r="DJ197" i="24"/>
  <c r="DJ198" i="24"/>
  <c r="DJ199" i="24"/>
  <c r="DJ200" i="24"/>
  <c r="DJ201" i="24"/>
  <c r="DJ202" i="24"/>
  <c r="DJ203" i="24"/>
  <c r="DJ204" i="24"/>
  <c r="DJ205" i="24"/>
  <c r="DJ206" i="24"/>
  <c r="DJ207" i="24"/>
  <c r="DJ208" i="24"/>
  <c r="DJ209" i="24"/>
  <c r="DJ210" i="24"/>
  <c r="DJ211" i="24"/>
  <c r="DJ212" i="24"/>
  <c r="DJ213" i="24"/>
  <c r="DJ214" i="24"/>
  <c r="DJ215" i="24"/>
  <c r="DJ216" i="24"/>
  <c r="DJ217" i="24"/>
  <c r="DJ218" i="24"/>
  <c r="DJ219" i="24"/>
  <c r="DJ220" i="24"/>
  <c r="DJ221" i="24"/>
  <c r="DJ222" i="24"/>
  <c r="DJ223" i="24"/>
  <c r="DJ224" i="24"/>
  <c r="DJ225" i="24"/>
  <c r="DJ226" i="24"/>
  <c r="DJ227" i="24"/>
  <c r="DJ228" i="24"/>
  <c r="DJ229" i="24"/>
  <c r="DJ230" i="24"/>
  <c r="DJ231" i="24"/>
  <c r="DJ232" i="24"/>
  <c r="DJ233" i="24"/>
  <c r="DJ234" i="24"/>
  <c r="DJ235" i="24"/>
  <c r="DJ236" i="24"/>
  <c r="DJ237" i="24"/>
  <c r="DJ238" i="24"/>
  <c r="DJ239" i="24"/>
  <c r="DJ240" i="24"/>
  <c r="DJ241" i="24"/>
  <c r="DJ242" i="24"/>
  <c r="DJ243" i="24"/>
  <c r="DJ244" i="24"/>
  <c r="DJ245" i="24"/>
  <c r="DJ246" i="24"/>
  <c r="DJ247" i="24"/>
  <c r="DJ248" i="24"/>
  <c r="DJ249" i="24"/>
  <c r="DF154" i="24"/>
  <c r="DF155" i="24"/>
  <c r="DF156" i="24"/>
  <c r="DF157" i="24"/>
  <c r="DF158" i="24"/>
  <c r="DF159" i="24"/>
  <c r="DF160" i="24"/>
  <c r="DF161" i="24"/>
  <c r="DF162" i="24"/>
  <c r="DF163" i="24"/>
  <c r="DF164" i="24"/>
  <c r="DF165" i="24"/>
  <c r="DF166" i="24"/>
  <c r="DF167" i="24"/>
  <c r="DF168" i="24"/>
  <c r="DF169" i="24"/>
  <c r="DF170" i="24"/>
  <c r="DF171" i="24"/>
  <c r="DF172" i="24"/>
  <c r="DF173" i="24"/>
  <c r="DF174" i="24"/>
  <c r="DF175" i="24"/>
  <c r="DF176" i="24"/>
  <c r="DF177" i="24"/>
  <c r="DF179" i="24"/>
  <c r="DF180" i="24"/>
  <c r="DF181" i="24"/>
  <c r="DF182" i="24"/>
  <c r="DF183" i="24"/>
  <c r="DF184" i="24"/>
  <c r="DF185" i="24"/>
  <c r="DF178" i="24"/>
  <c r="DF186" i="24"/>
  <c r="DF187" i="24"/>
  <c r="DF188" i="24"/>
  <c r="DF189" i="24"/>
  <c r="DF190" i="24"/>
  <c r="DF191" i="24"/>
  <c r="DF192" i="24"/>
  <c r="DF193" i="24"/>
  <c r="DF194" i="24"/>
  <c r="DF195" i="24"/>
  <c r="DF196" i="24"/>
  <c r="DF197" i="24"/>
  <c r="DF198" i="24"/>
  <c r="DF199" i="24"/>
  <c r="DF200" i="24"/>
  <c r="DF201" i="24"/>
  <c r="DF202" i="24"/>
  <c r="DF203" i="24"/>
  <c r="DF204" i="24"/>
  <c r="DF205" i="24"/>
  <c r="DF206" i="24"/>
  <c r="DF207" i="24"/>
  <c r="DF208" i="24"/>
  <c r="DF209" i="24"/>
  <c r="DF210" i="24"/>
  <c r="DF211" i="24"/>
  <c r="DF212" i="24"/>
  <c r="DF213" i="24"/>
  <c r="DF214" i="24"/>
  <c r="DF215" i="24"/>
  <c r="DF216" i="24"/>
  <c r="DF217" i="24"/>
  <c r="DF218" i="24"/>
  <c r="DF219" i="24"/>
  <c r="DF220" i="24"/>
  <c r="DF221" i="24"/>
  <c r="DF222" i="24"/>
  <c r="DF223" i="24"/>
  <c r="DF224" i="24"/>
  <c r="DF225" i="24"/>
  <c r="DF226" i="24"/>
  <c r="DF227" i="24"/>
  <c r="DF228" i="24"/>
  <c r="DF229" i="24"/>
  <c r="DF230" i="24"/>
  <c r="DF231" i="24"/>
  <c r="DF232" i="24"/>
  <c r="DF233" i="24"/>
  <c r="DF234" i="24"/>
  <c r="DF235" i="24"/>
  <c r="DF236" i="24"/>
  <c r="DF237" i="24"/>
  <c r="DF238" i="24"/>
  <c r="DF239" i="24"/>
  <c r="DF240" i="24"/>
  <c r="DF241" i="24"/>
  <c r="DF242" i="24"/>
  <c r="DF243" i="24"/>
  <c r="DF244" i="24"/>
  <c r="DF245" i="24"/>
  <c r="DF246" i="24"/>
  <c r="DF247" i="24"/>
  <c r="DF248" i="24"/>
  <c r="DF249" i="24"/>
  <c r="BU4" i="24"/>
  <c r="BU5" i="24"/>
  <c r="BU8" i="24"/>
  <c r="BU9" i="24"/>
  <c r="BU52" i="24"/>
  <c r="BU53" i="24"/>
  <c r="BU56" i="24"/>
  <c r="BU57" i="24"/>
  <c r="BU60" i="24"/>
  <c r="BU61" i="24"/>
  <c r="BU64" i="24"/>
  <c r="BU65" i="24"/>
  <c r="BU68" i="24"/>
  <c r="BU69" i="24"/>
  <c r="BU72" i="24"/>
  <c r="BU73" i="24"/>
  <c r="BU130" i="24"/>
  <c r="BU11" i="24"/>
  <c r="BU12" i="24"/>
  <c r="BU76" i="24"/>
  <c r="BU77" i="24"/>
  <c r="BU133" i="24"/>
  <c r="BU134" i="24"/>
  <c r="BU15" i="24"/>
  <c r="BU16" i="24"/>
  <c r="BU80" i="24"/>
  <c r="BU81" i="24"/>
  <c r="BU137" i="24"/>
  <c r="BU19" i="24"/>
  <c r="BU139" i="24"/>
  <c r="BU21" i="24"/>
  <c r="BU141" i="24"/>
  <c r="BU23" i="24"/>
  <c r="BU143" i="24"/>
  <c r="BU25" i="24"/>
  <c r="BU145" i="24"/>
  <c r="BU84" i="24"/>
  <c r="BU85" i="24"/>
  <c r="BU88" i="24"/>
  <c r="BU89" i="24"/>
  <c r="BU27" i="24"/>
  <c r="BU147" i="24"/>
  <c r="BU29" i="24"/>
  <c r="BU149" i="24"/>
  <c r="BU31" i="24"/>
  <c r="BU151" i="24"/>
  <c r="BU33" i="24"/>
  <c r="BU153" i="24"/>
  <c r="BU36" i="24"/>
  <c r="BU37" i="24"/>
  <c r="BU40" i="24"/>
  <c r="BU41" i="24"/>
  <c r="BU92" i="24"/>
  <c r="BU93" i="24"/>
  <c r="BU96" i="24"/>
  <c r="BU97" i="24"/>
  <c r="BU100" i="24"/>
  <c r="BU101" i="24"/>
  <c r="BU104" i="24"/>
  <c r="BU105" i="24"/>
  <c r="BU108" i="24"/>
  <c r="BU109" i="24"/>
  <c r="BU112" i="24"/>
  <c r="BU113" i="24"/>
  <c r="BU116" i="24"/>
  <c r="BU117" i="24"/>
  <c r="BU120" i="24"/>
  <c r="BU121" i="24"/>
  <c r="BU124" i="24"/>
  <c r="BU125" i="24"/>
  <c r="BU128" i="24"/>
  <c r="BU129" i="24"/>
  <c r="BU44" i="24"/>
  <c r="BU45" i="24"/>
  <c r="BU48" i="24"/>
  <c r="BU49" i="24"/>
  <c r="BV4" i="24"/>
  <c r="BV5" i="24"/>
  <c r="BV8" i="24"/>
  <c r="BV9" i="24"/>
  <c r="BV52" i="24"/>
  <c r="BV53" i="24"/>
  <c r="BV56" i="24"/>
  <c r="BV57" i="24"/>
  <c r="BV60" i="24"/>
  <c r="BV61" i="24"/>
  <c r="BV64" i="24"/>
  <c r="BV65" i="24"/>
  <c r="BV68" i="24"/>
  <c r="BV69" i="24"/>
  <c r="BV72" i="24"/>
  <c r="BV73" i="24"/>
  <c r="BV130" i="24"/>
  <c r="BV11" i="24"/>
  <c r="BV12" i="24"/>
  <c r="BV76" i="24"/>
  <c r="BV77" i="24"/>
  <c r="BV133" i="24"/>
  <c r="BV134" i="24"/>
  <c r="BV15" i="24"/>
  <c r="BV16" i="24"/>
  <c r="BV80" i="24"/>
  <c r="BV81" i="24"/>
  <c r="BV137" i="24"/>
  <c r="BV19" i="24"/>
  <c r="BV139" i="24"/>
  <c r="BV21" i="24"/>
  <c r="BV141" i="24"/>
  <c r="BV23" i="24"/>
  <c r="BV143" i="24"/>
  <c r="BV25" i="24"/>
  <c r="BV145" i="24"/>
  <c r="BV84" i="24"/>
  <c r="BV85" i="24"/>
  <c r="BV88" i="24"/>
  <c r="BV89" i="24"/>
  <c r="BV27" i="24"/>
  <c r="BV147" i="24"/>
  <c r="BV29" i="24"/>
  <c r="BV149" i="24"/>
  <c r="BV31" i="24"/>
  <c r="BV151" i="24"/>
  <c r="BV33" i="24"/>
  <c r="BV153" i="24"/>
  <c r="BV36" i="24"/>
  <c r="BV37" i="24"/>
  <c r="BV40" i="24"/>
  <c r="BV41" i="24"/>
  <c r="BV92" i="24"/>
  <c r="BV93" i="24"/>
  <c r="BV96" i="24"/>
  <c r="BV97" i="24"/>
  <c r="BV100" i="24"/>
  <c r="BV101" i="24"/>
  <c r="BV104" i="24"/>
  <c r="BV105" i="24"/>
  <c r="BV108" i="24"/>
  <c r="BV109" i="24"/>
  <c r="BV112" i="24"/>
  <c r="BV113" i="24"/>
  <c r="BV116" i="24"/>
  <c r="BV117" i="24"/>
  <c r="BV120" i="24"/>
  <c r="BV121" i="24"/>
  <c r="BV124" i="24"/>
  <c r="BV125" i="24"/>
  <c r="BV128" i="24"/>
  <c r="BV129" i="24"/>
  <c r="BV44" i="24"/>
  <c r="BV45" i="24"/>
  <c r="BV48" i="24"/>
  <c r="BV49" i="24"/>
  <c r="DG154" i="24" l="1"/>
  <c r="DG155" i="24"/>
  <c r="DG156" i="24"/>
  <c r="DG157" i="24"/>
  <c r="DG158" i="24"/>
  <c r="DG159" i="24"/>
  <c r="DG160" i="24"/>
  <c r="DG161" i="24"/>
  <c r="DG162" i="24"/>
  <c r="DG163" i="24"/>
  <c r="DG164" i="24"/>
  <c r="DG165" i="24"/>
  <c r="DG166" i="24"/>
  <c r="DG167" i="24"/>
  <c r="DG168" i="24"/>
  <c r="DG169" i="24"/>
  <c r="DG170" i="24"/>
  <c r="DG171" i="24"/>
  <c r="DG172" i="24"/>
  <c r="DG173" i="24"/>
  <c r="DG174" i="24"/>
  <c r="DG175" i="24"/>
  <c r="DG176" i="24"/>
  <c r="DG177" i="24"/>
  <c r="DG179" i="24"/>
  <c r="DG180" i="24"/>
  <c r="DG181" i="24"/>
  <c r="DG182" i="24"/>
  <c r="DG183" i="24"/>
  <c r="DG184" i="24"/>
  <c r="DG185" i="24"/>
  <c r="DG178" i="24"/>
  <c r="DG186" i="24"/>
  <c r="DG187" i="24"/>
  <c r="DG188" i="24"/>
  <c r="DG189" i="24"/>
  <c r="DG190" i="24"/>
  <c r="DG191" i="24"/>
  <c r="DG192" i="24"/>
  <c r="DG193" i="24"/>
  <c r="DG194" i="24"/>
  <c r="DG195" i="24"/>
  <c r="DG196" i="24"/>
  <c r="DG197" i="24"/>
  <c r="DG198" i="24"/>
  <c r="DG199" i="24"/>
  <c r="DG200" i="24"/>
  <c r="DG201" i="24"/>
  <c r="DG202" i="24"/>
  <c r="DG203" i="24"/>
  <c r="DG204" i="24"/>
  <c r="DG205" i="24"/>
  <c r="DG206" i="24"/>
  <c r="DG207" i="24"/>
  <c r="DG208" i="24"/>
  <c r="DG209" i="24"/>
  <c r="DG210" i="24"/>
  <c r="DG211" i="24"/>
  <c r="DG212" i="24"/>
  <c r="DG213" i="24"/>
  <c r="DG214" i="24"/>
  <c r="DG215" i="24"/>
  <c r="DG216" i="24"/>
  <c r="DG217" i="24"/>
  <c r="DG218" i="24"/>
  <c r="DG219" i="24"/>
  <c r="DG220" i="24"/>
  <c r="DG221" i="24"/>
  <c r="DG222" i="24"/>
  <c r="DG223" i="24"/>
  <c r="DG224" i="24"/>
  <c r="DG225" i="24"/>
  <c r="DG226" i="24"/>
  <c r="DG227" i="24"/>
  <c r="DG228" i="24"/>
  <c r="DG229" i="24"/>
  <c r="DG230" i="24"/>
  <c r="DG231" i="24"/>
  <c r="DG232" i="24"/>
  <c r="DG233" i="24"/>
  <c r="DG234" i="24"/>
  <c r="DG235" i="24"/>
  <c r="DG236" i="24"/>
  <c r="DG237" i="24"/>
  <c r="DG238" i="24"/>
  <c r="DG239" i="24"/>
  <c r="DG240" i="24"/>
  <c r="DG241" i="24"/>
  <c r="DG242" i="24"/>
  <c r="DG243" i="24"/>
  <c r="DG244" i="24"/>
  <c r="DG245" i="24"/>
  <c r="DG246" i="24"/>
  <c r="DG247" i="24"/>
  <c r="DG248" i="24"/>
  <c r="DG249" i="24"/>
  <c r="DE154" i="24"/>
  <c r="DE155" i="24"/>
  <c r="DE156" i="24"/>
  <c r="DE157" i="24"/>
  <c r="DE158" i="24"/>
  <c r="DE159" i="24"/>
  <c r="DE160" i="24"/>
  <c r="DE161" i="24"/>
  <c r="DE162" i="24"/>
  <c r="DE163" i="24"/>
  <c r="DE164" i="24"/>
  <c r="DE165" i="24"/>
  <c r="DE166" i="24"/>
  <c r="DE167" i="24"/>
  <c r="DE168" i="24"/>
  <c r="DE169" i="24"/>
  <c r="DE170" i="24"/>
  <c r="DE171" i="24"/>
  <c r="DE172" i="24"/>
  <c r="DE173" i="24"/>
  <c r="DE174" i="24"/>
  <c r="DE175" i="24"/>
  <c r="DE176" i="24"/>
  <c r="DE177" i="24"/>
  <c r="DE179" i="24"/>
  <c r="DE180" i="24"/>
  <c r="DE181" i="24"/>
  <c r="DE182" i="24"/>
  <c r="DE183" i="24"/>
  <c r="DE184" i="24"/>
  <c r="DE185" i="24"/>
  <c r="DE178" i="24"/>
  <c r="DE186" i="24"/>
  <c r="DE187" i="24"/>
  <c r="DE188" i="24"/>
  <c r="DE189" i="24"/>
  <c r="DE190" i="24"/>
  <c r="DE191" i="24"/>
  <c r="DE192" i="24"/>
  <c r="DE193" i="24"/>
  <c r="DE194" i="24"/>
  <c r="DE195" i="24"/>
  <c r="DE196" i="24"/>
  <c r="DE197" i="24"/>
  <c r="DE198" i="24"/>
  <c r="DE199" i="24"/>
  <c r="DE200" i="24"/>
  <c r="DE201" i="24"/>
  <c r="DE202" i="24"/>
  <c r="DE203" i="24"/>
  <c r="DE204" i="24"/>
  <c r="DE205" i="24"/>
  <c r="DE206" i="24"/>
  <c r="DE207" i="24"/>
  <c r="DE208" i="24"/>
  <c r="DE209" i="24"/>
  <c r="DE210" i="24"/>
  <c r="DE211" i="24"/>
  <c r="DE212" i="24"/>
  <c r="DE213" i="24"/>
  <c r="DE214" i="24"/>
  <c r="DE215" i="24"/>
  <c r="DE216" i="24"/>
  <c r="DE217" i="24"/>
  <c r="DE218" i="24"/>
  <c r="DE219" i="24"/>
  <c r="DE220" i="24"/>
  <c r="DE221" i="24"/>
  <c r="DE222" i="24"/>
  <c r="DE223" i="24"/>
  <c r="DE224" i="24"/>
  <c r="DE225" i="24"/>
  <c r="DE226" i="24"/>
  <c r="DE227" i="24"/>
  <c r="DE228" i="24"/>
  <c r="DE229" i="24"/>
  <c r="DE230" i="24"/>
  <c r="DE231" i="24"/>
  <c r="DE232" i="24"/>
  <c r="DE233" i="24"/>
  <c r="DE234" i="24"/>
  <c r="DE235" i="24"/>
  <c r="DE236" i="24"/>
  <c r="DE237" i="24"/>
  <c r="DE238" i="24"/>
  <c r="DE239" i="24"/>
  <c r="DE240" i="24"/>
  <c r="DE241" i="24"/>
  <c r="DE242" i="24"/>
  <c r="DE243" i="24"/>
  <c r="DE244" i="24"/>
  <c r="DE245" i="24"/>
  <c r="DE246" i="24"/>
  <c r="DE247" i="24"/>
  <c r="DE248" i="24"/>
  <c r="DE249" i="24"/>
  <c r="BV154" i="24"/>
  <c r="BV155" i="24"/>
  <c r="BV156" i="24"/>
  <c r="BV157" i="24"/>
  <c r="BV158" i="24"/>
  <c r="BV159" i="24"/>
  <c r="BV160" i="24"/>
  <c r="BV161" i="24"/>
  <c r="BV162" i="24"/>
  <c r="BV163" i="24"/>
  <c r="BV164" i="24"/>
  <c r="BV165" i="24"/>
  <c r="BV166" i="24"/>
  <c r="BV167" i="24"/>
  <c r="BV168" i="24"/>
  <c r="BV169" i="24"/>
  <c r="BV170" i="24"/>
  <c r="BV171" i="24"/>
  <c r="BV172" i="24"/>
  <c r="BV173" i="24"/>
  <c r="BV174" i="24"/>
  <c r="BV175" i="24"/>
  <c r="BV176" i="24"/>
  <c r="BV177" i="24"/>
  <c r="BV179" i="24"/>
  <c r="BV180" i="24"/>
  <c r="BV181" i="24"/>
  <c r="BV182" i="24"/>
  <c r="BV183" i="24"/>
  <c r="BV184" i="24"/>
  <c r="BV185" i="24"/>
  <c r="BV178" i="24"/>
  <c r="BV186" i="24"/>
  <c r="BV187" i="24"/>
  <c r="BV188" i="24"/>
  <c r="BV189" i="24"/>
  <c r="BV190" i="24"/>
  <c r="BV191" i="24"/>
  <c r="BV192" i="24"/>
  <c r="BV193" i="24"/>
  <c r="BV194" i="24"/>
  <c r="BV195" i="24"/>
  <c r="BV196" i="24"/>
  <c r="BV197" i="24"/>
  <c r="BV198" i="24"/>
  <c r="BV199" i="24"/>
  <c r="BV200" i="24"/>
  <c r="BV201" i="24"/>
  <c r="BV202" i="24"/>
  <c r="BV203" i="24"/>
  <c r="BV204" i="24"/>
  <c r="BV205" i="24"/>
  <c r="BV206" i="24"/>
  <c r="BV207" i="24"/>
  <c r="BV208" i="24"/>
  <c r="BV209" i="24"/>
  <c r="BV210" i="24"/>
  <c r="BV211" i="24"/>
  <c r="BV212" i="24"/>
  <c r="BV213" i="24"/>
  <c r="BV214" i="24"/>
  <c r="BV215" i="24"/>
  <c r="BV216" i="24"/>
  <c r="BV217" i="24"/>
  <c r="BV218" i="24"/>
  <c r="BV219" i="24"/>
  <c r="BV220" i="24"/>
  <c r="BV221" i="24"/>
  <c r="BV222" i="24"/>
  <c r="BV223" i="24"/>
  <c r="BV224" i="24"/>
  <c r="BV225" i="24"/>
  <c r="BV226" i="24"/>
  <c r="BV227" i="24"/>
  <c r="BV228" i="24"/>
  <c r="BV229" i="24"/>
  <c r="BV230" i="24"/>
  <c r="BV231" i="24"/>
  <c r="BV232" i="24"/>
  <c r="BV233" i="24"/>
  <c r="BV234" i="24"/>
  <c r="BV235" i="24"/>
  <c r="BV236" i="24"/>
  <c r="BV237" i="24"/>
  <c r="BV238" i="24"/>
  <c r="BV239" i="24"/>
  <c r="BV240" i="24"/>
  <c r="BV241" i="24"/>
  <c r="BV242" i="24"/>
  <c r="BV243" i="24"/>
  <c r="BV244" i="24"/>
  <c r="BV245" i="24"/>
  <c r="BV246" i="24"/>
  <c r="BV247" i="24"/>
  <c r="BV248" i="24"/>
  <c r="BV249" i="24"/>
  <c r="BU154" i="24"/>
  <c r="BU155" i="24"/>
  <c r="BU156" i="24"/>
  <c r="BU157" i="24"/>
  <c r="BU158" i="24"/>
  <c r="BU159" i="24"/>
  <c r="BU160" i="24"/>
  <c r="BU161" i="24"/>
  <c r="BU162" i="24"/>
  <c r="BU163" i="24"/>
  <c r="BU164" i="24"/>
  <c r="BU165" i="24"/>
  <c r="BU166" i="24"/>
  <c r="BU167" i="24"/>
  <c r="BU168" i="24"/>
  <c r="BU169" i="24"/>
  <c r="BU170" i="24"/>
  <c r="BU171" i="24"/>
  <c r="BU172" i="24"/>
  <c r="BU173" i="24"/>
  <c r="BU174" i="24"/>
  <c r="BU175" i="24"/>
  <c r="BU176" i="24"/>
  <c r="BU177" i="24"/>
  <c r="BU179" i="24"/>
  <c r="BU180" i="24"/>
  <c r="BU181" i="24"/>
  <c r="BU182" i="24"/>
  <c r="BU183" i="24"/>
  <c r="BU184" i="24"/>
  <c r="BU185" i="24"/>
  <c r="BU178" i="24"/>
  <c r="BU186" i="24"/>
  <c r="BU187" i="24"/>
  <c r="BU188" i="24"/>
  <c r="BU189" i="24"/>
  <c r="BU190" i="24"/>
  <c r="BU191" i="24"/>
  <c r="BU192" i="24"/>
  <c r="BU193" i="24"/>
  <c r="BU194" i="24"/>
  <c r="BU195" i="24"/>
  <c r="BU196" i="24"/>
  <c r="BU197" i="24"/>
  <c r="BU198" i="24"/>
  <c r="BU199" i="24"/>
  <c r="BU200" i="24"/>
  <c r="BU201" i="24"/>
  <c r="BU202" i="24"/>
  <c r="BU203" i="24"/>
  <c r="BU204" i="24"/>
  <c r="BU205" i="24"/>
  <c r="BU206" i="24"/>
  <c r="BU207" i="24"/>
  <c r="BU208" i="24"/>
  <c r="BU209" i="24"/>
  <c r="BU210" i="24"/>
  <c r="BU211" i="24"/>
  <c r="BU212" i="24"/>
  <c r="BU213" i="24"/>
  <c r="BU214" i="24"/>
  <c r="BU215" i="24"/>
  <c r="BU216" i="24"/>
  <c r="BU217" i="24"/>
  <c r="BU218" i="24"/>
  <c r="BU219" i="24"/>
  <c r="BU220" i="24"/>
  <c r="BU221" i="24"/>
  <c r="BU222" i="24"/>
  <c r="BU223" i="24"/>
  <c r="BU224" i="24"/>
  <c r="BU225" i="24"/>
  <c r="BU226" i="24"/>
  <c r="BU227" i="24"/>
  <c r="BU228" i="24"/>
  <c r="BU229" i="24"/>
  <c r="BU230" i="24"/>
  <c r="BU231" i="24"/>
  <c r="BU232" i="24"/>
  <c r="BU233" i="24"/>
  <c r="BU234" i="24"/>
  <c r="BU235" i="24"/>
  <c r="BU236" i="24"/>
  <c r="BU237" i="24"/>
  <c r="BU238" i="24"/>
  <c r="BU239" i="24"/>
  <c r="BU240" i="24"/>
  <c r="BU241" i="24"/>
  <c r="BU242" i="24"/>
  <c r="BU243" i="24"/>
  <c r="BU244" i="24"/>
  <c r="BU245" i="24"/>
  <c r="BU246" i="24"/>
  <c r="BU247" i="24"/>
  <c r="BU248" i="24"/>
  <c r="BU249" i="24"/>
  <c r="AY34" i="23" l="1"/>
  <c r="AY33" i="23"/>
  <c r="AY32" i="23"/>
  <c r="AY31" i="23"/>
  <c r="AQ34" i="23"/>
  <c r="AQ33" i="23"/>
  <c r="AQ32" i="23"/>
  <c r="AQ31" i="23"/>
  <c r="AU28" i="23"/>
  <c r="AU2" i="23"/>
  <c r="AU3" i="23"/>
  <c r="AU4" i="23"/>
  <c r="AU5" i="23"/>
  <c r="AU6" i="23"/>
  <c r="AU7" i="23"/>
  <c r="AU8" i="23"/>
  <c r="AU9" i="23"/>
  <c r="AT28" i="23"/>
  <c r="AA26" i="23"/>
  <c r="AA27" i="23"/>
  <c r="AF29" i="23"/>
  <c r="AC29" i="23"/>
  <c r="AV23" i="23"/>
  <c r="AV24" i="23"/>
  <c r="AV25" i="23"/>
  <c r="AV19" i="23"/>
  <c r="AV20" i="23"/>
  <c r="AV21" i="23"/>
  <c r="AV15" i="23"/>
  <c r="AV16" i="23"/>
  <c r="AV17" i="23"/>
  <c r="AV7" i="23"/>
  <c r="AV8" i="23"/>
  <c r="AV9" i="23"/>
  <c r="AV3" i="23"/>
  <c r="AV4" i="23"/>
  <c r="AV5" i="23"/>
  <c r="AT3" i="23"/>
  <c r="AT4" i="23"/>
  <c r="AT5" i="23"/>
  <c r="AO23" i="23"/>
  <c r="AP23" i="23"/>
  <c r="AQ23" i="23"/>
  <c r="AX23" i="23"/>
  <c r="AO24" i="23"/>
  <c r="AP24" i="23"/>
  <c r="AQ24" i="23"/>
  <c r="AX24" i="23"/>
  <c r="AO25" i="23"/>
  <c r="AP25" i="23"/>
  <c r="AQ25" i="23"/>
  <c r="AX25" i="23"/>
  <c r="AO19" i="23"/>
  <c r="AP19" i="23"/>
  <c r="AQ19" i="23"/>
  <c r="AX19" i="23"/>
  <c r="AO20" i="23"/>
  <c r="AP20" i="23"/>
  <c r="AQ20" i="23"/>
  <c r="AX20" i="23"/>
  <c r="AO21" i="23"/>
  <c r="AP21" i="23"/>
  <c r="AQ21" i="23"/>
  <c r="AX21" i="23"/>
  <c r="AO15" i="23"/>
  <c r="AP15" i="23"/>
  <c r="AQ15" i="23"/>
  <c r="AX15" i="23"/>
  <c r="AO16" i="23"/>
  <c r="AP16" i="23"/>
  <c r="AQ16" i="23"/>
  <c r="AX16" i="23"/>
  <c r="AO17" i="23"/>
  <c r="AP17" i="23"/>
  <c r="AQ17" i="23"/>
  <c r="AX17" i="23"/>
  <c r="AO11" i="23"/>
  <c r="AP11" i="23"/>
  <c r="AQ11" i="23"/>
  <c r="AX11" i="23"/>
  <c r="AO12" i="23"/>
  <c r="AP12" i="23"/>
  <c r="AQ12" i="23"/>
  <c r="AX12" i="23"/>
  <c r="AO13" i="23"/>
  <c r="AP13" i="23"/>
  <c r="AQ13" i="23"/>
  <c r="AX13" i="23"/>
  <c r="AO7" i="23"/>
  <c r="AP7" i="23"/>
  <c r="AQ7" i="23"/>
  <c r="AX7" i="23"/>
  <c r="AO8" i="23"/>
  <c r="AP8" i="23"/>
  <c r="AQ8" i="23"/>
  <c r="AX8" i="23"/>
  <c r="AO9" i="23"/>
  <c r="AP9" i="23"/>
  <c r="AQ9" i="23"/>
  <c r="AX9" i="23"/>
  <c r="AO3" i="23"/>
  <c r="AP3" i="23"/>
  <c r="AQ3" i="23"/>
  <c r="AX3" i="23"/>
  <c r="AO4" i="23"/>
  <c r="AP4" i="23"/>
  <c r="AQ4" i="23"/>
  <c r="AX4" i="23"/>
  <c r="AO5" i="23"/>
  <c r="AP5" i="23"/>
  <c r="AQ5" i="23"/>
  <c r="AX5" i="23"/>
  <c r="AT2" i="23"/>
  <c r="AV22" i="23"/>
  <c r="AV18" i="23"/>
  <c r="AV14" i="23"/>
  <c r="AV2" i="23"/>
  <c r="AV6" i="23"/>
  <c r="AX2" i="23"/>
  <c r="AX6" i="23"/>
  <c r="AX10" i="23"/>
  <c r="AX14" i="23"/>
  <c r="AX18" i="23"/>
  <c r="AX22" i="23"/>
  <c r="AQ2" i="23"/>
  <c r="AQ6" i="23"/>
  <c r="AQ10" i="23"/>
  <c r="AQ14" i="23"/>
  <c r="AQ18" i="23"/>
  <c r="AQ22" i="23"/>
  <c r="AP2" i="23"/>
  <c r="AP6" i="23"/>
  <c r="AP10" i="23"/>
  <c r="AP14" i="23"/>
  <c r="AP18" i="23"/>
  <c r="AP22" i="23"/>
  <c r="AO2" i="23"/>
  <c r="AO6" i="23"/>
  <c r="AO10" i="23"/>
  <c r="AO14" i="23"/>
  <c r="AO18" i="23"/>
  <c r="AO22" i="23"/>
  <c r="AL17" i="8"/>
  <c r="V10" i="23"/>
  <c r="V6" i="23"/>
  <c r="V22" i="23"/>
  <c r="G22" i="23"/>
  <c r="G10" i="23"/>
  <c r="G6" i="23"/>
  <c r="Q8" i="4" l="1"/>
  <c r="Q9" i="4"/>
  <c r="Q10" i="4"/>
  <c r="M5" i="5"/>
  <c r="BE37" i="22" l="1"/>
  <c r="BE36" i="22"/>
  <c r="BE35" i="22"/>
  <c r="BE34" i="22"/>
  <c r="BE33" i="22"/>
  <c r="BE32" i="22"/>
  <c r="BE31" i="22"/>
  <c r="BE30" i="22"/>
  <c r="BE29" i="22"/>
  <c r="BE28" i="22"/>
  <c r="BE27" i="22"/>
  <c r="BE26" i="22"/>
  <c r="M25" i="22"/>
  <c r="M24" i="22"/>
  <c r="M23" i="22"/>
  <c r="M22" i="22"/>
  <c r="M21" i="22"/>
  <c r="M20" i="22"/>
  <c r="M19" i="22"/>
  <c r="M18" i="22"/>
  <c r="M13" i="22"/>
  <c r="M12" i="22"/>
  <c r="M11" i="22"/>
  <c r="M10" i="22"/>
  <c r="M6" i="22"/>
  <c r="M9" i="22" s="1"/>
  <c r="T10" i="22"/>
  <c r="G22" i="22"/>
  <c r="G18" i="22"/>
  <c r="G10" i="22"/>
  <c r="G6" i="22"/>
  <c r="AA10" i="22"/>
  <c r="AA22" i="22"/>
  <c r="AA6" i="22"/>
  <c r="AX25" i="22"/>
  <c r="AX24" i="22"/>
  <c r="AX23" i="22"/>
  <c r="AX22" i="22"/>
  <c r="AX21" i="22"/>
  <c r="AX20" i="22"/>
  <c r="AX19" i="22"/>
  <c r="AX18" i="22"/>
  <c r="AX17" i="22"/>
  <c r="AX16" i="22"/>
  <c r="AX15" i="22"/>
  <c r="AX14" i="22"/>
  <c r="AX13" i="22"/>
  <c r="AX12" i="22"/>
  <c r="AX11" i="22"/>
  <c r="AX10" i="22"/>
  <c r="AX9" i="22"/>
  <c r="AX8" i="22"/>
  <c r="AX7" i="22"/>
  <c r="AX6" i="22"/>
  <c r="AX5" i="22"/>
  <c r="AX4" i="22"/>
  <c r="AX3" i="22"/>
  <c r="AF25" i="22"/>
  <c r="AF24" i="22"/>
  <c r="AF23" i="22"/>
  <c r="AF22" i="22"/>
  <c r="AF21" i="22"/>
  <c r="AF20" i="22"/>
  <c r="AF19" i="22"/>
  <c r="AF18" i="22"/>
  <c r="AF13" i="22"/>
  <c r="AF12" i="22"/>
  <c r="AF11" i="22"/>
  <c r="AF10" i="22"/>
  <c r="AF9" i="22"/>
  <c r="AF8" i="22"/>
  <c r="AF7" i="22"/>
  <c r="AF6" i="22"/>
  <c r="AF5" i="22"/>
  <c r="AF4" i="22"/>
  <c r="AF3" i="22"/>
  <c r="AF2" i="22"/>
  <c r="AX61" i="22"/>
  <c r="AX34" i="22"/>
  <c r="AX30" i="22"/>
  <c r="AX26" i="22"/>
  <c r="Y35" i="22"/>
  <c r="AF35" i="22"/>
  <c r="Y36" i="22"/>
  <c r="AF36" i="22"/>
  <c r="Y37" i="22"/>
  <c r="AF37" i="22"/>
  <c r="Y31" i="22"/>
  <c r="Y32" i="22"/>
  <c r="Y33" i="22"/>
  <c r="Y27" i="22"/>
  <c r="Y28" i="22"/>
  <c r="Y29" i="22"/>
  <c r="BC2" i="22"/>
  <c r="BC3" i="22"/>
  <c r="BC4" i="22"/>
  <c r="BC5" i="22"/>
  <c r="BC6" i="22"/>
  <c r="BC7" i="22"/>
  <c r="BC8" i="22"/>
  <c r="BC9" i="22"/>
  <c r="BC10" i="22"/>
  <c r="BC11" i="22"/>
  <c r="BC12" i="22"/>
  <c r="BC13" i="22"/>
  <c r="BC14" i="22"/>
  <c r="BC15" i="22"/>
  <c r="BC16" i="22"/>
  <c r="BC17" i="22"/>
  <c r="BC18" i="22"/>
  <c r="BC19" i="22"/>
  <c r="BC20" i="22"/>
  <c r="BC21" i="22"/>
  <c r="BC22" i="22"/>
  <c r="BC23" i="22"/>
  <c r="BC24" i="22"/>
  <c r="BC25" i="22"/>
  <c r="AZ25" i="22"/>
  <c r="AZ24" i="22"/>
  <c r="AZ23" i="22"/>
  <c r="AZ21" i="22"/>
  <c r="AZ20" i="22"/>
  <c r="AZ19" i="22"/>
  <c r="AZ17" i="22"/>
  <c r="AZ16" i="22"/>
  <c r="AZ15" i="22"/>
  <c r="AZ13" i="22"/>
  <c r="AZ12" i="22"/>
  <c r="AZ11" i="22"/>
  <c r="AZ9" i="22"/>
  <c r="AZ8" i="22"/>
  <c r="AZ7" i="22"/>
  <c r="AZ5" i="22"/>
  <c r="AZ4" i="22"/>
  <c r="AZ3" i="22"/>
  <c r="AZ22" i="22"/>
  <c r="AZ18" i="22"/>
  <c r="AZ14" i="22"/>
  <c r="AZ10" i="22"/>
  <c r="AZ6" i="22"/>
  <c r="AZ2" i="22"/>
  <c r="M7" i="22" l="1"/>
  <c r="M8" i="22"/>
  <c r="N9" i="22"/>
  <c r="N8" i="22"/>
  <c r="N7" i="22"/>
  <c r="N25" i="22"/>
  <c r="N24" i="22"/>
  <c r="N23" i="22"/>
  <c r="N21" i="22"/>
  <c r="N20" i="22"/>
  <c r="N19" i="22"/>
  <c r="N17" i="22"/>
  <c r="N16" i="22"/>
  <c r="N15" i="22"/>
  <c r="AG60" i="22"/>
  <c r="BE57" i="22"/>
  <c r="BD57" i="22"/>
  <c r="BE56" i="22"/>
  <c r="BD56" i="22"/>
  <c r="BE55" i="22"/>
  <c r="BD55" i="22"/>
  <c r="BE54" i="22"/>
  <c r="BD54" i="22"/>
  <c r="BD47" i="22"/>
  <c r="BD48" i="22"/>
  <c r="BD49" i="22"/>
  <c r="Y45" i="22"/>
  <c r="Y44" i="22"/>
  <c r="Y43" i="22"/>
  <c r="Y42" i="22"/>
  <c r="AF45" i="22"/>
  <c r="AF44" i="22"/>
  <c r="AF43" i="22"/>
  <c r="AF42" i="22"/>
  <c r="BE49" i="22"/>
  <c r="BE48" i="22"/>
  <c r="BE47" i="22"/>
  <c r="BE45" i="22"/>
  <c r="BD45" i="22"/>
  <c r="BE44" i="22"/>
  <c r="BD44" i="22"/>
  <c r="BE43" i="22"/>
  <c r="BD43" i="22"/>
  <c r="BD40" i="22"/>
  <c r="BD39" i="22"/>
  <c r="BE39" i="22"/>
  <c r="BE40" i="22"/>
  <c r="Y39" i="22"/>
  <c r="Y40" i="22"/>
  <c r="Y41" i="22"/>
  <c r="AF39" i="22"/>
  <c r="AF40" i="22"/>
  <c r="AF41" i="22"/>
  <c r="K45" i="22"/>
  <c r="K44" i="22"/>
  <c r="K43" i="22"/>
  <c r="J45" i="22"/>
  <c r="J44" i="22"/>
  <c r="J43" i="22"/>
  <c r="U45" i="22"/>
  <c r="U44" i="22"/>
  <c r="U43" i="22"/>
  <c r="T45" i="22"/>
  <c r="T44" i="22"/>
  <c r="T43" i="22"/>
  <c r="R45" i="22"/>
  <c r="R44" i="22"/>
  <c r="R43" i="22"/>
  <c r="O45" i="22"/>
  <c r="O44" i="22"/>
  <c r="O43" i="22"/>
  <c r="U41" i="22"/>
  <c r="U40" i="22"/>
  <c r="U39" i="22"/>
  <c r="R41" i="22"/>
  <c r="R40" i="22"/>
  <c r="R39" i="22"/>
  <c r="O41" i="22"/>
  <c r="O40" i="22"/>
  <c r="O39" i="22"/>
  <c r="J41" i="22"/>
  <c r="J40" i="22"/>
  <c r="J39" i="22"/>
  <c r="BD41" i="22"/>
  <c r="BE41" i="22"/>
  <c r="AV45" i="16" l="1"/>
  <c r="AV44" i="16"/>
  <c r="AV43" i="16"/>
  <c r="AV42" i="16"/>
  <c r="AV41" i="16"/>
  <c r="AV40" i="16"/>
  <c r="AV39" i="16"/>
  <c r="AV38" i="16"/>
  <c r="AV37" i="16"/>
  <c r="AV36" i="16"/>
  <c r="AV35" i="16"/>
  <c r="AV34" i="16"/>
  <c r="AV29" i="16"/>
  <c r="AV28" i="16"/>
  <c r="AV27" i="16"/>
  <c r="AV26" i="16"/>
  <c r="AV25" i="16"/>
  <c r="AV24" i="16"/>
  <c r="AV23" i="16"/>
  <c r="AV22" i="16"/>
  <c r="AV21" i="16"/>
  <c r="AV20" i="16"/>
  <c r="AV19" i="16"/>
  <c r="AV18" i="16"/>
  <c r="AV89" i="16"/>
  <c r="AV88" i="16"/>
  <c r="AV87" i="16"/>
  <c r="AV86" i="16"/>
  <c r="AV85" i="16"/>
  <c r="AV84" i="16"/>
  <c r="AV83" i="16"/>
  <c r="AV82" i="16"/>
  <c r="AV65" i="16"/>
  <c r="AV64" i="16"/>
  <c r="AV63" i="16"/>
  <c r="AV62" i="16"/>
  <c r="AV61" i="16"/>
  <c r="AV60" i="16"/>
  <c r="AV59" i="16"/>
  <c r="AV58" i="16"/>
  <c r="AV49" i="16"/>
  <c r="AV48" i="16"/>
  <c r="AV47" i="16"/>
  <c r="AV46" i="16"/>
  <c r="AV73" i="16"/>
  <c r="AV72" i="16"/>
  <c r="AV71" i="16"/>
  <c r="AV70" i="16"/>
  <c r="AV69" i="16"/>
  <c r="AV68" i="16"/>
  <c r="AV67" i="16"/>
  <c r="AV66" i="16"/>
  <c r="AV57" i="16"/>
  <c r="AV56" i="16"/>
  <c r="AV55" i="16"/>
  <c r="AV54" i="16"/>
  <c r="AV53" i="16"/>
  <c r="AV52" i="16"/>
  <c r="AV51" i="16"/>
  <c r="AV50" i="16"/>
  <c r="AV113" i="16"/>
  <c r="AV112" i="16"/>
  <c r="AV111" i="16"/>
  <c r="AV110" i="16"/>
  <c r="AV97" i="16"/>
  <c r="AV96" i="16"/>
  <c r="AV95" i="16"/>
  <c r="AV94" i="16"/>
  <c r="AV93" i="16"/>
  <c r="AV92" i="16"/>
  <c r="AV91" i="16"/>
  <c r="AV90" i="16"/>
  <c r="AV33" i="16"/>
  <c r="AV32" i="16"/>
  <c r="AV31" i="16"/>
  <c r="AV30" i="16"/>
  <c r="AV17" i="16"/>
  <c r="AV16" i="16"/>
  <c r="AV15" i="16"/>
  <c r="AV14" i="16"/>
  <c r="AV13" i="16"/>
  <c r="AV12" i="16"/>
  <c r="AV11" i="16"/>
  <c r="AV10" i="16"/>
  <c r="AV9" i="16"/>
  <c r="AV8" i="16"/>
  <c r="AV7" i="16"/>
  <c r="AV6" i="16"/>
  <c r="AV5" i="16"/>
  <c r="AV4" i="16"/>
  <c r="AV3" i="16"/>
  <c r="AV2" i="16"/>
  <c r="BC33" i="16"/>
  <c r="BC32" i="16"/>
  <c r="BC31" i="16"/>
  <c r="BC30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C3" i="16"/>
  <c r="BC2" i="16"/>
  <c r="BC121" i="16"/>
  <c r="BC120" i="16"/>
  <c r="BC119" i="16"/>
  <c r="BC118" i="16"/>
  <c r="BC117" i="16"/>
  <c r="BC116" i="16"/>
  <c r="BC115" i="16"/>
  <c r="BC114" i="16"/>
  <c r="BA114" i="16"/>
  <c r="BE114" i="16" s="1"/>
  <c r="BA121" i="16"/>
  <c r="BE121" i="16" s="1"/>
  <c r="BA120" i="16"/>
  <c r="BE120" i="16" s="1"/>
  <c r="BA119" i="16"/>
  <c r="BE119" i="16" s="1"/>
  <c r="BA118" i="16"/>
  <c r="BE118" i="16" s="1"/>
  <c r="BA117" i="16"/>
  <c r="BE117" i="16" s="1"/>
  <c r="BA116" i="16"/>
  <c r="BE116" i="16" s="1"/>
  <c r="BA115" i="16"/>
  <c r="BE115" i="16" s="1"/>
  <c r="BC109" i="16"/>
  <c r="BE109" i="16" s="1"/>
  <c r="BC108" i="16"/>
  <c r="BE108" i="16" s="1"/>
  <c r="BC107" i="16"/>
  <c r="BE107" i="16" s="1"/>
  <c r="BC106" i="16"/>
  <c r="BE106" i="16" s="1"/>
  <c r="BC105" i="16"/>
  <c r="BE105" i="16" s="1"/>
  <c r="BC104" i="16"/>
  <c r="BE104" i="16" s="1"/>
  <c r="BC103" i="16"/>
  <c r="BE103" i="16" s="1"/>
  <c r="BC102" i="16"/>
  <c r="BE102" i="16" s="1"/>
  <c r="BC101" i="16"/>
  <c r="BE101" i="16" s="1"/>
  <c r="BC100" i="16"/>
  <c r="BE100" i="16" s="1"/>
  <c r="BC99" i="16"/>
  <c r="BE99" i="16" s="1"/>
  <c r="BC98" i="16"/>
  <c r="BE98" i="16" s="1"/>
  <c r="BA109" i="16"/>
  <c r="BA108" i="16"/>
  <c r="BA107" i="16"/>
  <c r="BA106" i="16"/>
  <c r="BA105" i="16"/>
  <c r="BA104" i="16"/>
  <c r="BA103" i="16"/>
  <c r="BA102" i="16"/>
  <c r="BA101" i="16"/>
  <c r="BA100" i="16"/>
  <c r="BA99" i="16"/>
  <c r="BA98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A45" i="16"/>
  <c r="BE45" i="16" s="1"/>
  <c r="BA44" i="16"/>
  <c r="BE44" i="16" s="1"/>
  <c r="BA43" i="16"/>
  <c r="BE43" i="16" s="1"/>
  <c r="BA42" i="16"/>
  <c r="BE42" i="16" s="1"/>
  <c r="BA41" i="16"/>
  <c r="BE41" i="16" s="1"/>
  <c r="BA40" i="16"/>
  <c r="BE40" i="16" s="1"/>
  <c r="BA39" i="16"/>
  <c r="BE39" i="16" s="1"/>
  <c r="BA38" i="16"/>
  <c r="BE38" i="16" s="1"/>
  <c r="BA37" i="16"/>
  <c r="BE37" i="16" s="1"/>
  <c r="BA36" i="16"/>
  <c r="BE36" i="16" s="1"/>
  <c r="BA35" i="16"/>
  <c r="BE35" i="16" s="1"/>
  <c r="BA34" i="16"/>
  <c r="BE34" i="16" s="1"/>
  <c r="BA29" i="16"/>
  <c r="BE29" i="16" s="1"/>
  <c r="BA28" i="16"/>
  <c r="BE28" i="16" s="1"/>
  <c r="BA27" i="16"/>
  <c r="BE27" i="16" s="1"/>
  <c r="BA26" i="16"/>
  <c r="BE26" i="16" s="1"/>
  <c r="BA25" i="16"/>
  <c r="BE25" i="16" s="1"/>
  <c r="BA24" i="16"/>
  <c r="BE24" i="16" s="1"/>
  <c r="BA23" i="16"/>
  <c r="BE23" i="16" s="1"/>
  <c r="BA22" i="16"/>
  <c r="BE22" i="16" s="1"/>
  <c r="BA21" i="16"/>
  <c r="BE21" i="16" s="1"/>
  <c r="BA20" i="16"/>
  <c r="BE20" i="16" s="1"/>
  <c r="BA19" i="16"/>
  <c r="BE19" i="16" s="1"/>
  <c r="BA18" i="16"/>
  <c r="BE18" i="16" s="1"/>
  <c r="BC89" i="16"/>
  <c r="BC88" i="16"/>
  <c r="BC87" i="16"/>
  <c r="BC86" i="16"/>
  <c r="BC85" i="16"/>
  <c r="BC84" i="16"/>
  <c r="BC83" i="16"/>
  <c r="BC82" i="16"/>
  <c r="BC65" i="16"/>
  <c r="BC64" i="16"/>
  <c r="BC63" i="16"/>
  <c r="BC62" i="16"/>
  <c r="BC61" i="16"/>
  <c r="BC60" i="16"/>
  <c r="BC59" i="16"/>
  <c r="BC58" i="16"/>
  <c r="BA89" i="16"/>
  <c r="BD89" i="16" s="1"/>
  <c r="BA88" i="16"/>
  <c r="BD88" i="16" s="1"/>
  <c r="BA87" i="16"/>
  <c r="BD87" i="16" s="1"/>
  <c r="BA86" i="16"/>
  <c r="BD86" i="16" s="1"/>
  <c r="BA85" i="16"/>
  <c r="BD85" i="16" s="1"/>
  <c r="BA84" i="16"/>
  <c r="BD84" i="16" s="1"/>
  <c r="BA83" i="16"/>
  <c r="BD83" i="16" s="1"/>
  <c r="BA82" i="16"/>
  <c r="BD82" i="16" s="1"/>
  <c r="BA65" i="16"/>
  <c r="BD65" i="16" s="1"/>
  <c r="BA64" i="16"/>
  <c r="BD64" i="16" s="1"/>
  <c r="BA63" i="16"/>
  <c r="BD63" i="16" s="1"/>
  <c r="BA62" i="16"/>
  <c r="BD62" i="16" s="1"/>
  <c r="BA61" i="16"/>
  <c r="BD61" i="16" s="1"/>
  <c r="BA60" i="16"/>
  <c r="BD60" i="16" s="1"/>
  <c r="BA59" i="16"/>
  <c r="BD59" i="16" s="1"/>
  <c r="BA58" i="16"/>
  <c r="BD58" i="16" s="1"/>
  <c r="BC73" i="16"/>
  <c r="BC72" i="16"/>
  <c r="BC71" i="16"/>
  <c r="BC70" i="16"/>
  <c r="BC69" i="16"/>
  <c r="BC68" i="16"/>
  <c r="BC67" i="16"/>
  <c r="BC66" i="16"/>
  <c r="BC57" i="16"/>
  <c r="BC56" i="16"/>
  <c r="BC55" i="16"/>
  <c r="BC54" i="16"/>
  <c r="BC53" i="16"/>
  <c r="BC52" i="16"/>
  <c r="BC51" i="16"/>
  <c r="BC50" i="16"/>
  <c r="BA73" i="16"/>
  <c r="BE73" i="16" s="1"/>
  <c r="BA72" i="16"/>
  <c r="BE72" i="16" s="1"/>
  <c r="BA71" i="16"/>
  <c r="BE71" i="16" s="1"/>
  <c r="BA70" i="16"/>
  <c r="BE70" i="16" s="1"/>
  <c r="BA69" i="16"/>
  <c r="BE69" i="16" s="1"/>
  <c r="BA68" i="16"/>
  <c r="BE68" i="16" s="1"/>
  <c r="BA67" i="16"/>
  <c r="BE67" i="16" s="1"/>
  <c r="BA66" i="16"/>
  <c r="BE66" i="16" s="1"/>
  <c r="BA57" i="16"/>
  <c r="BE57" i="16" s="1"/>
  <c r="BA56" i="16"/>
  <c r="BE56" i="16" s="1"/>
  <c r="BA55" i="16"/>
  <c r="BE55" i="16" s="1"/>
  <c r="BA54" i="16"/>
  <c r="BE54" i="16" s="1"/>
  <c r="BA53" i="16"/>
  <c r="BE53" i="16" s="1"/>
  <c r="BA52" i="16"/>
  <c r="BE52" i="16" s="1"/>
  <c r="BA51" i="16"/>
  <c r="BE51" i="16" s="1"/>
  <c r="BA50" i="16"/>
  <c r="BE50" i="16" s="1"/>
  <c r="BA113" i="16"/>
  <c r="BE113" i="16" s="1"/>
  <c r="BA112" i="16"/>
  <c r="BE112" i="16" s="1"/>
  <c r="BA111" i="16"/>
  <c r="BE111" i="16" s="1"/>
  <c r="BA110" i="16"/>
  <c r="BE110" i="16" s="1"/>
  <c r="BA97" i="16"/>
  <c r="BE97" i="16" s="1"/>
  <c r="BA96" i="16"/>
  <c r="BE96" i="16" s="1"/>
  <c r="BA95" i="16"/>
  <c r="BE95" i="16" s="1"/>
  <c r="BA94" i="16"/>
  <c r="BE94" i="16" s="1"/>
  <c r="BA93" i="16"/>
  <c r="BE93" i="16" s="1"/>
  <c r="BA92" i="16"/>
  <c r="BE92" i="16" s="1"/>
  <c r="BA91" i="16"/>
  <c r="BE91" i="16" s="1"/>
  <c r="BA90" i="16"/>
  <c r="BE90" i="16" s="1"/>
  <c r="BC113" i="16"/>
  <c r="BC112" i="16"/>
  <c r="BC111" i="16"/>
  <c r="BC110" i="16"/>
  <c r="BC97" i="16"/>
  <c r="BC96" i="16"/>
  <c r="BC95" i="16"/>
  <c r="BC94" i="16"/>
  <c r="BC93" i="16"/>
  <c r="BC92" i="16"/>
  <c r="BC91" i="16"/>
  <c r="BC90" i="16"/>
  <c r="E18" i="38" l="1"/>
  <c r="E13" i="38"/>
  <c r="E14" i="38"/>
  <c r="E17" i="38"/>
  <c r="F13" i="38" s="1"/>
  <c r="E10" i="38"/>
  <c r="E9" i="38"/>
  <c r="E6" i="38"/>
  <c r="E5" i="38"/>
  <c r="E2" i="38"/>
  <c r="E26" i="38"/>
  <c r="E22" i="38"/>
  <c r="F18" i="38"/>
  <c r="F9" i="38"/>
  <c r="F2" i="38"/>
  <c r="F5" i="38"/>
  <c r="F6" i="38"/>
  <c r="F21" i="38"/>
  <c r="F22" i="38"/>
  <c r="F25" i="38"/>
  <c r="F26" i="38"/>
  <c r="F29" i="38"/>
  <c r="H36" i="38"/>
  <c r="H35" i="38"/>
  <c r="H32" i="38"/>
  <c r="H31" i="38"/>
  <c r="H28" i="38"/>
  <c r="F28" i="38" s="1"/>
  <c r="H27" i="38"/>
  <c r="F27" i="38" s="1"/>
  <c r="H24" i="38"/>
  <c r="F24" i="38" s="1"/>
  <c r="H23" i="38"/>
  <c r="F23" i="38" s="1"/>
  <c r="H20" i="38"/>
  <c r="F20" i="38" s="1"/>
  <c r="H19" i="38"/>
  <c r="F19" i="38" s="1"/>
  <c r="H16" i="38"/>
  <c r="E16" i="38" s="1"/>
  <c r="F12" i="38" s="1"/>
  <c r="H15" i="38"/>
  <c r="E15" i="38" s="1"/>
  <c r="H8" i="38"/>
  <c r="E8" i="38" s="1"/>
  <c r="H7" i="38"/>
  <c r="E7" i="38" s="1"/>
  <c r="H4" i="38"/>
  <c r="E4" i="38" s="1"/>
  <c r="H3" i="38"/>
  <c r="E3" i="38" s="1"/>
  <c r="H12" i="38"/>
  <c r="E12" i="38" s="1"/>
  <c r="H11" i="38"/>
  <c r="E11" i="38" s="1"/>
  <c r="Y53" i="16"/>
  <c r="Z53" i="16" s="1"/>
  <c r="Y52" i="16"/>
  <c r="Z52" i="16" s="1"/>
  <c r="Y51" i="16"/>
  <c r="Z51" i="16" s="1"/>
  <c r="Y50" i="16"/>
  <c r="Y49" i="16"/>
  <c r="Z49" i="16" s="1"/>
  <c r="Y48" i="16"/>
  <c r="Z48" i="16" s="1"/>
  <c r="Y47" i="16"/>
  <c r="Z47" i="16" s="1"/>
  <c r="Y46" i="16"/>
  <c r="F11" i="38" l="1"/>
  <c r="F10" i="38"/>
  <c r="L11" i="38"/>
  <c r="L12" i="38" s="1"/>
  <c r="L13" i="38" s="1"/>
  <c r="K11" i="38"/>
  <c r="K12" i="38" s="1"/>
  <c r="K13" i="38" s="1"/>
  <c r="K27" i="38"/>
  <c r="K28" i="38" s="1"/>
  <c r="K29" i="38" s="1"/>
  <c r="L27" i="38"/>
  <c r="L28" i="38" s="1"/>
  <c r="L29" i="38" s="1"/>
  <c r="K19" i="38"/>
  <c r="K20" i="38" s="1"/>
  <c r="K21" i="38" s="1"/>
  <c r="L19" i="38"/>
  <c r="L20" i="38" s="1"/>
  <c r="L21" i="38" s="1"/>
  <c r="L23" i="38"/>
  <c r="L24" i="38" s="1"/>
  <c r="L25" i="38" s="1"/>
  <c r="K23" i="38"/>
  <c r="K24" i="38" s="1"/>
  <c r="K25" i="38" s="1"/>
  <c r="G26" i="38"/>
  <c r="G27" i="38" s="1"/>
  <c r="E27" i="38" s="1"/>
  <c r="F4" i="38"/>
  <c r="G22" i="38"/>
  <c r="G23" i="38" s="1"/>
  <c r="G24" i="38" s="1"/>
  <c r="F8" i="38"/>
  <c r="G18" i="38"/>
  <c r="G19" i="38" s="1"/>
  <c r="E19" i="38" s="1"/>
  <c r="F7" i="38"/>
  <c r="F3" i="38"/>
  <c r="K3" i="38" l="1"/>
  <c r="K4" i="38" s="1"/>
  <c r="K5" i="38" s="1"/>
  <c r="L3" i="38"/>
  <c r="L4" i="38" s="1"/>
  <c r="L5" i="38" s="1"/>
  <c r="K7" i="38"/>
  <c r="K8" i="38" s="1"/>
  <c r="K9" i="38" s="1"/>
  <c r="L7" i="38"/>
  <c r="L8" i="38" s="1"/>
  <c r="L9" i="38" s="1"/>
  <c r="G28" i="38"/>
  <c r="E28" i="38" s="1"/>
  <c r="E23" i="38"/>
  <c r="G20" i="38"/>
  <c r="E20" i="38" s="1"/>
  <c r="G25" i="38"/>
  <c r="E25" i="38" s="1"/>
  <c r="E24" i="38"/>
  <c r="G29" i="38"/>
  <c r="E29" i="38" s="1"/>
  <c r="G21" i="38" l="1"/>
  <c r="E21" i="38" s="1"/>
  <c r="AR34" i="20" l="1"/>
  <c r="AO34" i="20"/>
  <c r="AL34" i="20"/>
  <c r="Q34" i="20"/>
  <c r="Q33" i="20"/>
  <c r="Q32" i="20"/>
  <c r="AR31" i="20"/>
  <c r="AO31" i="20"/>
  <c r="AL31" i="20"/>
  <c r="Q29" i="20"/>
  <c r="Q30" i="20"/>
  <c r="Q31" i="20"/>
  <c r="AR28" i="20"/>
  <c r="AO28" i="20"/>
  <c r="AL28" i="20"/>
  <c r="Q28" i="20"/>
  <c r="Q27" i="20"/>
  <c r="Q26" i="20"/>
  <c r="AR25" i="20"/>
  <c r="AO25" i="20"/>
  <c r="AL25" i="20"/>
  <c r="Q25" i="20"/>
  <c r="Q24" i="20"/>
  <c r="Q23" i="20"/>
  <c r="AR22" i="20"/>
  <c r="Q2" i="20"/>
  <c r="AH2" i="20"/>
  <c r="Q3" i="20"/>
  <c r="AH3" i="20"/>
  <c r="AJ3" i="20"/>
  <c r="AK3" i="20"/>
  <c r="AM3" i="20"/>
  <c r="AN3" i="20"/>
  <c r="AO3" i="20"/>
  <c r="AP3" i="20"/>
  <c r="AQ3" i="20"/>
  <c r="Q4" i="20"/>
  <c r="AH4" i="20"/>
  <c r="Q5" i="20"/>
  <c r="AH5" i="20"/>
  <c r="Q6" i="20"/>
  <c r="AH6" i="20"/>
  <c r="AJ6" i="20"/>
  <c r="AK6" i="20"/>
  <c r="AM6" i="20"/>
  <c r="AN6" i="20"/>
  <c r="AO6" i="20"/>
  <c r="AP6" i="20"/>
  <c r="AR6" i="20" s="1"/>
  <c r="AQ6" i="20"/>
  <c r="Q7" i="20"/>
  <c r="AH7" i="20"/>
  <c r="Q8" i="20"/>
  <c r="AH8" i="20"/>
  <c r="Q9" i="20"/>
  <c r="AH9" i="20"/>
  <c r="AJ9" i="20"/>
  <c r="AK9" i="20"/>
  <c r="AM9" i="20"/>
  <c r="AN9" i="20"/>
  <c r="AO9" i="20"/>
  <c r="AP9" i="20"/>
  <c r="AQ9" i="20"/>
  <c r="Q10" i="20"/>
  <c r="AH10" i="20"/>
  <c r="Q11" i="20"/>
  <c r="AH11" i="20"/>
  <c r="Q12" i="20"/>
  <c r="AH12" i="20"/>
  <c r="AJ12" i="20"/>
  <c r="AK12" i="20"/>
  <c r="AM12" i="20"/>
  <c r="AN12" i="20"/>
  <c r="AO12" i="20"/>
  <c r="AP12" i="20"/>
  <c r="AQ12" i="20"/>
  <c r="Q13" i="20"/>
  <c r="AH13" i="20"/>
  <c r="Q14" i="20"/>
  <c r="AH14" i="20"/>
  <c r="Q15" i="20"/>
  <c r="AH15" i="20"/>
  <c r="AJ15" i="20"/>
  <c r="AK15" i="20"/>
  <c r="AM15" i="20"/>
  <c r="AN15" i="20"/>
  <c r="AO15" i="20"/>
  <c r="AP15" i="20"/>
  <c r="AQ15" i="20"/>
  <c r="Q16" i="20"/>
  <c r="AH16" i="20"/>
  <c r="Q17" i="20"/>
  <c r="AH17" i="20"/>
  <c r="Q18" i="20"/>
  <c r="AH18" i="20"/>
  <c r="AJ18" i="20"/>
  <c r="AK18" i="20"/>
  <c r="AM18" i="20"/>
  <c r="AN18" i="20"/>
  <c r="AO18" i="20"/>
  <c r="AP18" i="20"/>
  <c r="Q19" i="20"/>
  <c r="AH19" i="20"/>
  <c r="Q20" i="20"/>
  <c r="Q21" i="20"/>
  <c r="Q22" i="20"/>
  <c r="AL22" i="20"/>
  <c r="AO22" i="20"/>
  <c r="AQ18" i="20"/>
  <c r="AR9" i="20" l="1"/>
  <c r="AR12" i="20"/>
  <c r="AR18" i="20"/>
  <c r="AR3" i="20"/>
  <c r="AR15" i="20"/>
  <c r="BB2" i="19"/>
  <c r="AV2" i="19"/>
  <c r="BA2" i="19"/>
  <c r="AZ2" i="19"/>
  <c r="AU2" i="19"/>
  <c r="AT2" i="19"/>
  <c r="AX2" i="19"/>
  <c r="AW2" i="19"/>
  <c r="AS2" i="19"/>
  <c r="AG2" i="19"/>
  <c r="AF2" i="19"/>
  <c r="AD2" i="19"/>
  <c r="BB6" i="19" l="1"/>
  <c r="AV6" i="19"/>
  <c r="BA6" i="19"/>
  <c r="AZ6" i="19"/>
  <c r="AU6" i="19"/>
  <c r="AT6" i="19"/>
  <c r="AW6" i="19"/>
  <c r="AS6" i="19"/>
  <c r="AE6" i="19"/>
  <c r="AD6" i="19"/>
  <c r="BA5" i="19"/>
  <c r="BB5" i="19"/>
  <c r="AV5" i="19"/>
  <c r="AU5" i="19"/>
  <c r="AT5" i="19"/>
  <c r="AZ5" i="19"/>
  <c r="AU4" i="19"/>
  <c r="AD5" i="19"/>
  <c r="BB3" i="19" l="1"/>
  <c r="BA4" i="19"/>
  <c r="BA3" i="19"/>
  <c r="AV3" i="19"/>
  <c r="AZ3" i="19"/>
  <c r="AZ4" i="19"/>
  <c r="AU3" i="19"/>
  <c r="AT3" i="19"/>
  <c r="AX3" i="19"/>
  <c r="AW3" i="19"/>
  <c r="AD3" i="19"/>
  <c r="T3" i="19"/>
  <c r="AV4" i="19"/>
  <c r="AX4" i="19"/>
  <c r="BC49" i="16" l="1"/>
  <c r="BC48" i="16"/>
  <c r="BC47" i="16"/>
  <c r="BC46" i="16"/>
  <c r="W7" i="16"/>
  <c r="W8" i="16"/>
  <c r="W9" i="16"/>
  <c r="U7" i="16"/>
  <c r="U8" i="16"/>
  <c r="U9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8" i="16"/>
  <c r="C59" i="16"/>
  <c r="C60" i="16"/>
  <c r="C61" i="16"/>
  <c r="C62" i="16"/>
  <c r="C63" i="16"/>
  <c r="C64" i="16"/>
  <c r="C65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8" i="16"/>
  <c r="C99" i="16"/>
  <c r="C100" i="16"/>
  <c r="C101" i="16"/>
  <c r="C102" i="16"/>
  <c r="C103" i="16"/>
  <c r="C104" i="16"/>
  <c r="C105" i="16"/>
  <c r="C107" i="16"/>
  <c r="C108" i="16"/>
  <c r="C109" i="16"/>
  <c r="C114" i="16"/>
  <c r="C115" i="16"/>
  <c r="C116" i="16"/>
  <c r="C117" i="16"/>
  <c r="C118" i="16"/>
  <c r="C119" i="16"/>
  <c r="C120" i="16"/>
  <c r="C121" i="16"/>
  <c r="I75" i="36" l="1"/>
  <c r="I76" i="36" s="1"/>
  <c r="J71" i="36"/>
  <c r="J72" i="36" s="1"/>
  <c r="J67" i="36"/>
  <c r="J68" i="36" s="1"/>
  <c r="I63" i="36"/>
  <c r="I64" i="36" s="1"/>
  <c r="I59" i="36"/>
  <c r="I60" i="36" s="1"/>
  <c r="D75" i="36"/>
  <c r="D76" i="36"/>
  <c r="D71" i="36"/>
  <c r="D72" i="36"/>
  <c r="D67" i="36"/>
  <c r="D68" i="36"/>
  <c r="D59" i="36"/>
  <c r="D60" i="36"/>
  <c r="D63" i="36"/>
  <c r="D64" i="36"/>
  <c r="D77" i="36"/>
  <c r="D74" i="36"/>
  <c r="D73" i="36"/>
  <c r="D70" i="36"/>
  <c r="D69" i="36"/>
  <c r="D66" i="36"/>
  <c r="Y92" i="16"/>
  <c r="Z92" i="16" s="1"/>
  <c r="Y93" i="16"/>
  <c r="Z93" i="16" s="1"/>
  <c r="Y91" i="16" l="1"/>
  <c r="Z91" i="16" s="1"/>
  <c r="Y113" i="16"/>
  <c r="Z113" i="16" s="1"/>
  <c r="Y112" i="16"/>
  <c r="Z112" i="16" s="1"/>
  <c r="Y111" i="16"/>
  <c r="Z111" i="16" s="1"/>
  <c r="Y74" i="16"/>
  <c r="Z74" i="16" s="1"/>
  <c r="Y73" i="16"/>
  <c r="Z73" i="16" s="1"/>
  <c r="Y72" i="16"/>
  <c r="Z72" i="16" s="1"/>
  <c r="Y71" i="16"/>
  <c r="Z71" i="16" s="1"/>
  <c r="F39" i="36"/>
  <c r="F40" i="36" s="1"/>
  <c r="F41" i="36" s="1"/>
  <c r="F35" i="36"/>
  <c r="F36" i="36" s="1"/>
  <c r="F37" i="36" s="1"/>
  <c r="F31" i="36"/>
  <c r="F32" i="36" s="1"/>
  <c r="F33" i="36" s="1"/>
  <c r="F27" i="36"/>
  <c r="F28" i="36" s="1"/>
  <c r="F29" i="36" s="1"/>
  <c r="F23" i="36"/>
  <c r="F24" i="36" s="1"/>
  <c r="F25" i="36" s="1"/>
  <c r="F19" i="36"/>
  <c r="F20" i="36" s="1"/>
  <c r="F21" i="36" s="1"/>
  <c r="F15" i="36"/>
  <c r="F16" i="36" s="1"/>
  <c r="F17" i="36" s="1"/>
  <c r="F11" i="36"/>
  <c r="F12" i="36" s="1"/>
  <c r="F13" i="36" s="1"/>
  <c r="E39" i="36"/>
  <c r="E40" i="36" s="1"/>
  <c r="E41" i="36" s="1"/>
  <c r="E35" i="36"/>
  <c r="E36" i="36" s="1"/>
  <c r="E37" i="36" s="1"/>
  <c r="E31" i="36"/>
  <c r="E32" i="36" s="1"/>
  <c r="E33" i="36" s="1"/>
  <c r="E27" i="36"/>
  <c r="E28" i="36" s="1"/>
  <c r="E29" i="36" s="1"/>
  <c r="E23" i="36"/>
  <c r="E24" i="36" s="1"/>
  <c r="E25" i="36" s="1"/>
  <c r="E19" i="36"/>
  <c r="E20" i="36" s="1"/>
  <c r="E21" i="36" s="1"/>
  <c r="E15" i="36"/>
  <c r="E16" i="36" s="1"/>
  <c r="E17" i="36" s="1"/>
  <c r="E11" i="36"/>
  <c r="E12" i="36" s="1"/>
  <c r="E13" i="36" s="1"/>
  <c r="E3" i="36"/>
  <c r="E4" i="36" s="1"/>
  <c r="E5" i="36" s="1"/>
  <c r="F3" i="36"/>
  <c r="D2" i="36"/>
  <c r="D10" i="36"/>
  <c r="D14" i="36"/>
  <c r="D18" i="36"/>
  <c r="D22" i="36"/>
  <c r="D26" i="36"/>
  <c r="D30" i="36"/>
  <c r="D34" i="36"/>
  <c r="D38" i="36"/>
  <c r="D46" i="36"/>
  <c r="D47" i="36"/>
  <c r="D48" i="36"/>
  <c r="D49" i="36"/>
  <c r="D50" i="36"/>
  <c r="D51" i="36"/>
  <c r="D52" i="36"/>
  <c r="D53" i="36"/>
  <c r="E6" i="36"/>
  <c r="E7" i="36" s="1"/>
  <c r="E8" i="36" s="1"/>
  <c r="E9" i="36" s="1"/>
  <c r="F42" i="36"/>
  <c r="F43" i="36" s="1"/>
  <c r="F44" i="36" s="1"/>
  <c r="F45" i="36" s="1"/>
  <c r="F6" i="36"/>
  <c r="F7" i="36" s="1"/>
  <c r="F8" i="36" s="1"/>
  <c r="F9" i="36" s="1"/>
  <c r="E42" i="36"/>
  <c r="E43" i="36" s="1"/>
  <c r="E44" i="36" s="1"/>
  <c r="E45" i="36" s="1"/>
  <c r="Y86" i="16"/>
  <c r="Z86" i="16" s="1"/>
  <c r="Y82" i="16"/>
  <c r="Z82" i="16" s="1"/>
  <c r="Y78" i="16"/>
  <c r="Z78" i="16" s="1"/>
  <c r="W6" i="16"/>
  <c r="U6" i="16"/>
  <c r="D6" i="36" l="1"/>
  <c r="D42" i="36"/>
  <c r="D3" i="36"/>
  <c r="D31" i="36"/>
  <c r="F4" i="36"/>
  <c r="F5" i="36" s="1"/>
  <c r="D5" i="36" s="1"/>
  <c r="D35" i="36"/>
  <c r="D7" i="36"/>
  <c r="D25" i="36"/>
  <c r="D11" i="36"/>
  <c r="D39" i="36"/>
  <c r="D23" i="36"/>
  <c r="D15" i="36"/>
  <c r="D9" i="36"/>
  <c r="D27" i="36"/>
  <c r="D45" i="36"/>
  <c r="D44" i="36"/>
  <c r="D43" i="36"/>
  <c r="D40" i="36"/>
  <c r="D41" i="36"/>
  <c r="D29" i="36"/>
  <c r="D28" i="36"/>
  <c r="D24" i="36"/>
  <c r="D21" i="36"/>
  <c r="D20" i="36"/>
  <c r="D19" i="36"/>
  <c r="D17" i="36"/>
  <c r="D16" i="36"/>
  <c r="D13" i="36"/>
  <c r="D8" i="36"/>
  <c r="D4" i="36" l="1"/>
  <c r="D12" i="36"/>
  <c r="D37" i="36"/>
  <c r="D36" i="36"/>
  <c r="D33" i="36"/>
  <c r="D32" i="36"/>
  <c r="Y66" i="16" l="1"/>
  <c r="Z66" i="16" s="1"/>
  <c r="Y62" i="16"/>
  <c r="Z62" i="16" s="1"/>
  <c r="Y58" i="16"/>
  <c r="Z58" i="16" s="1"/>
  <c r="Y54" i="16"/>
  <c r="Z54" i="16" s="1"/>
  <c r="AE7" i="27"/>
  <c r="W11" i="27"/>
  <c r="X11" i="27"/>
  <c r="X10" i="27"/>
  <c r="W10" i="27"/>
  <c r="AI6" i="32"/>
  <c r="Y4" i="15" l="1"/>
  <c r="U7" i="15"/>
  <c r="AP25" i="8" l="1"/>
  <c r="AP24" i="8"/>
  <c r="AP17" i="8"/>
  <c r="AP16" i="8"/>
  <c r="AQ25" i="8"/>
  <c r="AQ24" i="8"/>
  <c r="AQ17" i="8"/>
  <c r="AQ16" i="8"/>
  <c r="AQ22" i="14" l="1"/>
  <c r="AQ21" i="14"/>
  <c r="BC19" i="14"/>
  <c r="BC18" i="14"/>
  <c r="AQ16" i="14"/>
  <c r="AQ15" i="14"/>
  <c r="AQ13" i="14"/>
  <c r="AQ12" i="14"/>
  <c r="AQ10" i="14"/>
  <c r="AQ9" i="14"/>
  <c r="AQ7" i="14"/>
  <c r="AO7" i="14"/>
  <c r="AQ6" i="14"/>
  <c r="AO6" i="14"/>
  <c r="AO4" i="14"/>
  <c r="AG4" i="14"/>
  <c r="AF4" i="14" s="1"/>
  <c r="AO3" i="14"/>
  <c r="AG3" i="14"/>
  <c r="AF3" i="14" s="1"/>
  <c r="AG36" i="14"/>
  <c r="AF36" i="14" s="1"/>
  <c r="AG37" i="14"/>
  <c r="AF37" i="14" s="1"/>
  <c r="AP4" i="13"/>
  <c r="AP5" i="13"/>
  <c r="AP6" i="13"/>
  <c r="AP7" i="13"/>
  <c r="AP8" i="13"/>
  <c r="AP9" i="13"/>
  <c r="AP10" i="13"/>
  <c r="AP11" i="13"/>
  <c r="AP3" i="13"/>
  <c r="AL11" i="13"/>
  <c r="AO11" i="13"/>
  <c r="AO9" i="13"/>
  <c r="AL7" i="13"/>
  <c r="AM7" i="13"/>
  <c r="AN7" i="13"/>
  <c r="AL5" i="13"/>
  <c r="AO5" i="13"/>
  <c r="AM3" i="13"/>
  <c r="AO3" i="13" s="1"/>
  <c r="AN3" i="13"/>
  <c r="AJ9" i="13"/>
  <c r="AK9" i="13"/>
  <c r="AJ3" i="13"/>
  <c r="AK3" i="13"/>
  <c r="AO45" i="8"/>
  <c r="AO43" i="8"/>
  <c r="AO41" i="8"/>
  <c r="AO39" i="8"/>
  <c r="AO37" i="8"/>
  <c r="AO35" i="8"/>
  <c r="U31" i="8"/>
  <c r="L31" i="8"/>
  <c r="H31" i="8"/>
  <c r="AG35" i="14"/>
  <c r="AF35" i="14" s="1"/>
  <c r="AG38" i="14"/>
  <c r="AG39" i="14"/>
  <c r="AG40" i="14"/>
  <c r="BC17" i="14"/>
  <c r="BD17" i="14" s="1"/>
  <c r="AQ8" i="14"/>
  <c r="AG2" i="14"/>
  <c r="AF2" i="14" s="1"/>
  <c r="AO79" i="14"/>
  <c r="AQ79" i="14"/>
  <c r="AO78" i="14"/>
  <c r="AQ78" i="14"/>
  <c r="AO75" i="14"/>
  <c r="AQ75" i="14"/>
  <c r="AO76" i="14"/>
  <c r="AQ76" i="14"/>
  <c r="AO72" i="14"/>
  <c r="AQ72" i="14"/>
  <c r="AO73" i="14"/>
  <c r="AQ73" i="14"/>
  <c r="AO69" i="14"/>
  <c r="AQ69" i="14"/>
  <c r="AO70" i="14"/>
  <c r="AQ70" i="14"/>
  <c r="AO66" i="14"/>
  <c r="AQ66" i="14"/>
  <c r="AO67" i="14"/>
  <c r="AQ67" i="14"/>
  <c r="AO63" i="14"/>
  <c r="AQ63" i="14"/>
  <c r="AO64" i="14"/>
  <c r="AQ64" i="14"/>
  <c r="AO60" i="14"/>
  <c r="AQ60" i="14"/>
  <c r="AO61" i="14"/>
  <c r="AQ61" i="14"/>
  <c r="AO57" i="14"/>
  <c r="AQ57" i="14"/>
  <c r="AO58" i="14"/>
  <c r="AQ58" i="14"/>
  <c r="AO54" i="14"/>
  <c r="AQ54" i="14"/>
  <c r="AO55" i="14"/>
  <c r="AQ55" i="14"/>
  <c r="AO56" i="14"/>
  <c r="AO59" i="14"/>
  <c r="AO62" i="14"/>
  <c r="AO65" i="14"/>
  <c r="AO68" i="14"/>
  <c r="AO71" i="14"/>
  <c r="AO74" i="14"/>
  <c r="AO77" i="14"/>
  <c r="AQ56" i="14"/>
  <c r="AQ59" i="14"/>
  <c r="AQ62" i="14"/>
  <c r="AQ65" i="14"/>
  <c r="AQ68" i="14"/>
  <c r="AQ71" i="14"/>
  <c r="AQ74" i="14"/>
  <c r="AQ77" i="14"/>
  <c r="AO53" i="14"/>
  <c r="AQ53" i="14"/>
  <c r="AO52" i="14"/>
  <c r="AQ52" i="14"/>
  <c r="AO51" i="14"/>
  <c r="AQ51" i="14"/>
  <c r="AO48" i="14"/>
  <c r="AQ48" i="14"/>
  <c r="AO49" i="14"/>
  <c r="AQ49" i="14"/>
  <c r="AO45" i="14"/>
  <c r="AQ45" i="14"/>
  <c r="AO46" i="14"/>
  <c r="AQ46" i="14"/>
  <c r="AO42" i="14"/>
  <c r="AQ42" i="14"/>
  <c r="AO43" i="14"/>
  <c r="AQ43" i="14"/>
  <c r="AO39" i="14"/>
  <c r="AQ39" i="14"/>
  <c r="AO40" i="14"/>
  <c r="AQ40" i="14"/>
  <c r="AO36" i="14"/>
  <c r="AQ36" i="14"/>
  <c r="AO37" i="14"/>
  <c r="AQ37" i="14"/>
  <c r="AO33" i="14"/>
  <c r="AQ33" i="14"/>
  <c r="AO34" i="14"/>
  <c r="AQ34" i="14"/>
  <c r="AO30" i="14"/>
  <c r="AQ30" i="14"/>
  <c r="AO31" i="14"/>
  <c r="AQ31" i="14"/>
  <c r="AO27" i="14"/>
  <c r="AQ27" i="14"/>
  <c r="AO28" i="14"/>
  <c r="AQ28" i="14"/>
  <c r="AO24" i="14"/>
  <c r="AQ24" i="14"/>
  <c r="AO25" i="14"/>
  <c r="AQ25" i="14"/>
  <c r="AO23" i="14"/>
  <c r="AO26" i="14"/>
  <c r="AO29" i="14"/>
  <c r="AO32" i="14"/>
  <c r="AO35" i="14"/>
  <c r="AO38" i="14"/>
  <c r="AO41" i="14"/>
  <c r="AO44" i="14"/>
  <c r="AO47" i="14"/>
  <c r="AO50" i="14"/>
  <c r="AQ23" i="14"/>
  <c r="AQ26" i="14"/>
  <c r="AQ29" i="14"/>
  <c r="AQ32" i="14"/>
  <c r="AQ35" i="14"/>
  <c r="AQ38" i="14"/>
  <c r="AQ41" i="14"/>
  <c r="AQ44" i="14"/>
  <c r="AQ47" i="14"/>
  <c r="AQ50" i="14"/>
  <c r="AQ14" i="14"/>
  <c r="AQ11" i="14"/>
  <c r="AQ5" i="14"/>
  <c r="AQ20" i="14"/>
  <c r="AO5" i="14"/>
  <c r="AO2" i="14"/>
  <c r="AF39" i="14" l="1"/>
  <c r="AI39" i="14"/>
  <c r="AF38" i="14"/>
  <c r="AI38" i="14"/>
  <c r="AF40" i="14"/>
  <c r="AI40" i="14"/>
  <c r="AO7" i="13"/>
  <c r="AP2" i="13"/>
  <c r="AO10" i="13"/>
  <c r="AO8" i="13"/>
  <c r="AN2" i="13"/>
  <c r="AM2" i="13"/>
  <c r="AO2" i="13" s="1"/>
  <c r="AN6" i="13"/>
  <c r="AO6" i="13" s="1"/>
  <c r="AM6" i="13"/>
  <c r="AO4" i="13"/>
  <c r="AK8" i="13"/>
  <c r="AJ8" i="13"/>
  <c r="AK2" i="13"/>
  <c r="AJ2" i="13"/>
  <c r="AL4" i="13"/>
  <c r="AL6" i="13"/>
  <c r="AL10" i="13"/>
  <c r="J19" i="8"/>
  <c r="AK45" i="8" l="1"/>
  <c r="AJ45" i="8"/>
  <c r="AK44" i="8"/>
  <c r="AJ44" i="8"/>
  <c r="AL31" i="8"/>
  <c r="AL30" i="8"/>
  <c r="AL29" i="8"/>
  <c r="AL28" i="8"/>
  <c r="AL27" i="8"/>
  <c r="AL26" i="8"/>
  <c r="AL16" i="8"/>
  <c r="AJ20" i="8"/>
  <c r="AL21" i="8"/>
  <c r="AL20" i="8"/>
  <c r="AK39" i="8"/>
  <c r="AJ39" i="8"/>
  <c r="AK38" i="8"/>
  <c r="AJ38" i="8"/>
  <c r="AK43" i="8"/>
  <c r="AJ43" i="8"/>
  <c r="AK41" i="8"/>
  <c r="AJ41" i="8"/>
  <c r="AK40" i="8"/>
  <c r="AJ40" i="8"/>
  <c r="AK37" i="8"/>
  <c r="AJ37" i="8"/>
  <c r="AK36" i="8"/>
  <c r="AJ36" i="8"/>
  <c r="AK35" i="8"/>
  <c r="AJ35" i="8"/>
  <c r="AJ34" i="8"/>
  <c r="AK42" i="8"/>
  <c r="AJ42" i="8"/>
  <c r="AK34" i="8"/>
  <c r="AK11" i="8"/>
  <c r="AK10" i="8"/>
  <c r="AK9" i="8"/>
  <c r="AJ9" i="8"/>
  <c r="AK8" i="8"/>
  <c r="AJ8" i="8"/>
  <c r="AK7" i="8"/>
  <c r="AJ7" i="8"/>
  <c r="AK5" i="8"/>
  <c r="AJ5" i="8"/>
  <c r="AK3" i="8"/>
  <c r="AK2" i="8"/>
  <c r="AK6" i="8"/>
  <c r="AJ6" i="8"/>
  <c r="AK4" i="8"/>
  <c r="AJ4" i="8"/>
  <c r="AJ2" i="8"/>
  <c r="AL2" i="8"/>
  <c r="AO36" i="8"/>
  <c r="AO44" i="8"/>
  <c r="AO42" i="8"/>
  <c r="AO40" i="8"/>
  <c r="AO38" i="8"/>
  <c r="AO34" i="8"/>
  <c r="AO15" i="8"/>
  <c r="AO14" i="8"/>
  <c r="AO13" i="8"/>
  <c r="AO12" i="8"/>
  <c r="AO11" i="8"/>
  <c r="AO10" i="8"/>
  <c r="AO9" i="8"/>
  <c r="AO8" i="8"/>
  <c r="AO5" i="8"/>
  <c r="AO4" i="8"/>
  <c r="AO3" i="8"/>
  <c r="AO2" i="8"/>
  <c r="U30" i="8"/>
  <c r="L30" i="8"/>
  <c r="H30" i="8"/>
  <c r="M30" i="8" s="1"/>
  <c r="D9" i="11"/>
  <c r="J18" i="8"/>
  <c r="C9" i="11"/>
  <c r="I18" i="8"/>
  <c r="AL5" i="8" l="1"/>
  <c r="AL4" i="8"/>
  <c r="AQ5" i="8"/>
  <c r="AQ4" i="8"/>
  <c r="AO23" i="8"/>
  <c r="AO22" i="8"/>
  <c r="AQ23" i="8"/>
  <c r="AQ22" i="8"/>
  <c r="AL23" i="8"/>
  <c r="AL22" i="8"/>
  <c r="AK21" i="8"/>
  <c r="AJ21" i="8"/>
  <c r="AK20" i="8"/>
  <c r="AQ21" i="8"/>
  <c r="AQ20" i="8"/>
  <c r="AN21" i="8"/>
  <c r="AN20" i="8"/>
  <c r="AM21" i="8"/>
  <c r="AM20" i="8"/>
  <c r="AN17" i="8"/>
  <c r="AM17" i="8"/>
  <c r="AN16" i="8"/>
  <c r="AM16" i="8"/>
  <c r="AQ15" i="8"/>
  <c r="AQ14" i="8"/>
  <c r="AQ13" i="8"/>
  <c r="AQ12" i="8"/>
  <c r="AQ11" i="8"/>
  <c r="AQ10" i="8"/>
  <c r="AQ9" i="8"/>
  <c r="AQ8" i="8"/>
  <c r="AQ2" i="8"/>
  <c r="AQ3" i="8"/>
  <c r="AO25" i="8"/>
  <c r="AO24" i="8"/>
  <c r="AO19" i="8"/>
  <c r="AO18" i="8"/>
  <c r="AQ18" i="8"/>
  <c r="AQ19" i="8"/>
  <c r="AL19" i="8"/>
  <c r="AL18" i="8"/>
  <c r="AL15" i="8"/>
  <c r="AL14" i="8"/>
  <c r="AL13" i="8"/>
  <c r="AL12" i="8"/>
  <c r="AL11" i="8"/>
  <c r="AL10" i="8"/>
  <c r="AL9" i="8"/>
  <c r="AL8" i="8"/>
  <c r="AL3" i="8"/>
  <c r="AK25" i="8"/>
  <c r="AK24" i="8"/>
  <c r="AJ25" i="8"/>
  <c r="AJ24" i="8"/>
  <c r="V21" i="8"/>
  <c r="V20" i="8"/>
  <c r="M7" i="8"/>
  <c r="I7" i="8"/>
  <c r="L7" i="8" s="1"/>
  <c r="H7" i="8" l="1"/>
  <c r="R59" i="4"/>
  <c r="R58" i="4"/>
  <c r="R57" i="4"/>
  <c r="R56" i="4"/>
  <c r="R55" i="4"/>
  <c r="R53" i="4"/>
  <c r="R52" i="4"/>
  <c r="R51" i="4"/>
  <c r="R50" i="4"/>
  <c r="U59" i="4"/>
  <c r="U58" i="4"/>
  <c r="U57" i="4"/>
  <c r="U56" i="4"/>
  <c r="U50" i="4"/>
  <c r="U55" i="4"/>
  <c r="U54" i="4"/>
  <c r="U53" i="4"/>
  <c r="U52" i="4"/>
  <c r="U51" i="4"/>
  <c r="R65" i="4"/>
  <c r="R64" i="4"/>
  <c r="O49" i="4"/>
  <c r="O48" i="4"/>
  <c r="R43" i="4"/>
  <c r="R42" i="4"/>
  <c r="O40" i="4"/>
  <c r="O36" i="4"/>
  <c r="O34" i="4"/>
  <c r="U41" i="4"/>
  <c r="J41" i="4" s="1"/>
  <c r="N41" i="4" s="1"/>
  <c r="U37" i="4"/>
  <c r="J37" i="4" s="1"/>
  <c r="N37" i="4" s="1"/>
  <c r="U35" i="4"/>
  <c r="J35" i="4" s="1"/>
  <c r="N35" i="4" s="1"/>
  <c r="O41" i="4"/>
  <c r="O35" i="4"/>
  <c r="O37" i="4"/>
  <c r="R25" i="4"/>
  <c r="R24" i="4"/>
  <c r="O17" i="4"/>
  <c r="O16" i="4"/>
  <c r="O33" i="4"/>
  <c r="O39" i="4"/>
  <c r="T46" i="4"/>
  <c r="O32" i="4"/>
  <c r="U29" i="4"/>
  <c r="Q31" i="4"/>
  <c r="U39" i="4" l="1"/>
  <c r="J39" i="4" s="1"/>
  <c r="N39" i="4" s="1"/>
  <c r="O46" i="4"/>
  <c r="O44" i="4"/>
  <c r="O45" i="4"/>
  <c r="O42" i="4"/>
  <c r="O43" i="4"/>
  <c r="O38" i="4"/>
  <c r="P26" i="4" l="1"/>
  <c r="O25" i="4"/>
  <c r="P27" i="4"/>
  <c r="O24" i="4"/>
  <c r="O23" i="4"/>
  <c r="O22" i="4"/>
  <c r="U23" i="4"/>
  <c r="U22" i="4"/>
  <c r="Q11" i="4"/>
  <c r="Q12" i="4"/>
  <c r="Q13" i="4"/>
  <c r="Q14" i="4"/>
  <c r="Q15" i="4"/>
  <c r="Q16" i="4"/>
  <c r="Q17" i="4"/>
  <c r="Q18" i="4"/>
  <c r="Q19" i="4"/>
  <c r="Q20" i="4"/>
  <c r="Q21" i="4"/>
  <c r="O20" i="4"/>
  <c r="O21" i="4"/>
  <c r="O19" i="4"/>
  <c r="O18" i="4"/>
  <c r="O15" i="4"/>
  <c r="O14" i="4"/>
  <c r="O13" i="4"/>
  <c r="O12" i="4"/>
  <c r="F13" i="5"/>
  <c r="L13" i="5" s="1"/>
  <c r="O7" i="4" s="1"/>
  <c r="M12" i="5"/>
  <c r="F12" i="5" s="1"/>
  <c r="L12" i="5" s="1"/>
  <c r="O6" i="4" s="1"/>
  <c r="E11" i="5"/>
  <c r="F11" i="5" s="1"/>
  <c r="M11" i="5" s="1"/>
  <c r="F8" i="5"/>
  <c r="L8" i="5" s="1"/>
  <c r="L7" i="5"/>
  <c r="F6" i="5"/>
  <c r="L6" i="5" s="1"/>
  <c r="F4" i="5"/>
  <c r="L4" i="5" s="1"/>
  <c r="F2" i="5"/>
  <c r="L2" i="5" s="1"/>
  <c r="L3" i="5"/>
  <c r="E10" i="5"/>
  <c r="F10" i="5" s="1"/>
  <c r="J10" i="5" s="1"/>
  <c r="U4" i="4" s="1"/>
  <c r="E5" i="5"/>
  <c r="P22" i="4" l="1"/>
  <c r="U6" i="4"/>
  <c r="U7" i="4"/>
  <c r="P7" i="4" s="1"/>
  <c r="Q7" i="4" s="1"/>
  <c r="P23" i="4"/>
  <c r="M10" i="5"/>
  <c r="J11" i="5"/>
  <c r="L11" i="5"/>
  <c r="U5" i="4"/>
  <c r="L10" i="5"/>
  <c r="O4" i="4" s="1"/>
  <c r="L9" i="5"/>
  <c r="O3" i="4" s="1"/>
  <c r="U2" i="4"/>
  <c r="F9" i="5"/>
  <c r="U3" i="4" s="1"/>
  <c r="L5" i="5"/>
  <c r="O5" i="4" s="1"/>
  <c r="F5" i="5"/>
  <c r="J5" i="5" s="1"/>
  <c r="P3" i="4" l="1"/>
  <c r="J5" i="4"/>
  <c r="N5" i="4" s="1"/>
  <c r="P4" i="4"/>
  <c r="O2" i="4"/>
  <c r="P2" i="4" s="1"/>
  <c r="O8" i="4" l="1"/>
  <c r="O11" i="4"/>
  <c r="O10" i="4"/>
  <c r="P6" i="4" s="1"/>
  <c r="Q6" i="4" s="1"/>
  <c r="O9" i="4" l="1"/>
  <c r="T47" i="4" l="1"/>
  <c r="O47" i="4"/>
  <c r="O50" i="4"/>
  <c r="O53" i="4"/>
  <c r="P64" i="4"/>
  <c r="O52" i="4"/>
  <c r="O51" i="4"/>
  <c r="P65" i="4"/>
  <c r="AG8" i="14" l="1"/>
  <c r="AF8" i="14" s="1"/>
  <c r="V8" i="44"/>
  <c r="V3" i="44"/>
  <c r="W3" i="44" s="1"/>
  <c r="V5" i="44"/>
  <c r="W5" i="44" s="1"/>
  <c r="V7" i="44"/>
  <c r="V4" i="44"/>
  <c r="W4" i="44" s="1"/>
  <c r="V6" i="44"/>
  <c r="W6" i="44" s="1"/>
  <c r="Q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tc={6FB11D2E-1898-400C-96EC-11B97855C5B0}</author>
    <author>tc={376196B9-E5C2-498A-96C4-2EAC2FD168EE}</author>
    <author>tc={393B7E4F-949F-488C-8ADE-E412DB508FEE}</author>
    <author>tc={9C795F68-AEA6-4A36-9CD7-EA8194EE1235}</author>
    <author>tc={24C17746-073D-4362-92E8-080F3528ACBE}</author>
    <author>jkochems</author>
    <author>tc={EABE8DA4-2D7F-445C-86EB-9FF74E3E364A}</author>
    <author>tc={DACA0D02-B92F-405C-B2BA-3BC8BA249199}</author>
    <author>tc={6F11B637-1D37-4161-A140-4D7C4CE9623A}</author>
    <author>tc={28913698-19A1-44FE-B6A1-3583EB7D5F86}</author>
    <author>tc={D790982C-E239-44DE-8F77-7134144447DA}</author>
    <author>tc={941BA8FF-4199-4600-A43B-3E444E45E103}</author>
    <author>tc={910F0900-CC13-4533-AA7D-7021679D2B3F}</author>
    <author>tc={2DEF9D60-F898-4C2B-B1F8-895CC42F695E}</author>
    <author>tc={0E1FB3E0-8168-4781-9D3B-B4D4141533D8}</author>
    <author>tc={82C40A8C-A6D9-4648-9B36-1F0C635A6EE0}</author>
    <author>tc={501C780F-3588-4740-BEC1-3CC553CBECC6}</author>
    <author>tc={8B020987-F741-4DE9-9D60-8951962E66AD}</author>
    <author>tc={B1A597AE-F6B1-498B-A2C3-4CD0FDF00A57}</author>
    <author>tc={83979569-2615-49DE-98D3-60EC61B70851}</author>
    <author>tc={48A0409D-837E-4CE9-8374-D4BA9632F476}</author>
    <author>tc={0D5377D1-5566-41B2-AFED-63B4F3FC231B}</author>
    <author>tc={406A97BE-01A4-437B-B4A5-C0FAE61F4E2D}</author>
    <author>tc={E83AFEB3-A3B5-441B-8AC4-97E619AD3D0D}</author>
    <author>tc={D9A17245-FDC3-4E57-B36D-4543D1D739AB}</author>
    <author>tc={30D721CC-6599-4785-869C-D43AD1717369}</author>
    <author>tc={C1D1CE9C-97CB-4B43-9BE4-DC8BF154E533}</author>
    <author>tc={A9ABED18-06E3-438C-A012-D5B9C5D9EB23}</author>
    <author>tc={B960A412-667A-4F4A-85E9-C0D5EFBB3214}</author>
    <author>tc={131E90E6-63BE-4323-8D80-1A7AABFD3910}</author>
    <author>tc={4BA0495D-437E-4FFD-A4BD-085BACFFC060}</author>
    <author>tc={605A5974-406C-4657-86CC-D87E06D351D1}</author>
    <author>tc={7E445DEF-BF36-437D-91B1-4C2E9B776694}</author>
    <author>tc={D82E4FEC-4E5D-4733-B144-9220787926C6}</author>
    <author>tc={592CD9EE-C76B-4F7B-A273-02F643911CF1}</author>
    <author>tc={FE72FA0C-FB68-4829-B51E-69FF20C98A44}</author>
    <author>tc={788DCF7C-953E-4297-B255-456FCC58224C}</author>
    <author>tc={4D1C8460-4E09-49C8-981A-AD4AE6060426}</author>
    <author>tc={0DCC5F6E-1AC8-4D22-9B51-4026B2249B96}</author>
    <author>tc={9F189547-77C7-40B2-BB35-AB4967BC092F}</author>
    <author>tc={42E4374E-4CFF-4DFC-82A9-F033E83987E2}</author>
    <author>tc={DD55F146-4EBD-47D7-B472-941735C66190}</author>
    <author>tc={77E33B17-6230-4A62-943A-1D43BA1731C1}</author>
    <author>tc={D20282A4-453A-4989-BA7B-224D76F3A2EC}</author>
    <author>tc={E4DFC1BC-7B4F-466B-BFA5-842AFE94223A}</author>
    <author>tc={F6DB1FBC-6F34-4FD0-AB31-99BCDC593173}</author>
    <author>tc={E9C25A7E-BBDB-4935-8939-5248170A70BB}</author>
    <author>tc={CC6E0B63-C6F1-4519-B16C-6830F1B9B42C}</author>
    <author>tc={0877EF14-013D-4BBD-B857-2282E6A51C64}</author>
    <author>tc={8AA5EE70-EA47-452A-9020-F6E5E093C83C}</author>
    <author>tc={6F172E86-5CFD-4275-B98D-3A0A568657CB}</author>
    <author>tc={9BCDE418-9962-4E6E-938A-6C624BC06F0F}</author>
    <author>tc={5B535930-6FD8-4821-A2D8-8641A72AA736}</author>
    <author>tc={ADBD58D4-6C18-465E-9EBC-B8E4F13EFC25}</author>
    <author>tc={3440A646-D29B-4656-A00C-8189ACC56A0C}</author>
    <author>tc={2D7E5D39-97A3-48DB-A1E3-14F56C58F539}</author>
    <author>tc={C9B0A0A2-01A0-48A7-A4BE-0CA56EA5250F}</author>
    <author>tc={8C45AAE1-4AE4-4B88-9A17-4D2F9B5C4E80}</author>
    <author>tc={EB45FA2C-8BCF-47FD-9BCB-A1779E11D0BE}</author>
    <author>tc={9CBF40E8-A756-43FB-9044-CC892A173101}</author>
    <author>tc={3895E628-055B-4736-A842-8D463E391F87}</author>
    <author>tc={C31475F1-35F9-466C-B2F9-A5D3D89C4EBD}</author>
    <author>tc={582DF603-D909-4A79-A148-7A56ED279A30}</author>
    <author>tc={5ACBBB73-DDB7-4819-9B29-41A1D907962C}</author>
    <author>tc={EC088AEF-4AE2-4BAD-B320-5D1727F0F467}</author>
    <author>tc={C34608BB-0718-4C48-A33E-08B7106FAF98}</author>
    <author>tc={C5D698C6-58AB-47D5-826B-2A3F27A4E8F0}</author>
    <author>tc={C9E56C69-1886-4C5D-824A-529A920F58C6}</author>
    <author>tc={0FD6022C-A6CA-45C3-9FDB-F8992AD2578A}</author>
    <author>tc={4B93472F-C2BF-4046-96B6-F3512817D757}</author>
    <author>tc={1CC66302-58CA-4A3B-B5D1-EDE68BE78BF4}</author>
    <author>tc={1887D2E3-06F7-4826-B857-B8F95D54D08E}</author>
    <author>tc={0B4057C6-DF1E-4469-A1B3-28F2A0FDCA37}</author>
    <author>tc={AD937B53-0BD1-4102-9821-A23B14D05DAE}</author>
    <author>tc={2F06A259-E70F-4D4B-B46D-51538BFF4595}</author>
    <author>tc={BA2B102B-3B00-4678-B8D1-1AD4A05BCF81}</author>
    <author>tc={FA846C4F-AF9D-4FEF-8F4D-B17F896F05E4}</author>
    <author>tc={393F606A-87DC-4EF9-B9D9-8D7355AE4A0D}</author>
    <author>tc={EAC4E11C-59A2-40B6-9021-C0109028406D}</author>
    <author>tc={F2C5EF3B-9C7E-4F75-804A-2C17A63CDC53}</author>
    <author>tc={4EFC8E91-8650-4498-8EC4-03047D8FB325}</author>
    <author>tc={CEE35B00-F1FA-4AE7-9EB9-1900E25E4AF7}</author>
    <author>tc={F4D95702-89CE-4838-A205-4CE6C74080A5}</author>
    <author>tc={B0C708C7-528B-4BCC-B809-B7D746CA4CB5}</author>
    <author>tc={47607807-4E10-439F-A360-2930B5D13DF6}</author>
    <author>tc={0F5B67FC-7A41-4C71-A425-48145DFE0F18}</author>
  </authors>
  <commentList>
    <comment ref="R1" authorId="0" shapeId="0" xr:uid="{00000000-0006-0000-06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</text>
    </comment>
    <comment ref="X1" authorId="1" shapeId="0" xr:uid="{00000000-0006-0000-06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</text>
    </comment>
    <comment ref="Y1" authorId="2" shapeId="0" xr:uid="{00000000-0006-0000-06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positives und negatives Potenzial identisch</t>
      </text>
    </comment>
    <comment ref="AA1" authorId="3" shapeId="0" xr:uid="{00000000-0006-0000-06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</t>
      </text>
    </comment>
    <comment ref="BT1" authorId="4" shapeId="0" xr:uid="{24C17746-073D-4362-92E8-080F3528ACB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113: Industrielle Potenziale im Status quo werden auch für 2020 und 2030 fortgeschrieben.</t>
      </text>
    </comment>
    <comment ref="E2" authorId="5" shapeId="0" xr:uid="{00000000-0006-0000-06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K2" authorId="6" shapeId="0" xr:uid="{EABE8DA4-2D7F-445C-86EB-9FF74E3E364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für die Elektrolyse; insges. 6,3 TWh/a</t>
      </text>
    </comment>
    <comment ref="R2" authorId="7" shapeId="0" xr:uid="{00000000-0006-0000-06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</text>
    </comment>
    <comment ref="S2" authorId="8" shapeId="0" xr:uid="{00000000-0006-0000-06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</text>
    </comment>
    <comment ref="AA2" authorId="9" shapeId="0" xr:uid="{00000000-0006-0000-06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</text>
    </comment>
    <comment ref="AO2" authorId="10" shapeId="0" xr:uid="{00000000-0006-0000-06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AP2" authorId="11" shapeId="0" xr:uid="{00000000-0006-0000-06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AQ2" authorId="12" shapeId="0" xr:uid="{00000000-0006-0000-06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E3" authorId="5" shapeId="0" xr:uid="{00000000-0006-0000-06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R3" authorId="13" shapeId="0" xr:uid="{00000000-0006-0000-06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</text>
    </comment>
    <comment ref="S3" authorId="14" shapeId="0" xr:uid="{00000000-0006-0000-06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</text>
    </comment>
    <comment ref="AA3" authorId="15" shapeId="0" xr:uid="{00000000-0006-0000-06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</text>
    </comment>
    <comment ref="AO3" authorId="16" shapeId="0" xr:uid="{00000000-0006-0000-0600-00001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AP3" authorId="17" shapeId="0" xr:uid="{00000000-0006-0000-06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AQ3" authorId="18" shapeId="0" xr:uid="{00000000-0006-0000-06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E4" authorId="5" shapeId="0" xr:uid="{00000000-0006-0000-06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R4" authorId="19" shapeId="0" xr:uid="{00000000-0006-0000-06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Samira</t>
      </text>
    </comment>
    <comment ref="S4" authorId="20" shapeId="0" xr:uid="{00000000-0006-0000-06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637 MW für Lastabwurf (S. 37); bei Vollauslastung bis 1.000 MW</t>
      </text>
    </comment>
    <comment ref="AA4" authorId="21" shapeId="0" xr:uid="{00000000-0006-0000-06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 111)</t>
      </text>
    </comment>
    <comment ref="AO4" authorId="22" shapeId="0" xr:uid="{00000000-0006-0000-06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AP4" authorId="23" shapeId="0" xr:uid="{00000000-0006-0000-06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AQ4" authorId="24" shapeId="0" xr:uid="{00000000-0006-0000-0600-00001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</t>
      </text>
    </comment>
    <comment ref="G5" authorId="25" shapeId="0" xr:uid="{30D721CC-6599-4785-869C-D43AD171736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4497 kt/a</t>
      </text>
    </comment>
    <comment ref="K5" authorId="26" shapeId="0" xr:uid="{C1D1CE9C-97CB-4B43-9BE4-DC8BF154E5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</text>
    </comment>
    <comment ref="AO5" authorId="27" shapeId="0" xr:uid="{00000000-0006-0000-0600-00001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K6" authorId="28" shapeId="0" xr:uid="{B960A412-667A-4F4A-85E9-C0D5EFBB32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</text>
    </comment>
    <comment ref="AO6" authorId="29" shapeId="0" xr:uid="{00000000-0006-0000-06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K7" authorId="30" shapeId="0" xr:uid="{4BA0495D-437E-4FFD-A4BD-085BACFFC0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insgesamt: 11,6 TWh/a, davon aber nur 6,9 TWh/a bei geeigneten Prozessen Membran- und HCl-Verfahren</t>
      </text>
    </comment>
    <comment ref="AO7" authorId="31" shapeId="0" xr:uid="{00000000-0006-0000-06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Lastabwurf</t>
      </text>
    </comment>
    <comment ref="G8" authorId="32" shapeId="0" xr:uid="{7E445DEF-BF36-437D-91B1-4C2E9B77669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Holzschliff</t>
      </text>
    </comment>
    <comment ref="AG8" authorId="33" shapeId="0" xr:uid="{00000000-0006-0000-06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</text>
    </comment>
    <comment ref="AG9" authorId="34" shapeId="0" xr:uid="{592CD9EE-C76B-4F7B-A273-02F643911C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</text>
    </comment>
    <comment ref="AG10" authorId="35" shapeId="0" xr:uid="{FE72FA0C-FB68-4829-B51E-69FF20C98A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46: 90 % Auslastung typischerweise am Tag</t>
      </text>
    </comment>
    <comment ref="G11" authorId="36" shapeId="0" xr:uid="{788DCF7C-953E-4297-B255-456FCC5822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Papierherstellung gesamt: 23.200 kt/a</t>
      </text>
    </comment>
    <comment ref="I11" authorId="37" shapeId="0" xr:uid="{4D1C8460-4E09-49C8-981A-AD4AE60604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spez. StV Papier 892 kWh/t</t>
      </text>
    </comment>
    <comment ref="K11" authorId="38" shapeId="0" xr:uid="{0DCC5F6E-1AC8-4D22-9B51-4026B2249B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Papier gesamt: 20,7 TWh/a</t>
      </text>
    </comment>
    <comment ref="AT11" authorId="39" shapeId="0" xr:uid="{00000000-0006-0000-06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</text>
    </comment>
    <comment ref="AT12" authorId="40" shapeId="0" xr:uid="{00000000-0006-0000-0600-00002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</text>
    </comment>
    <comment ref="AT13" authorId="41" shapeId="0" xr:uid="{00000000-0006-0000-06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2</t>
      </text>
    </comment>
    <comment ref="K14" authorId="42" shapeId="0" xr:uid="{77E33B17-6230-4A62-943A-1D43BA1731C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</text>
    </comment>
    <comment ref="L14" authorId="43" shapeId="0" xr:uid="{00000000-0006-0000-0600-00002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</text>
    </comment>
    <comment ref="K15" authorId="44" shapeId="0" xr:uid="{E4DFC1BC-7B4F-466B-BFA5-842AFE9422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</text>
    </comment>
    <comment ref="L15" authorId="45" shapeId="0" xr:uid="{00000000-0006-0000-0600-00002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</text>
    </comment>
    <comment ref="K16" authorId="46" shapeId="0" xr:uid="{E9C25A7E-BBDB-4935-8939-5248170A70B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gesamt: 10,6</t>
      </text>
    </comment>
    <comment ref="L16" authorId="47" shapeId="0" xr:uid="{00000000-0006-0000-0600-00002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Bandlast; einzelner Prozess kann nicht mehr unterbrochen werden.</t>
      </text>
    </comment>
    <comment ref="M17" authorId="48" shapeId="0" xr:uid="{00000000-0006-0000-0600-00002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</text>
    </comment>
    <comment ref="V17" authorId="49" shapeId="0" xr:uid="{00000000-0006-0000-0600-00002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</text>
    </comment>
    <comment ref="AO17" authorId="50" shapeId="0" xr:uid="{00000000-0006-0000-0600-00002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</text>
    </comment>
    <comment ref="AP17" authorId="51" shapeId="0" xr:uid="{00000000-0006-0000-0600-00002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</text>
    </comment>
    <comment ref="AQ17" authorId="52" shapeId="0" xr:uid="{00000000-0006-0000-0600-00002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</text>
    </comment>
    <comment ref="BC17" authorId="53" shapeId="0" xr:uid="{00000000-0006-0000-0600-00002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</text>
    </comment>
    <comment ref="M18" authorId="54" shapeId="0" xr:uid="{00000000-0006-0000-0600-00002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</text>
    </comment>
    <comment ref="V18" authorId="55" shapeId="0" xr:uid="{00000000-0006-0000-0600-00002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</text>
    </comment>
    <comment ref="AO18" authorId="56" shapeId="0" xr:uid="{00000000-0006-0000-0600-00002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</text>
    </comment>
    <comment ref="AP18" authorId="57" shapeId="0" xr:uid="{00000000-0006-0000-0600-00002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</text>
    </comment>
    <comment ref="AQ18" authorId="58" shapeId="0" xr:uid="{00000000-0006-0000-0600-00003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</text>
    </comment>
    <comment ref="BC18" authorId="59" shapeId="0" xr:uid="{00000000-0006-0000-0600-00003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</text>
    </comment>
    <comment ref="M19" authorId="60" shapeId="0" xr:uid="{00000000-0006-0000-0600-00003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nachts bzw. Wochenenden</t>
      </text>
    </comment>
    <comment ref="V19" authorId="61" shapeId="0" xr:uid="{00000000-0006-0000-0600-00003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werktags tagsüber</t>
      </text>
    </comment>
    <comment ref="AO19" authorId="62" shapeId="0" xr:uid="{00000000-0006-0000-0600-00003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Herunterfahren</t>
      </text>
    </comment>
    <comment ref="AP19" authorId="63" shapeId="0" xr:uid="{00000000-0006-0000-0600-00003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Hochfahren</t>
      </text>
    </comment>
    <comment ref="AQ19" authorId="64" shapeId="0" xr:uid="{00000000-0006-0000-0600-00003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 bei Teillast / Lastüberhöhung</t>
      </text>
    </comment>
    <comment ref="BC19" authorId="65" shapeId="0" xr:uid="{00000000-0006-0000-0600-00003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Abrufe pro Tag</t>
      </text>
    </comment>
    <comment ref="A20" authorId="66" shapeId="0" xr:uid="{00000000-0006-0000-0600-00003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</text>
    </comment>
    <comment ref="K20" authorId="67" shapeId="0" xr:uid="{C9E56C69-1886-4C5D-824A-529A920F58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StV gesamt 4,2 TWh; davon 1,1 aus Eigenerzeugung (BHKW)</t>
      </text>
    </comment>
    <comment ref="V20" authorId="68" shapeId="0" xr:uid="{00000000-0006-0000-0600-00003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</text>
    </comment>
    <comment ref="AQ20" authorId="69" shapeId="0" xr:uid="{00000000-0006-0000-0600-00003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</text>
    </comment>
    <comment ref="A21" authorId="70" shapeId="0" xr:uid="{00000000-0006-0000-0600-00003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</text>
    </comment>
    <comment ref="V21" authorId="71" shapeId="0" xr:uid="{00000000-0006-0000-0600-00003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</text>
    </comment>
    <comment ref="AQ21" authorId="72" shapeId="0" xr:uid="{00000000-0006-0000-0600-00003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</text>
    </comment>
    <comment ref="A22" authorId="73" shapeId="0" xr:uid="{00000000-0006-0000-0600-00003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energetische Nutzung von Klärgas mit BHKW</t>
      </text>
    </comment>
    <comment ref="V22" authorId="74" shapeId="0" xr:uid="{00000000-0006-0000-0600-00003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(?!)</t>
      </text>
    </comment>
    <comment ref="AQ22" authorId="75" shapeId="0" xr:uid="{00000000-0006-0000-0600-00004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</t>
      </text>
    </comment>
    <comment ref="D23" authorId="76" shapeId="0" xr:uid="{00000000-0006-0000-0600-00004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implizite Annahme aus Methodik der Lastblockverschiebung bei Haushalten / GHD</t>
      </text>
    </comment>
    <comment ref="O23" authorId="77" shapeId="0" xr:uid="{00000000-0006-0000-0600-00004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</text>
    </comment>
    <comment ref="X23" authorId="78" shapeId="0" xr:uid="{00000000-0006-0000-0600-00004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aus Diagrammen auf S. 97-99</t>
      </text>
    </comment>
    <comment ref="BD26" authorId="79" shapeId="0" xr:uid="{00000000-0006-0000-0600-00004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</t>
      </text>
    </comment>
    <comment ref="AS29" authorId="80" shapeId="0" xr:uid="{00000000-0006-0000-0600-00004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</t>
      </text>
    </comment>
    <comment ref="BD29" authorId="81" shapeId="0" xr:uid="{00000000-0006-0000-0600-00004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durchschnittliche Nutzungshäufigkeit p.a.</t>
      </text>
    </comment>
    <comment ref="AS32" authorId="82" shapeId="0" xr:uid="{00000000-0006-0000-0600-00004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</text>
    </comment>
    <comment ref="CG32" authorId="83" shapeId="0" xr:uid="{00000000-0006-0000-0600-00004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 zu Tageslastgang Waschmaschinen</t>
      </text>
    </comment>
    <comment ref="AS33" authorId="84" shapeId="0" xr:uid="{00000000-0006-0000-0600-00004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</text>
    </comment>
    <comment ref="AS34" authorId="85" shapeId="0" xr:uid="{00000000-0006-0000-0600-00004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Lastgang; sehr heterogene Leistungsaufnahme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tc={0DD99023-DC2C-41B6-8AEB-A303437B076F}</author>
    <author>tc={75941BD7-E960-45C5-93F8-50AF65AF3D95}</author>
    <author>tc={C69EA6FA-A4C3-401F-911F-AFB04FA3AA67}</author>
  </authors>
  <commentList>
    <comment ref="B1" authorId="0" shapeId="0" xr:uid="{0DD99023-DC2C-41B6-8AEB-A303437B07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</text>
    </comment>
    <comment ref="AS1" authorId="1" shapeId="0" xr:uid="{75941BD7-E960-45C5-93F8-50AF65AF3D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</text>
    </comment>
    <comment ref="A6" authorId="2" shapeId="0" xr:uid="{C69EA6FA-A4C3-401F-911F-AFB04FA3AA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Zellstoffherstellung -&gt; synonym?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tc={8284C32F-A718-4F14-B86F-92DAD71F1CCC}</author>
    <author>tc={ECB77693-BF3E-4B43-A4B8-AD8387C97A71}</author>
    <author>tc={57AFC2E8-FFA2-4E62-B2B4-81994335385E}</author>
    <author>tc={FC7BBEF6-D7F2-4F4A-A23E-46102D346E13}</author>
    <author>tc={83715AE3-D509-4104-B51C-C36515A17889}</author>
    <author>tc={B04551D7-5559-4E67-9DC2-BCD256A7DFD5}</author>
    <author>tc={63A77B0A-9E84-4656-BE07-574F38164B28}</author>
    <author>tc={5DAA1232-B6CD-40DC-AEC4-1AB307E0B300}</author>
    <author>tc={F0DEA446-6AAB-4DAC-879B-3A7739E68C94}</author>
    <author>tc={A39BA4E7-BEF2-403F-84C2-3E67FBAD74A9}</author>
    <author>tc={90BAFA99-47B4-4AC0-B454-0B40C3E5F9C3}</author>
    <author>tc={A3EFB10A-875A-48C9-90E2-824AED4C0608}</author>
  </authors>
  <commentList>
    <comment ref="B1" authorId="0" shapeId="0" xr:uid="{8284C32F-A718-4F14-B86F-92DAD71F1C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</text>
    </comment>
    <comment ref="AN1" authorId="1" shapeId="0" xr:uid="{ECB77693-BF3E-4B43-A4B8-AD8387C97A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</text>
    </comment>
    <comment ref="AO1" authorId="2" shapeId="0" xr:uid="{57AFC2E8-FFA2-4E62-B2B4-81994335385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</text>
    </comment>
    <comment ref="I4" authorId="3" shapeId="0" xr:uid="{FC7BBEF6-D7F2-4F4A-A23E-46102D346E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</text>
    </comment>
    <comment ref="M4" authorId="4" shapeId="0" xr:uid="{83715AE3-D509-4104-B51C-C36515A178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</text>
    </comment>
    <comment ref="AF4" authorId="5" shapeId="0" xr:uid="{B04551D7-5559-4E67-9DC2-BCD256A7DFD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</text>
    </comment>
    <comment ref="I5" authorId="6" shapeId="0" xr:uid="{63A77B0A-9E84-4656-BE07-574F38164B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</text>
    </comment>
    <comment ref="M5" authorId="7" shapeId="0" xr:uid="{5DAA1232-B6CD-40DC-AEC4-1AB307E0B3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Berechnungsfehler?!</t>
      </text>
    </comment>
    <comment ref="AF5" authorId="8" shapeId="0" xr:uid="{F0DEA446-6AAB-4DAC-879B-3A7739E68C9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</text>
    </comment>
    <comment ref="AF6" authorId="9" shapeId="0" xr:uid="{A39BA4E7-BEF2-403F-84C2-3E67FBAD74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</text>
    </comment>
    <comment ref="AU6" authorId="10" shapeId="0" xr:uid="{90BAFA99-47B4-4AC0-B454-0B40C3E5F9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ca. 500 € / 50 MW zusätzliche jährliche Betriebskosten</t>
      </text>
    </comment>
    <comment ref="AF7" authorId="11" shapeId="0" xr:uid="{A3EFB10A-875A-48C9-90E2-824AED4C06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unendlich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tc={7ACF5849-BCB1-4D29-B9E6-E7E0BFCAF724}</author>
    <author>tc={88876C22-C72B-4004-A83E-40ECAD6E27A5}</author>
    <author>tc={0D0BFACA-C37B-429E-8DA7-1E041832F3C6}</author>
    <author>tc={A3AE5853-AA53-4CD5-A159-9145FD4D83DF}</author>
    <author>tc={D88B0131-5B2F-4C92-B5D0-4D2D3B9258F1}</author>
    <author>tc={074B351B-7EDA-4499-8680-1DAD430B188F}</author>
    <author>tc={2B3F3A06-A010-41B8-8504-607E90FD50CF}</author>
    <author>tc={B9C2205B-C7A4-4E1C-95E4-DB075EEFDF82}</author>
    <author>tc={1C64CC1B-80B8-4F4A-98A5-B88000851C23}</author>
    <author>tc={F95D806E-4058-4B54-A202-3A84D5E9146F}</author>
    <author>tc={2767AA7F-BC5C-4D14-A9E0-0C5C63A57BB8}</author>
    <author>tc={B0E66513-5A33-4C3E-8421-906E850B5EE2}</author>
    <author>tc={C76036C4-AC7A-4802-85F7-C393F5084BC6}</author>
    <author>tc={6FF35000-AADD-4767-8A24-544D08DEE41F}</author>
    <author>tc={A18B683F-7DFB-4ADB-AC46-2250B945731D}</author>
    <author>tc={F5BEA0D3-C462-4981-AD99-D691B4603720}</author>
    <author>tc={4FEE3112-6821-415D-955A-4DA09D372C96}</author>
    <author>tc={076190CB-06BD-4ABE-B89E-401931F6E8B5}</author>
    <author>tc={A98B7A15-9DCD-4B90-9020-5A2E47C41C39}</author>
    <author>tc={1BF91F4A-22C1-41E4-88D4-7CFEE64FB196}</author>
    <author>tc={7B06DB33-1705-4E01-B19E-15668E7FF4D5}</author>
    <author>tc={06B79AA8-4AF3-4D94-ADF6-79987787C9CA}</author>
    <author>tc={13CE8E71-75C0-4CC0-94BD-1C85926EEE1A}</author>
    <author>tc={4ABC16C1-8D91-43F3-B8EC-A8995F82F5BE}</author>
    <author>tc={79B7B427-0D49-49C6-9750-F7F5BD8526DD}</author>
    <author>tc={9DCB1874-13E4-4402-A615-A5F7EB2F8918}</author>
    <author>tc={F20F9148-E0D4-4101-B16A-6DB4147CAF3E}</author>
    <author>tc={4A1779F1-52BB-4838-9067-524E62009757}</author>
    <author>tc={9DA53673-71BE-457E-8D6C-72F535BFABEA}</author>
    <author>tc={9574B918-47AB-40B7-A84D-B43B94925CAB}</author>
    <author>tc={1104399C-1F14-466E-952E-456D516B9715}</author>
    <author>tc={39CC0BFB-A574-4405-AF5B-AB5EF1B80A93}</author>
    <author>tc={B5F36E8E-D325-41B9-AD9F-EB47AEA717DE}</author>
    <author>tc={F5B9767E-8275-43F4-B850-223AF2A7F436}</author>
    <author>tc={C452B2D1-6AF6-4F63-9164-456F565E36FA}</author>
    <author>tc={39E60AA3-24EA-4C06-8679-D9AE0CB964B6}</author>
    <author>tc={63046668-B45F-4E72-850F-2A81236815E7}</author>
    <author>tc={C8EF85D4-A230-4C5E-A1A8-B30134F1B7B3}</author>
  </authors>
  <commentList>
    <comment ref="A1" authorId="0" shapeId="0" xr:uid="{00000000-0006-0000-0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Falls keine sonstige Angabe erfolgt, wird Potenzial als maximales Potenzial interpretiert.</t>
      </text>
    </comment>
    <comment ref="C1" authorId="1" shapeId="0" xr:uid="{00000000-0006-0000-00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Sofern keine expliziten Angaben im Text gemacht werden, werden die Werte von 2005 für 2020 fortgeschrieben.</t>
      </text>
    </comment>
    <comment ref="E1" authorId="2" shapeId="0" xr:uid="{00000000-0006-0000-00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Annahme: Industrieanwendungen nur für Lastverzicht geeignet</t>
      </text>
    </comment>
    <comment ref="J1" authorId="3" shapeId="0" xr:uid="{A3AE5853-AA53-4CD5-A159-9145FD4D83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uneinheitliche Einstufung:
- S. 69: Max. Leistungsshift vs. Angabe von Spannbreiten bzw. allgemein Bezeichnung als Potenzial</t>
      </text>
    </comment>
    <comment ref="N1" authorId="4" shapeId="0" xr:uid="{00000000-0006-0000-00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(!)</t>
      </text>
    </comment>
    <comment ref="Q1" authorId="5" shapeId="0" xr:uid="{00000000-0006-0000-00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Klobasa (2009, S. 27) als Lastmanagementfaktor eingefügt: Anteil der verlagerbaren Leistung am gesamten Leistungsbedarf einer bestimmten Anwendung</t>
      </text>
    </comment>
    <comment ref="Q2" authorId="6" shapeId="0" xr:uid="{00000000-0006-0000-00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67 % laut Tab. 4-7 (S. 69)</t>
      </text>
    </comment>
    <comment ref="O16" authorId="7" shapeId="0" xr:uid="{00000000-0006-0000-00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</text>
    </comment>
    <comment ref="O17" authorId="8" shapeId="0" xr:uid="{00000000-0006-0000-00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 Auslastung zulässig</t>
      </text>
    </comment>
    <comment ref="I22" authorId="9" shapeId="0" xr:uid="{00000000-0006-0000-00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</text>
    </comment>
    <comment ref="J22" authorId="10" shapeId="0" xr:uid="{2767AA7F-BC5C-4D14-A9E0-0C5C63A57BB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</text>
    </comment>
    <comment ref="N22" authorId="11" shapeId="0" xr:uid="{B0E66513-5A33-4C3E-8421-906E850B5E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Tab. 4-7 (S. 69): 180 MW</t>
      </text>
    </comment>
    <comment ref="Q22" authorId="12" shapeId="0" xr:uid="{00000000-0006-0000-00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Zeitabhängig!</t>
      </text>
    </comment>
    <comment ref="U22" authorId="13" shapeId="0" xr:uid="{00000000-0006-0000-00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</text>
    </comment>
    <comment ref="J24" authorId="14" shapeId="0" xr:uid="{A18B683F-7DFB-4ADB-AC46-2250B945731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</text>
    </comment>
    <comment ref="N24" authorId="15" shapeId="0" xr:uid="{F5BEA0D3-C462-4981-AD99-D691B460372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Obergrenze; Tab. 4-7 (S. 69): 270 MW</t>
      </text>
    </comment>
    <comment ref="W28" authorId="16" shapeId="0" xr:uid="{00000000-0006-0000-00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0,5 bis 2 h nach Stadler (2005)</t>
      </text>
    </comment>
    <comment ref="J29" authorId="17" shapeId="0" xr:uid="{076190CB-06BD-4ABE-B89E-401931F6E8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Anstieg des Potenzial um ca. 1/3 (S. 73)</t>
      </text>
    </comment>
    <comment ref="W30" authorId="18" shapeId="0" xr:uid="{00000000-0006-0000-0000-00001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Verlagerungsdauern bis 3 Stunden in Versuchen in DK festgestellt (S. 74)</t>
      </text>
    </comment>
    <comment ref="O32" authorId="19" shapeId="0" xr:uid="{00000000-0006-0000-00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im Text zu finden.</t>
      </text>
    </comment>
    <comment ref="Q34" authorId="20" shapeId="0" xr:uid="{00000000-0006-0000-00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Annahme.</t>
      </text>
    </comment>
    <comment ref="S35" authorId="21" shapeId="0" xr:uid="{00000000-0006-0000-00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</text>
    </comment>
    <comment ref="U35" authorId="22" shapeId="0" xr:uid="{00000000-0006-0000-00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 (S. 77).</t>
      </text>
    </comment>
    <comment ref="S37" authorId="23" shapeId="0" xr:uid="{00000000-0006-0000-00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U37" authorId="24" shapeId="0" xr:uid="{00000000-0006-0000-00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S39" authorId="25" shapeId="0" xr:uid="{00000000-0006-0000-00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U39" authorId="26" shapeId="0" xr:uid="{00000000-0006-0000-00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S41" authorId="27" shapeId="0" xr:uid="{00000000-0006-0000-0000-00001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U41" authorId="28" shapeId="0" xr:uid="{00000000-0006-0000-0000-00001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 mit Prognosewerten für 2030.</t>
      </text>
    </comment>
    <comment ref="R44" authorId="29" shapeId="0" xr:uid="{00000000-0006-0000-00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</text>
    </comment>
    <comment ref="R45" authorId="30" shapeId="0" xr:uid="{00000000-0006-0000-00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S. 78</t>
      </text>
    </comment>
    <comment ref="U46" authorId="31" shapeId="0" xr:uid="{00000000-0006-0000-00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</text>
    </comment>
    <comment ref="U47" authorId="32" shapeId="0" xr:uid="{00000000-0006-0000-0000-00001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Leistung im GHD-Sektor 3 GW (S. 78)</t>
      </text>
    </comment>
    <comment ref="A50" authorId="33" shapeId="0" xr:uid="{00000000-0006-0000-0000-00001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Hochrechnung für Haushalte</t>
      </text>
    </comment>
    <comment ref="R50" authorId="34" shapeId="0" xr:uid="{00000000-0006-0000-00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Jahresdurchschnitt nicht repräsentativ für Anwendungsprofil (!)</t>
      </text>
    </comment>
    <comment ref="BB50" authorId="35" shapeId="0" xr:uid="{00000000-0006-0000-0000-00002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Smart Meter</t>
      </text>
    </comment>
    <comment ref="X62" authorId="36" shapeId="0" xr:uid="{00000000-0006-0000-00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kleinen 8</t>
      </text>
    </comment>
    <comment ref="R64" authorId="37" shapeId="0" xr:uid="{00000000-0006-0000-0000-00002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670 VBH, da nur Betrieb im Winter und in Übergangszeit (S. 83)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tc={C52B5857-94D2-4C82-B0B9-27486F847D3B}</author>
    <author>tc={E0555771-94D2-4407-BFF0-342D40A653FD}</author>
    <author>tc={E4554F3F-3938-470B-B424-052345AF12A8}</author>
    <author>tc={2B988940-E527-4ED8-A440-8E6CB3CF6545}</author>
    <author>tc={4E592AC3-F5CE-4C59-8237-F53EA67A8D3B}</author>
    <author>tc={2B6E6050-95BE-4A18-B442-33B10F2515B4}</author>
    <author>tc={42713FBB-474D-49E1-8290-CF8100CF13C7}</author>
    <author>tc={F148D38B-973E-40A6-B900-794F1BC6915A}</author>
    <author>tc={0C67615F-F0F8-41A8-BB89-D09B7B709A01}</author>
    <author>tc={7946B472-9AEB-4CB6-84A8-916FC12C1C14}</author>
    <author>tc={97C5246D-2118-4E75-8A24-DAB5ADDBD5D0}</author>
  </authors>
  <commentList>
    <comment ref="E1" authorId="0" shapeId="0" xr:uid="{C52B5857-94D2-4C82-B0B9-27486F847D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Ausweisung uneinheitlich; bei Klobasa et al. (2013) steht Abschaltleistung, die im Rahmen der AbLaV angeboten weren kann im Fokus. Buber et al. (2013) schreiben dagegen, dass möglichst keine Wertschöpfungseinbußen resultieren sollten.</t>
      </text>
    </comment>
    <comment ref="AP2" authorId="1" shapeId="0" xr:uid="{E0555771-94D2-4407-BFF0-342D40A653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208 Abrufe p.a.</t>
      </text>
    </comment>
    <comment ref="AQ2" authorId="2" shapeId="0" xr:uid="{E4554F3F-3938-470B-B424-052345AF12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Abrufe p.a.</t>
      </text>
    </comment>
    <comment ref="AL3" authorId="3" shapeId="0" xr:uid="{00000000-0006-0000-07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20-50 mal pro Jahr</t>
      </text>
    </comment>
    <comment ref="AB7" authorId="4" shapeId="0" xr:uid="{00000000-0006-0000-07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Klo13, S. 45: tagsüber tlw. nur 20 min, da Auskühlen der Anlage droht</t>
      </text>
    </comment>
    <comment ref="AA9" authorId="5" shapeId="0" xr:uid="{00000000-0006-0000-07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</text>
    </comment>
    <comment ref="AA10" authorId="6" shapeId="0" xr:uid="{00000000-0006-0000-07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Stunden (Klo13, S. 60)</t>
      </text>
    </comment>
    <comment ref="Z11" authorId="7" shapeId="0" xr:uid="{00000000-0006-0000-07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5-6 (je nach Außentemperatur)</t>
      </text>
    </comment>
    <comment ref="AA11" authorId="8" shapeId="0" xr:uid="{00000000-0006-0000-07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10-12 (je nach Außentemperatur)</t>
      </text>
    </comment>
    <comment ref="AI12" authorId="9" shapeId="0" xr:uid="{00000000-0006-0000-07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vorgegebene Sperrzeit</t>
      </text>
    </comment>
    <comment ref="A13" authorId="10" shapeId="0" xr:uid="{97C5246D-2118-4E75-8A24-DAB5ADDBD5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Summe aus Wärmepumpen und Nachtspeicherheizungen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tc={6E808FB1-BD31-4697-85F2-64BC0389815C}</author>
    <author>tc={DFD032E4-F998-4256-8540-314B152AC06E}</author>
    <author>tc={8E289125-420C-4016-B340-4C999E9B4963}</author>
    <author>tc={A3B9ED76-0DB1-42D8-B4CA-E238BEBC3F30}</author>
    <author>tc={E5042309-4EBD-448A-99C1-3E0F7CE59322}</author>
    <author>tc={FD5F3595-802A-44B7-AC8E-66FDC24ECFE1}</author>
    <author>tc={6A1F42CD-9EF8-40DA-B3A4-45BAF7CB0327}</author>
    <author>tc={DD8E90E2-270C-4E86-8E75-3AA6B758472B}</author>
    <author>tc={94448B8F-E82C-4946-AF9E-66D7528E2E7C}</author>
  </authors>
  <commentList>
    <comment ref="P1" authorId="0" shapeId="0" xr:uid="{00000000-0006-0000-1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2" authorId="1" shapeId="0" xr:uid="{6E808FB1-BD31-4697-85F2-64BC0389815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</text>
    </comment>
    <comment ref="AO2" authorId="2" shapeId="0" xr:uid="{DFD032E4-F998-4256-8540-314B152AC0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</text>
    </comment>
    <comment ref="C3" authorId="3" shapeId="0" xr:uid="{8E289125-420C-4016-B340-4C999E9B49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Deklaration als "zukünftig nutzbares Potenzial" -&gt; zeitlicher Bezug unklar, aber wegen herangezogener Quellen wohl eher in der kurzen bis mittleren Frist</t>
      </text>
    </comment>
    <comment ref="AE3" authorId="4" shapeId="0" xr:uid="{A3B9ED76-0DB1-42D8-B4CA-E238BEBC3F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</t>
      </text>
    </comment>
    <comment ref="AO3" authorId="5" shapeId="0" xr:uid="{E5042309-4EBD-448A-99C1-3E0F7CE593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hundert (VOLL)</t>
      </text>
    </comment>
    <comment ref="I5" authorId="6" shapeId="0" xr:uid="{FD5F3595-802A-44B7-AC8E-66FDC24ECF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dena (2010): Krzikalla et al. (2013, S. 32) vermuten massive Überschätzung</t>
      </text>
    </comment>
    <comment ref="Z6" authorId="7" shapeId="0" xr:uid="{00000000-0006-0000-18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E6" authorId="8" shapeId="0" xr:uid="{DD8E90E2-270C-4E86-8E75-3AA6B75847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Angabe: "mehrere" Stunden</t>
      </text>
    </comment>
    <comment ref="AI6" authorId="9" shapeId="0" xr:uid="{00000000-0006-0000-18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max. 3 Abrufungen pro Tag (Celina)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tc={40132A5A-DED2-4319-8B2E-E7EA3D823173}</author>
    <author>tc={34FBD2BC-05DC-4D60-9E56-84F16ECC9947}</author>
    <author>tc={0535A5A5-8FB5-4245-9802-9BA214E263CC}</author>
    <author>tc={20797AE0-FDD9-413F-BBE6-FF2964343907}</author>
    <author>tc={5670BF3C-A1A2-4CAA-A2CE-D3663FBEE297}</author>
    <author>tc={B41F072E-271C-4143-A336-EA916252D2C7}</author>
    <author>tc={A88D4CC7-0265-4DF6-A9D5-56F88B209A65}</author>
    <author>tc={936D7620-D151-41A2-B722-C76165853D05}</author>
    <author>tc={B98FE828-DC1A-408F-B562-43A7BA75AF48}</author>
    <author>jkochems</author>
    <author>tc={9FFCF79A-B160-43D3-85A0-8B65E3D598DE}</author>
    <author>tc={CDC5432E-5CEE-4F65-A049-D3CB861DE164}</author>
    <author>tc={08D0FDE5-7D23-45BB-A7F8-290A9D0772DD}</author>
    <author>tc={2FCC91E6-E798-40B9-8533-58AD9E715427}</author>
    <author>tc={5D04B573-5CD0-41AE-928E-35C3B8167CEE}</author>
    <author>tc={2F944CA3-AE36-4755-8F09-10643B9244D5}</author>
    <author>tc={9A3A6324-8791-4E84-8433-7CFA81788709}</author>
    <author>tc={A8A4819F-B1D7-4FB7-AFF5-812296655B02}</author>
    <author>tc={8294BB77-B58E-446F-B38A-EB634F5E341D}</author>
    <author>tc={8814E792-F602-47EA-B07E-DF22CA2745AF}</author>
    <author>tc={EA32A9C9-25A2-4D21-A596-4DADF2C63448}</author>
    <author>tc={002C673A-E7CE-4669-9828-EF224478AA0A}</author>
    <author>tc={E43DB286-E8AC-4C60-978C-EDCE9FF0B7AF}</author>
    <author>tc={68B7967D-4350-4785-980B-34CC633D1EB6}</author>
    <author>tc={FAB61CD1-93CD-4A4B-9CC5-CC634DE22978}</author>
    <author>tc={3955FFBA-885D-4B97-A22E-39EC0806BABF}</author>
    <author>tc={C2208035-CA19-4F09-8EC7-B0C2C45E8AA4}</author>
    <author>tc={B943206F-AF6D-40ED-8C3E-3781DE2A6CC4}</author>
    <author>tc={A2559ECD-B019-4AA2-8A6B-FDE535A28A0D}</author>
    <author>tc={4B34E1BE-0172-44D7-8EE1-E3EC462FE0D3}</author>
    <author>tc={A6449AFE-8CA4-4D78-BB0E-EA96F0B6E13F}</author>
    <author>tc={89785C96-89F4-4CD2-ACA3-1E5FBD91D9BA}</author>
    <author>tc={E81FB360-0B81-4A7C-8076-B64BA89C8BD2}</author>
    <author>tc={2E590A01-E7BF-4047-AE8E-C40EB516F3A8}</author>
    <author>tc={5E54AC2C-CC79-42C5-BE07-F480ABF42B5A}</author>
    <author>tc={E68B8C0E-5063-499C-9C2E-A5C782C50157}</author>
    <author>tc={509C2434-7F1C-472D-BEF3-D529AECA42FD}</author>
    <author>tc={28DB589E-1414-4D45-8A13-FDDFDE80464F}</author>
  </authors>
  <commentList>
    <comment ref="A1" authorId="0" shapeId="0" xr:uid="{40132A5A-DED2-4319-8B2E-E7EA3D8231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</text>
    </comment>
    <comment ref="G1" authorId="1" shapeId="0" xr:uid="{34FBD2BC-05DC-4D60-9E56-84F16ECC99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</text>
    </comment>
    <comment ref="H1" authorId="2" shapeId="0" xr:uid="{0535A5A5-8FB5-4245-9802-9BA214E263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</text>
    </comment>
    <comment ref="I1" authorId="3" shapeId="0" xr:uid="{20797AE0-FDD9-413F-BBE6-FF296434390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</text>
    </comment>
    <comment ref="T1" authorId="4" shapeId="0" xr:uid="{5670BF3C-A1A2-4CAA-A2CE-D3663FBEE2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</text>
    </comment>
    <comment ref="V1" authorId="5" shapeId="0" xr:uid="{B41F072E-271C-4143-A336-EA916252D2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</text>
    </comment>
    <comment ref="W1" authorId="6" shapeId="0" xr:uid="{A88D4CC7-0265-4DF6-A9D5-56F88B209A6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X1" authorId="7" shapeId="0" xr:uid="{936D7620-D151-41A2-B722-C76165853D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Y1" authorId="8" shapeId="0" xr:uid="{B98FE828-DC1A-408F-B562-43A7BA75AF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AF1" authorId="9" shapeId="0" xr:uid="{7D287E7D-8212-4FE7-B5FB-84B5687A4409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U9" authorId="10" shapeId="0" xr:uid="{9FFCF79A-B160-43D3-85A0-8B65E3D598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BEIDE Verfahren</t>
      </text>
    </comment>
    <comment ref="T10" authorId="11" shapeId="0" xr:uid="{CDC5432E-5CEE-4F65-A049-D3CB861DE1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</text>
    </comment>
    <comment ref="V10" authorId="12" shapeId="0" xr:uid="{08D0FDE5-7D23-45BB-A7F8-290A9D0772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</text>
    </comment>
    <comment ref="T11" authorId="13" shapeId="0" xr:uid="{2FCC91E6-E798-40B9-8533-58AD9E7154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</text>
    </comment>
    <comment ref="U11" authorId="14" shapeId="0" xr:uid="{5D04B573-5CD0-41AE-928E-35C3B8167CE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</text>
    </comment>
    <comment ref="V11" authorId="15" shapeId="0" xr:uid="{2F944CA3-AE36-4755-8F09-10643B9244D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abgelesener Wert</t>
      </text>
    </comment>
    <comment ref="A18" authorId="16" shapeId="0" xr:uid="{9A3A6324-8791-4E84-8433-7CFA817887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</text>
    </comment>
    <comment ref="AZ18" authorId="17" shapeId="0" xr:uid="{A8A4819F-B1D7-4FB7-AFF5-812296655B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19" authorId="18" shapeId="0" xr:uid="{8294BB77-B58E-446F-B38A-EB634F5E341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</text>
    </comment>
    <comment ref="A20" authorId="19" shapeId="0" xr:uid="{8814E792-F602-47EA-B07E-DF22CA2745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Kältespeicher</t>
      </text>
    </comment>
    <comment ref="AZ21" authorId="20" shapeId="0" xr:uid="{EA32A9C9-25A2-4D21-A596-4DADF2C634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2" authorId="21" shapeId="0" xr:uid="{002C673A-E7CE-4669-9828-EF224478AA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3" authorId="22" shapeId="0" xr:uid="{E43DB286-E8AC-4C60-978C-EDCE9FF0B7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4" authorId="23" shapeId="0" xr:uid="{68B7967D-4350-4785-980B-34CC633D1E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5" authorId="24" shapeId="0" xr:uid="{FAB61CD1-93CD-4A4B-9CC5-CC634DE229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6" authorId="25" shapeId="0" xr:uid="{3955FFBA-885D-4B97-A22E-39EC0806BA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27" authorId="26" shapeId="0" xr:uid="{C2208035-CA19-4F09-8EC7-B0C2C45E8A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28" authorId="27" shapeId="0" xr:uid="{B943206F-AF6D-40ED-8C3E-3781DE2A6C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29" authorId="28" shapeId="0" xr:uid="{A2559ECD-B019-4AA2-8A6B-FDE535A28A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30" authorId="29" shapeId="0" xr:uid="{4B34E1BE-0172-44D7-8EE1-E3EC462FE0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31" authorId="30" shapeId="0" xr:uid="{A6449AFE-8CA4-4D78-BB0E-EA96F0B6E1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32" authorId="31" shapeId="0" xr:uid="{89785C96-89F4-4CD2-ACA3-1E5FBD91D9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&lt;8 pro Tag</t>
      </text>
    </comment>
    <comment ref="AZ33" authorId="32" shapeId="0" xr:uid="{E81FB360-0B81-4A7C-8076-B64BA89C8B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34" authorId="33" shapeId="0" xr:uid="{2E590A01-E7BF-4047-AE8E-C40EB516F3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35" authorId="34" shapeId="0" xr:uid="{5E54AC2C-CC79-42C5-BE07-F480ABF42B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36" authorId="35" shapeId="0" xr:uid="{E68B8C0E-5063-499C-9C2E-A5C782C501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&lt;12 pro Tag</t>
      </text>
    </comment>
    <comment ref="AZ39" authorId="36" shapeId="0" xr:uid="{509C2434-7F1C-472D-BEF3-D529AECA42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</text>
    </comment>
    <comment ref="AZ40" authorId="37" shapeId="0" xr:uid="{28DB589E-1414-4D45-8A13-FDDFDE8046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unbegrenzt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tc={EDF45256-C95B-4604-BC04-7E26BE64F9E1}</author>
    <author>tc={3BEFDC6A-4DC4-46E7-B066-D8298BDE0FB1}</author>
    <author>tc={ABA2591F-B820-436C-9A3A-A5332F0786D0}</author>
    <author>tc={703AD3D1-E30E-48F1-9DC4-B48BD3A6BD40}</author>
    <author>tc={B3F52114-DD22-42ED-A49C-9CCFD55C1BDC}</author>
    <author>tc={30962F40-40C3-4F2C-ABAB-48E87F63E1C3}</author>
    <author>tc={FDDB87EE-EFAB-4817-94A3-94AC8AA29087}</author>
    <author>tc={D6012168-2E81-4545-9820-7FFA59E7202D}</author>
    <author>tc={49B75B7C-D38C-4212-94E9-C57D8606C6BD}</author>
    <author>tc={2D2B2FF5-911A-40C0-BDD5-7CF2B7EAC266}</author>
    <author>tc={0D2C46B9-62F1-47DB-93FE-0C9F7481C5CF}</author>
    <author>tc={285ADAA8-6F52-495C-A122-66720250C243}</author>
    <author>tc={C8F19E2B-46C5-4927-813B-18767F568C3B}</author>
    <author>tc={914E371E-85A0-4467-8FD6-9FE9C6FE80AB}</author>
  </authors>
  <commentList>
    <comment ref="Y1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Betriebsstunden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technisches Potenzial steht für den Lastverzicht zur Verfügung; soziotechnisches für Lasterhöhungen und -reduktionen</t>
        </r>
      </text>
    </comment>
    <comment ref="G2" authorId="1" shapeId="0" xr:uid="{00000000-0006-0000-0D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PRL</t>
      </text>
    </comment>
    <comment ref="H2" authorId="2" shapeId="0" xr:uid="{00000000-0006-0000-0D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</text>
    </comment>
    <comment ref="Y2" authorId="0" shapeId="0" xr:uid="{00000000-0006-0000-0D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mehr als 8.500 Betriebsstunden (S. 93)</t>
        </r>
      </text>
    </comment>
    <comment ref="AF2" authorId="3" shapeId="0" xr:uid="{00000000-0006-0000-0D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Großteil der Aktivierungen &lt;= 30 s</t>
      </text>
    </comment>
    <comment ref="AI2" authorId="4" shapeId="0" xr:uid="{00000000-0006-0000-0D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Vollabschaltung mit Dauer von 1 Stunde möglich.</t>
      </text>
    </comment>
    <comment ref="AS2" authorId="5" shapeId="0" xr:uid="{00000000-0006-0000-0D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Lasterhöhung häufiger -&gt; Luftzerlegung</t>
      </text>
    </comment>
    <comment ref="AX2" authorId="6" shapeId="0" xr:uid="{00000000-0006-0000-0D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nachholende Produktion</t>
      </text>
    </comment>
    <comment ref="K3" authorId="7" shapeId="0" xr:uid="{00000000-0006-0000-0D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470 MW akzeptiert</t>
      </text>
    </comment>
    <comment ref="T3" authorId="0" shapeId="0" xr:uid="{00000000-0006-0000-0D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von 25 bis 50 % (S. 114)</t>
        </r>
      </text>
    </comment>
    <comment ref="AI3" authorId="0" shapeId="0" xr:uid="{00000000-0006-0000-0D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Breite Spanne für Schaltdauer; kein eindeutiger Zusammenhang mit Aktivierungsdauer feststellbar</t>
        </r>
      </text>
    </comment>
    <comment ref="AS3" authorId="0" shapeId="0" xr:uid="{00000000-0006-0000-0D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51-97 x pro Jahr (S. 117)</t>
        </r>
      </text>
    </comment>
    <comment ref="AW3" authorId="0" shapeId="0" xr:uid="{00000000-0006-0000-0D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nachholender Produktion</t>
        </r>
      </text>
    </comment>
    <comment ref="AX3" authorId="0" shapeId="0" xr:uid="{00000000-0006-0000-0D00-00000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</t>
        </r>
      </text>
    </comment>
    <comment ref="G4" authorId="0" shapeId="0" xr:uid="{00000000-0006-0000-0D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H4" authorId="0" shapeId="0" xr:uid="{00000000-0006-0000-0D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DA/ID</t>
        </r>
      </text>
    </comment>
    <comment ref="K4" authorId="8" shapeId="0" xr:uid="{00000000-0006-0000-0D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1.100 MW akzeptiert</t>
      </text>
    </comment>
    <comment ref="T4" authorId="0" shapeId="0" xr:uid="{00000000-0006-0000-0D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105: In einigen Fällen Reduktion auf 70-90 % der ansonsten voll ausgelasteten Papiermaschine als möglich angesehen.</t>
        </r>
      </text>
    </comment>
    <comment ref="AF4" authorId="0" shapeId="0" xr:uid="{00000000-0006-0000-0D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 mit Vorlaufzeit von mehreren Stunden (S. 104); ca. 50% mit Aktivierungszeit von bis zu 30 min abschaltbar; Rest bis etwa 1 Stunde</t>
        </r>
      </text>
    </comment>
    <comment ref="AS4" authorId="0" shapeId="0" xr:uid="{00000000-0006-0000-0D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bei Aktivierungszeit bis 1 Stunde (S. 107)</t>
        </r>
      </text>
    </comment>
    <comment ref="AW4" authorId="0" shapeId="0" xr:uid="{00000000-0006-0000-0D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Lastverschiebung</t>
        </r>
      </text>
    </comment>
    <comment ref="AX4" authorId="0" shapeId="0" xr:uid="{00000000-0006-0000-0D00-00001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Lastverzicht</t>
        </r>
      </text>
    </comment>
    <comment ref="K5" authorId="0" shapeId="0" xr:uid="{00000000-0006-0000-0D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basierend auf Vollabschaltung, die nur von einzelnen Unternehmen in Befragung als sinnvoll / technisch machbar eingestuft wurde</t>
        </r>
      </text>
    </comment>
    <comment ref="AI5" authorId="0" shapeId="0" xr:uid="{00000000-0006-0000-0D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etwa Durchschnitt</t>
        </r>
      </text>
    </comment>
    <comment ref="AS5" authorId="0" shapeId="0" xr:uid="{00000000-0006-0000-0D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zu 2.100 Kurzzeitunterbrechungen p.a. mit variablen Kosten nahe 0 (S. 127, 129)</t>
        </r>
      </text>
    </comment>
    <comment ref="G6" authorId="9" shapeId="0" xr:uid="{00000000-0006-0000-0D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SRL</t>
      </text>
    </comment>
    <comment ref="H6" authorId="10" shapeId="0" xr:uid="{00000000-0006-0000-0D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MRL II</t>
      </text>
    </comment>
    <comment ref="K6" authorId="11" shapeId="0" xr:uid="{00000000-0006-0000-0D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HT-Zeit nur 22 MW</t>
      </text>
    </comment>
    <comment ref="O6" authorId="12" shapeId="0" xr:uid="{00000000-0006-0000-0D00-00001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ID/DA</t>
      </text>
    </comment>
    <comment ref="AS6" authorId="13" shapeId="0" xr:uid="{00000000-0006-0000-0D00-00001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Lasterhöhungen etwas höher</t>
      </text>
    </comment>
    <comment ref="A7" authorId="14" shapeId="0" xr:uid="{00000000-0006-0000-0D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 Flexinilitätspotenzial bei Raffinerien wegen sicherheitstechnischer Aspekte; Flexibilitätspotenzial bei Braunkohletagebau durch Industriekraftwerke bzw. aus Datenschutzgründen nicht dargelegt.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tc={48424C6E-DB7D-4E80-A6CE-54632708D2E4}</author>
    <author>tc={AD464845-2D6B-4D71-8364-17095566BF61}</author>
    <author>tc={B80B1BD7-A1C3-481D-8880-6BBA22317276}</author>
  </authors>
  <commentList>
    <comment ref="Q1" authorId="0" shapeId="0" xr:uid="{00000000-0006-0000-1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" authorId="1" shapeId="0" xr:uid="{48424C6E-DB7D-4E80-A6CE-54632708D2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 °C Außentemperatur</t>
      </text>
    </comment>
    <comment ref="J4" authorId="2" shapeId="0" xr:uid="{AD464845-2D6B-4D71-8364-17095566BF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271 MW bei -10 °C Außentemperatur und nur BaWü</t>
      </text>
    </comment>
    <comment ref="A6" authorId="3" shapeId="0" xr:uid="{B80B1BD7-A1C3-481D-8880-6BBA223172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Heute kein nennenswertes Potenzial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tc={E4BFB744-B0A5-46CB-A573-80A1EDDEB6FE}</author>
    <author>tc={D3A3CB8E-634D-4353-BC22-B1C1EE166973}</author>
    <author>tc={DE79BE23-0387-495B-B52B-8557145C9526}</author>
    <author>tc={4DEFF1C5-9E82-46BA-9145-56ACC48E0E68}</author>
    <author>tc={56FCB2BE-04C3-4ED5-ACE2-FB1BA5737F47}</author>
    <author>tc={91DBE807-34F5-455F-9717-4F4965B1E165}</author>
    <author>tc={DB085A0F-790B-4ABF-B1AC-582644675691}</author>
    <author>tc={CD81D0F3-14CC-415D-A096-62C1B673367E}</author>
    <author>tc={B5FCF81A-A120-4D14-88B6-05B80DDD3C65}</author>
    <author>tc={55E0F084-1B19-4E04-94EC-6347E888579E}</author>
    <author>tc={32BA0AC7-3B43-4F09-A1B2-D4BA4859B6C6}</author>
    <author>tc={FC04E18C-2626-474F-A156-122F164C33A4}</author>
    <author>tc={65ED5D12-1403-420F-8E23-C0ADB299F455}</author>
    <author>tc={A0E4DF02-2C19-4550-8373-EE5EB7F86DA6}</author>
    <author>tc={ECA38B16-2E6A-44F9-B174-6E7A45B4E67B}</author>
    <author>tc={BE2984E6-2531-4D6C-A777-5BBD07A90D8D}</author>
    <author>tc={CE7146F0-90E3-4CF6-8E7E-E7F03F40C48B}</author>
    <author>tc={32DC9E10-538E-4626-BEEE-0A358024E089}</author>
    <author>tc={BDD71445-32CE-44AC-87CC-DE391F3A9437}</author>
    <author>tc={B4685EC8-33BA-41C6-B974-C7FDC81FD07E}</author>
    <author>tc={F43EFF6B-BE30-4C11-8B8A-43E99B6288D6}</author>
    <author>tc={F961DDDF-533B-4CA6-9E96-85E7901EE977}</author>
    <author>tc={A4C5058E-F20C-490A-A13E-57818F5B284C}</author>
    <author>tc={B5AC5E5C-D305-4489-9068-9917443E2B69}</author>
    <author>tc={8B139A3A-9121-4697-9E8B-7397F65F9ABE}</author>
    <author>tc={5F5EE21A-1FC9-4DD5-9F00-5B68CBA65CAE}</author>
    <author>tc={2CD599CA-FA32-497C-AAAD-D4B40833DAB8}</author>
    <author>tc={B01D08C9-05D2-499A-B05E-0CA61B79389A}</author>
    <author>tc={484A3725-636F-46AC-ADE5-2426E0CDFFF6}</author>
    <author>tc={618FA667-1122-4AA4-AFFD-62315F98704A}</author>
    <author>tc={3C360DE0-279E-472B-8B69-0D8A9FDA24AA}</author>
    <author>tc={B7D9A8BF-A9CD-43C6-89EA-3DCB04B08D4C}</author>
    <author>tc={32164C69-55B6-4C8D-AAA6-4375387896B4}</author>
    <author>tc={B58A8EDA-A9BF-438C-926D-9A46E25BE4F8}</author>
    <author>tc={4D0EDDAD-4B39-4913-9D1A-8FE152A4D5C1}</author>
    <author>tc={2D750CCD-9FE5-4E33-917A-62AA63ED38B2}</author>
    <author>tc={DB90334A-56BC-4CB4-BF6B-B6898EDEFDDB}</author>
    <author>tc={C1734ED0-047C-4A03-BCD8-FA1D049D3E83}</author>
    <author>tc={64F6BED4-7AF4-439F-A1B8-7701FC261B6C}</author>
    <author>tc={19BEAAC5-AEC5-4FED-99AB-02B9DE5C5CF1}</author>
    <author>tc={0D7506F8-7B7A-4D04-93FC-A52A96EEDD70}</author>
    <author>tc={0674D3E8-B547-44D6-A52E-7D52D5F112A5}</author>
    <author>tc={DE351524-D469-480B-890C-7E154D1926E4}</author>
    <author>tc={27DAC4CB-A050-4C5F-A3AE-61F3B2B4EA13}</author>
    <author>tc={817C6850-F5D3-41CB-B7FD-4DA88A8F301B}</author>
    <author>tc={EE9E44B8-461E-4C07-8E58-DA9C01EB4EAD}</author>
    <author>tc={E97C66FB-2C05-441D-9EFF-FD5B295CCB0D}</author>
    <author>tc={C4911BB4-C371-4F84-9692-9E649CA2036F}</author>
    <author>tc={31E81006-1FBF-4FD9-9924-50FDF93F6BF9}</author>
    <author>tc={9BAAB480-67BB-496C-8AB4-A066FC25C19C}</author>
    <author>tc={CC08F034-8F6E-4B4F-B20C-04518AE63AE7}</author>
    <author>tc={51B26C77-5485-4706-8CF1-907CC169C0EF}</author>
    <author>tc={DE8CB550-2141-4765-8E1A-A01D2139DAB5}</author>
  </authors>
  <commentList>
    <comment ref="J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Hier Werte aus S. 524 mit aktuellerer Datenbasis (2010); Fortschreibung, falls keine abweichende Angabe</t>
        </r>
      </text>
    </comment>
    <comment ref="H2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I2" authorId="2" shapeId="0" xr:uid="{00000000-0006-0000-02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</text>
    </comment>
    <comment ref="L2" authorId="3" shapeId="0" xr:uid="{00000000-0006-0000-02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M2" authorId="4" shapeId="0" xr:uid="{00000000-0006-0000-02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</text>
    </comment>
    <comment ref="AO2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Q2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530: keine fixen Betriebskosten bei Haushalten im optimistischen Szenario</t>
        </r>
      </text>
    </comment>
    <comment ref="H3" authorId="5" shapeId="0" xr:uid="{00000000-0006-0000-02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I3" authorId="6" shapeId="0" xr:uid="{00000000-0006-0000-02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Heizperiode; nicht spezifiziert, ob Maximum oder Durchschnitt</t>
      </text>
    </comment>
    <comment ref="L3" authorId="7" shapeId="0" xr:uid="{00000000-0006-0000-02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M3" authorId="8" shapeId="0" xr:uid="{00000000-0006-0000-02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während bestimmten Stunden der Heizperiode; nict spezifiziert, ob Maximum oder Durchschnitt</t>
      </text>
    </comment>
    <comment ref="AO3" authorId="0" shapeId="0" xr:uid="{00000000-0006-0000-02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4" authorId="9" shapeId="0" xr:uid="{00000000-0006-0000-02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AO4" authorId="0" shapeId="0" xr:uid="{00000000-0006-0000-02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5" authorId="10" shapeId="0" xr:uid="{00000000-0006-0000-02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AO5" authorId="0" shapeId="0" xr:uid="{00000000-0006-0000-02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H6" authorId="11" shapeId="0" xr:uid="{00000000-0006-0000-02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I6" authorId="12" shapeId="0" xr:uid="{00000000-0006-0000-02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</text>
    </comment>
    <comment ref="L6" authorId="13" shapeId="0" xr:uid="{00000000-0006-0000-02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</t>
      </text>
    </comment>
    <comment ref="M6" authorId="14" shapeId="0" xr:uid="{00000000-0006-0000-02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</text>
    </comment>
    <comment ref="H7" authorId="15" shapeId="0" xr:uid="{00000000-0006-0000-02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</text>
    </comment>
    <comment ref="I7" authorId="16" shapeId="0" xr:uid="{00000000-0006-0000-02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</t>
      </text>
    </comment>
    <comment ref="L7" authorId="17" shapeId="0" xr:uid="{00000000-0006-0000-02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aus Abbildung S. 413; eigene Hochrechnung</t>
      </text>
    </comment>
    <comment ref="M7" authorId="18" shapeId="0" xr:uid="{00000000-0006-0000-02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Sommer</t>
      </text>
    </comment>
    <comment ref="AO8" authorId="0" shapeId="0" xr:uid="{00000000-0006-0000-02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9" authorId="0" shapeId="0" xr:uid="{00000000-0006-0000-02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0" authorId="19" shapeId="0" xr:uid="{00000000-0006-0000-02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</text>
    </comment>
    <comment ref="AB10" authorId="20" shapeId="0" xr:uid="{00000000-0006-0000-02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</text>
    </comment>
    <comment ref="AO10" authorId="0" shapeId="0" xr:uid="{00000000-0006-0000-02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1" authorId="21" shapeId="0" xr:uid="{00000000-0006-0000-0200-00001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12 Stunden)</t>
      </text>
    </comment>
    <comment ref="AB11" authorId="22" shapeId="0" xr:uid="{00000000-0006-0000-0200-00001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</text>
    </comment>
    <comment ref="AO11" authorId="0" shapeId="0" xr:uid="{00000000-0006-0000-02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2" authorId="23" shapeId="0" xr:uid="{00000000-0006-0000-0200-00002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</text>
    </comment>
    <comment ref="AB12" authorId="24" shapeId="0" xr:uid="{00000000-0006-0000-02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</text>
    </comment>
    <comment ref="AO12" authorId="0" shapeId="0" xr:uid="{00000000-0006-0000-02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Y13" authorId="25" shapeId="0" xr:uid="{00000000-0006-0000-0200-00002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7 Stunden)</t>
      </text>
    </comment>
    <comment ref="AB13" authorId="26" shapeId="0" xr:uid="{00000000-0006-0000-0200-00002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Maximalleistung; bei geringerer deutlich länger (bis zu 3 Stunden)</t>
      </text>
    </comment>
    <comment ref="AO13" authorId="0" shapeId="0" xr:uid="{00000000-0006-0000-02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14" authorId="27" shapeId="0" xr:uid="{00000000-0006-0000-0200-00002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</text>
    </comment>
    <comment ref="AI14" authorId="28" shapeId="0" xr:uid="{00000000-0006-0000-0200-00002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</text>
    </comment>
    <comment ref="AO14" authorId="0" shapeId="0" xr:uid="{00000000-0006-0000-02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I15" authorId="29" shapeId="0" xr:uid="{00000000-0006-0000-0200-00002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11-14 Uhr</t>
      </text>
    </comment>
    <comment ref="AI15" authorId="30" shapeId="0" xr:uid="{00000000-0006-0000-0200-00002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Einmal pro Tag (Annahme)</t>
      </text>
    </comment>
    <comment ref="AO15" authorId="0" shapeId="0" xr:uid="{00000000-0006-0000-02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Q16" authorId="31" shapeId="0" xr:uid="{00000000-0006-0000-0200-00002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Bezug auf installierte Leistung (!)</t>
      </text>
    </comment>
    <comment ref="AL16" authorId="0" shapeId="0" xr:uid="{00000000-0006-0000-02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 (S. 532); Wert unplausibel!</t>
        </r>
      </text>
    </comment>
    <comment ref="AP16" authorId="32" shapeId="0" xr:uid="{00000000-0006-0000-0200-00002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Q16" authorId="33" shapeId="0" xr:uid="{00000000-0006-0000-0200-00003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</text>
    </comment>
    <comment ref="AL17" authorId="0" shapeId="0" xr:uid="{00000000-0006-0000-02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VOLL (S. 532); Wert unplausibel!</t>
        </r>
      </text>
    </comment>
    <comment ref="AP17" authorId="34" shapeId="0" xr:uid="{00000000-0006-0000-0200-00003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Q17" authorId="35" shapeId="0" xr:uid="{00000000-0006-0000-0200-00003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</text>
    </comment>
    <comment ref="J18" authorId="0" shapeId="0" xr:uid="{00000000-0006-0000-02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AL18" authorId="36" shapeId="0" xr:uid="{00000000-0006-0000-0200-00003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O18" authorId="37" shapeId="0" xr:uid="{00000000-0006-0000-0200-00003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</t>
      </text>
    </comment>
    <comment ref="AQ18" authorId="38" shapeId="0" xr:uid="{00000000-0006-0000-0200-00003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J19" authorId="0" shapeId="0" xr:uid="{00000000-0006-0000-02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aktuellerer Datensatz im Anhang</t>
        </r>
      </text>
    </comment>
    <comment ref="E20" authorId="39" shapeId="0" xr:uid="{00000000-0006-0000-0200-00003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</text>
    </comment>
    <comment ref="AL20" authorId="0" shapeId="0" xr:uid="{00000000-0006-0000-02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AQ20" authorId="40" shapeId="0" xr:uid="{00000000-0006-0000-0200-00003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E21" authorId="41" shapeId="0" xr:uid="{00000000-0006-0000-0200-00003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Vollauslastung (8.760 Stunden p.a.)</t>
      </text>
    </comment>
    <comment ref="AL21" authorId="0" shapeId="0" xr:uid="{00000000-0006-0000-0200-00003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Angaben auf S. 532</t>
        </r>
      </text>
    </comment>
    <comment ref="I22" authorId="42" shapeId="0" xr:uid="{00000000-0006-0000-0200-00003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</text>
    </comment>
    <comment ref="Q22" authorId="0" shapeId="0" xr:uid="{00000000-0006-0000-02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abweichende Angabe auf S. 525: 70 % (!)</t>
        </r>
      </text>
    </comment>
    <comment ref="Y22" authorId="43" shapeId="0" xr:uid="{00000000-0006-0000-0200-00004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</text>
    </comment>
    <comment ref="AL22" authorId="44" shapeId="0" xr:uid="{00000000-0006-0000-0200-00004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O22" authorId="45" shapeId="0" xr:uid="{00000000-0006-0000-0200-00004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größer 1000</t>
      </text>
    </comment>
    <comment ref="AQ22" authorId="46" shapeId="0" xr:uid="{00000000-0006-0000-0200-00004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I23" authorId="47" shapeId="0" xr:uid="{00000000-0006-0000-0200-00004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Prozess mit Maximalleistung betrieben wird.</t>
      </text>
    </comment>
    <comment ref="Y23" authorId="48" shapeId="0" xr:uid="{00000000-0006-0000-0200-00004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bis 30 Min. Prozess sonst neu zu beginnen. Prozessablauf: 45 min Schmelzen + 15 min zum Leeren und Befüllen</t>
      </text>
    </comment>
    <comment ref="AE24" authorId="0" shapeId="0" xr:uid="{00000000-0006-0000-0200-00004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O24" authorId="49" shapeId="0" xr:uid="{00000000-0006-0000-0200-00004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10</t>
      </text>
    </comment>
    <comment ref="AP24" authorId="50" shapeId="0" xr:uid="{00000000-0006-0000-0200-00004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Q24" authorId="51" shapeId="0" xr:uid="{00000000-0006-0000-0200-00004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</text>
    </comment>
    <comment ref="AE25" authorId="0" shapeId="0" xr:uid="{00000000-0006-0000-0200-00004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konfligierende Angabe auf S. 460: bis zu 24 h Verschiebung</t>
        </r>
      </text>
    </comment>
    <comment ref="AP25" authorId="52" shapeId="0" xr:uid="{00000000-0006-0000-0200-00004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kleiner 1</t>
      </text>
    </comment>
    <comment ref="AQ25" authorId="53" shapeId="0" xr:uid="{00000000-0006-0000-0200-00004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abweichende Angabe auf S. 531: vglsw. hohe fixe BK mit 90 €/kW*a</t>
      </text>
    </comment>
    <comment ref="E30" authorId="0" shapeId="0" xr:uid="{00000000-0006-0000-02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H30" authorId="0" shapeId="0" xr:uid="{00000000-0006-0000-02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davon 572 nur für Lastabwurf (chemische Industrie)</t>
        </r>
      </text>
    </comment>
    <comment ref="E31" authorId="0" shapeId="0" xr:uid="{00000000-0006-0000-0200-00004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572 MW</t>
        </r>
      </text>
    </comment>
    <comment ref="AO34" authorId="0" shapeId="0" xr:uid="{00000000-0006-0000-02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T34" authorId="0" shapeId="0" xr:uid="{00000000-0006-0000-0200-00005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implizit</t>
        </r>
      </text>
    </comment>
    <comment ref="AO36" authorId="0" shapeId="0" xr:uid="{00000000-0006-0000-02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38" authorId="0" shapeId="0" xr:uid="{00000000-0006-0000-0200-00005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0" authorId="0" shapeId="0" xr:uid="{00000000-0006-0000-02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2" authorId="0" shapeId="0" xr:uid="{00000000-0006-0000-0200-00005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  <comment ref="AO44" authorId="0" shapeId="0" xr:uid="{00000000-0006-0000-02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bzw. 1 €/MWh (S. 530)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D9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ausgewiesener Wert: 2.183 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tc={F40C1633-2421-4D4C-B0FA-8F7EE2001942}</author>
    <author>tc={D79BB86F-53AA-415F-80F9-DFBDD4FA127B}</author>
    <author>tc={91A73B24-706F-4124-9A59-25BC3745AAC6}</author>
    <author>tc={6473B44D-1E40-4428-BEA2-CA326B22E35B}</author>
    <author>tc={BADCA036-E654-41B7-A169-9098F9ED4828}</author>
    <author>tc={CBB13608-78A9-4B5D-B614-1FB253F8FBA3}</author>
    <author>tc={7C5D5C86-F9E6-4D20-8372-7E1FB6411CFA}</author>
    <author>jkochems</author>
    <author>tc={D9EB4A29-7754-4F3C-AE55-6F2E35114C3C}</author>
    <author>tc={7C4671D3-9925-4459-BC4A-968E88927B6C}</author>
    <author>tc={35FEF1BB-61D3-46FC-B72E-C4E42659E9A9}</author>
    <author>tc={608AD71B-F8D7-4814-9E44-B0E2DB448855}</author>
    <author>tc={FE453C0E-AEB4-4F88-BFEE-82E0B82A3D9E}</author>
    <author>tc={1E022595-E5F3-4506-9C9E-317C76D2492A}</author>
    <author>tc={EF54A784-7926-4127-9F01-11DE52FD9817}</author>
    <author>tc={45CF02F1-3804-4EC2-B012-DF1EFFF2E42C}</author>
    <author>tc={5DD02952-A5B3-49D6-84C6-8962663F5DE7}</author>
    <author>tc={2993BE54-9DF8-4708-98E2-A3ADD09B0793}</author>
    <author>tc={EEADB1E7-33F3-4D68-9465-EFA9AF15116C}</author>
    <author>tc={09FF5934-D251-47A0-B26D-0DE898F132F5}</author>
    <author>tc={5B35CADB-D991-4802-B990-67E559343D44}</author>
    <author>tc={C813DE76-EE7E-43C4-9A79-0E47508FD018}</author>
    <author>tc={3CE9C4DF-5E12-4590-A844-BC65F7EAA3B9}</author>
    <author>tc={54E0A2D2-4CDD-40D4-A6E5-2677B913756B}</author>
    <author>tc={716DD388-AB3D-466A-9FAB-1898494F0D4F}</author>
    <author>tc={46CD3C0F-6EAB-4CC2-AF51-FDA9C9BE5A85}</author>
    <author>tc={C44FD56D-9705-4407-80B0-943C520D0D6E}</author>
    <author>tc={2312E256-8F03-41AB-A548-6F286361FE00}</author>
    <author>tc={F533937C-E4FB-46E9-B0AD-1926E1DA6936}</author>
    <author>tc={BE76AE40-4E4E-4724-82D7-D9BBC8C764FC}</author>
    <author>tc={56D6DEC5-FCD6-43E1-9867-C2D55B1AD3CA}</author>
    <author>tc={1474DFB6-F764-412E-BDCB-3704097EF776}</author>
  </authors>
  <commentList>
    <comment ref="A1" authorId="0" shapeId="0" xr:uid="{F40C1633-2421-4D4C-B0FA-8F7EE20019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</text>
    </comment>
    <comment ref="H1" authorId="1" shapeId="0" xr:uid="{D79BB86F-53AA-415F-80F9-DFBDD4FA12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</text>
    </comment>
    <comment ref="K1" authorId="2" shapeId="0" xr:uid="{91A73B24-706F-4124-9A59-25BC3745AA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</text>
    </comment>
    <comment ref="M1" authorId="3" shapeId="0" xr:uid="{6473B44D-1E40-4428-BEA2-CA326B22E3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</text>
    </comment>
    <comment ref="N1" authorId="4" shapeId="0" xr:uid="{BADCA036-E654-41B7-A169-9098F9ED48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O1" authorId="5" shapeId="0" xr:uid="{CBB13608-78A9-4B5D-B614-1FB253F8FB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P1" authorId="6" shapeId="0" xr:uid="{7C5D5C86-F9E6-4D20-8372-7E1FB6411C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W1" authorId="7" shapeId="0" xr:uid="{6C173232-384A-4444-8113-D9399D5F2C2C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" authorId="8" shapeId="0" xr:uid="{D9EB4A29-7754-4F3C-AE55-6F2E35114C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3" authorId="9" shapeId="0" xr:uid="{7C4671D3-9925-4459-BC4A-968E88927B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4" authorId="10" shapeId="0" xr:uid="{35FEF1BB-61D3-46FC-B72E-C4E42659E9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5" authorId="11" shapeId="0" xr:uid="{608AD71B-F8D7-4814-9E44-B0E2DB4488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6" authorId="12" shapeId="0" xr:uid="{FE453C0E-AEB4-4F88-BFEE-82E0B82A3D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7" authorId="13" shapeId="0" xr:uid="{1E022595-E5F3-4506-9C9E-317C76D249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8" authorId="14" shapeId="0" xr:uid="{EF54A784-7926-4127-9F01-11DE52FD98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9" authorId="15" shapeId="0" xr:uid="{45CF02F1-3804-4EC2-B012-DF1EFFF2E4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0" authorId="16" shapeId="0" xr:uid="{5DD02952-A5B3-49D6-84C6-8962663F5D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1" authorId="17" shapeId="0" xr:uid="{2993BE54-9DF8-4708-98E2-A3ADD09B07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2" authorId="18" shapeId="0" xr:uid="{EEADB1E7-33F3-4D68-9465-EFA9AF1511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3" authorId="19" shapeId="0" xr:uid="{09FF5934-D251-47A0-B26D-0DE898F132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A14" authorId="20" shapeId="0" xr:uid="{5B35CADB-D991-4802-B990-67E559343D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 als mechanische Energie; Beschreibungstext (S. 764) legt allerdings dar, dass nur Belüftung einbezogen wurde.</t>
      </text>
    </comment>
    <comment ref="E14" authorId="21" shapeId="0" xr:uid="{C813DE76-EE7E-43C4-9A79-0E47508FD0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5" authorId="22" shapeId="0" xr:uid="{3CE9C4DF-5E12-4590-A844-BC65F7EAA3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6" authorId="23" shapeId="0" xr:uid="{54E0A2D2-4CDD-40D4-A6E5-2677B91375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7" authorId="24" shapeId="0" xr:uid="{716DD388-AB3D-466A-9FAB-1898494F0D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8" authorId="25" shapeId="0" xr:uid="{46CD3C0F-6EAB-4CC2-AF51-FDA9C9BE5A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19" authorId="26" shapeId="0" xr:uid="{C44FD56D-9705-4407-80B0-943C520D0D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20" authorId="27" shapeId="0" xr:uid="{2312E256-8F03-41AB-A548-6F286361FE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21" authorId="28" shapeId="0" xr:uid="{F533937C-E4FB-46E9-B0AD-1926E1DA69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22" authorId="29" shapeId="0" xr:uid="{BE76AE40-4E4E-4724-82D7-D9BBC8C764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E23" authorId="30" shapeId="0" xr:uid="{56D6DEC5-FCD6-43E1-9867-C2D55B1AD3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 aus Kontext der Studie</t>
      </text>
    </comment>
    <comment ref="A24" authorId="31" shapeId="0" xr:uid="{1474DFB6-F764-412E-BDCB-3704097EF7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Potenziale leider nur aggregiert dargestellt; Disaggregierungsmöglichkeit ggf. über die unterstellten zeitlichen Limitationen der Prozesse / Anwendungen möglich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V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max. 15 min für ramp up / ramp down</t>
        </r>
      </text>
    </comment>
    <comment ref="AP2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ca. 0
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deutliche Einschränkungen wegen hoher Prozessauslastung</t>
        </r>
      </text>
    </comment>
    <comment ref="AL4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</t>
        </r>
      </text>
    </comment>
    <comment ref="AO4" authorId="0" shapeId="0" xr:uid="{00000000-0006-0000-05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100</t>
        </r>
      </text>
    </comment>
    <comment ref="L8" authorId="0" shapeId="0" xr:uid="{00000000-0006-0000-05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im Durchschnitt nicht genutzte Kapazität</t>
        </r>
      </text>
    </comment>
    <comment ref="AO8" authorId="0" shapeId="0" xr:uid="{00000000-0006-0000-05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&lt; 10</t>
        </r>
      </text>
    </comment>
    <comment ref="W10" authorId="0" shapeId="0" xr:uid="{00000000-0006-0000-05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auch längere Dauern zu erhöhten Kosten möglich -&gt; Neustart des Prozesses</t>
        </r>
      </text>
    </comment>
    <comment ref="AO10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&gt; 2000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tc={A65DD986-BC17-49D8-AB9B-5B6A02FBC47E}</author>
    <author>tc={D0EC52C0-E9A0-4C3C-AFE5-DA30C0A936B8}</author>
    <author>tc={C35844ED-19FA-450F-98C6-C501953BF2B5}</author>
    <author>tc={41597F26-5186-4571-9F05-E83A88531193}</author>
    <author>tc={460841BC-0A04-4C12-B86E-C1ACC9F1E76B}</author>
    <author>tc={7AE74D33-57E8-4BCD-B069-2827CD5BF32C}</author>
    <author>tc={F62EDD0B-1788-487C-81C3-67CD41066478}</author>
    <author>tc={CEF4D5B6-B72A-4731-ACB1-F8DA98DF7324}</author>
    <author>tc={237605FD-1B06-43DB-8ABD-6CC4285B78CC}</author>
    <author>tc={9A205F06-10AF-4301-A438-E86213BE00EE}</author>
    <author>tc={02B2F7DE-9331-4817-8FCA-75A333A05B96}</author>
    <author>tc={AF6D0AB4-140D-4D2B-A6BC-349CCFF64A7F}</author>
    <author>tc={4ECF5971-0285-43F5-B16E-E6896A615FA1}</author>
    <author>tc={1E17797E-31CA-456F-8AA8-D06F18E09839}</author>
    <author>tc={24D88EEE-12DE-4986-A3FE-657F72D0DC44}</author>
    <author>tc={78A5C715-56D1-4B5A-A2A3-8758916111E1}</author>
    <author>tc={4EF61836-8E45-4D67-85CD-A7825E62300F}</author>
    <author>tc={91EE9041-6615-47B6-92B2-B6D052856ACB}</author>
    <author>tc={99B0E8B1-7B3B-4000-B04C-31F0495A7B90}</author>
    <author>tc={FF3FDE26-AA3C-46F4-A387-63950B8CE91A}</author>
    <author>tc={94A7FB52-6288-45A5-8D48-CD1C8BB52803}</author>
    <author>tc={BE92335F-BC06-4B78-93FC-80E3529D60A8}</author>
    <author>tc={5A18B9C5-55EB-4ACF-82A9-4F4B645BCD2E}</author>
    <author>tc={B45B08C0-833C-436C-8BD4-B55619D5D221}</author>
    <author>tc={9052D0D0-05B2-43B2-902E-15F4C6C07F37}</author>
    <author>tc={390966D2-119B-494F-AB4C-2E1A3CD2A8F5}</author>
    <author>tc={04CA81DD-399C-4E46-9DBD-3E692BD23D91}</author>
    <author>tc={5115D410-0E4F-417C-BD9C-7B3426578204}</author>
    <author>tc={F8D147C2-607E-40D0-86D2-6F7D35995B6A}</author>
    <author>tc={3B6C4750-2297-4D3E-B888-F522538E49A6}</author>
    <author>tc={1ABAA499-8950-43A9-88FD-43179BB9B0D0}</author>
    <author>tc={2767DFC5-F3D3-443E-808B-8CEAED4D09D8}</author>
    <author>tc={22A7B1C2-27F2-4565-845A-C4A37C06CFDA}</author>
    <author>tc={901674A5-5CB3-450C-A8FE-356EBE294716}</author>
    <author>tc={8BCB4973-35E4-46BD-A129-C66BB532D42E}</author>
    <author>tc={5F5C7B7D-99C9-4A30-8A4E-2186A6D10B38}</author>
    <author>tc={1146AE96-27EE-44DD-B682-1449CE0A2038}</author>
    <author>tc={01C84C66-C0DF-463A-A3B8-D6F94B10C81C}</author>
    <author>tc={8F0AACF3-1AF2-4436-8C16-7381AC66419C}</author>
    <author>tc={8DE399A9-1B23-4B05-838D-91051BFE31E2}</author>
    <author>tc={DCC06660-6263-428E-B84A-6776BF9893FB}</author>
    <author>tc={95D1FB6E-90AB-47F0-A42E-943E49932678}</author>
    <author>tc={8D9721C7-F2FE-4D86-A425-0D51AA3FE3B1}</author>
    <author>tc={0FB39A13-5439-4B91-9EBC-CA005F91DD0B}</author>
    <author>tc={A0B93097-E0BF-4903-BC06-FB746AD70FD5}</author>
    <author>tc={1A2046F3-4ED3-473C-B939-992248ED9D05}</author>
    <author>tc={BF337FC9-E87D-489A-A32F-6AC15E232FAD}</author>
    <author>tc={BB2CA876-F78D-4089-A02F-35A9C7A6091B}</author>
    <author>tc={EB421FDC-FD34-4DA3-A064-A0FA5E8F5558}</author>
    <author>tc={84E9E13E-531A-49C6-A68A-DD31D9BB1871}</author>
    <author>tc={1CDE2AD8-F704-48CE-9DAE-AB26DB365C6B}</author>
    <author>tc={FBAD1FB3-8D86-426E-8BC0-E0583AA2F3CA}</author>
    <author>tc={76249C28-D235-4E59-9A9A-804B0AA50118}</author>
    <author>tc={A86A1221-7577-4C3C-A39E-96C45746EE33}</author>
    <author>tc={462655CF-BD51-49EA-A142-671957591B6B}</author>
    <author>tc={D964847E-D60B-45BF-B738-69170D7CA832}</author>
    <author>tc={CBA541BC-47C8-4018-967B-4D4F1431DCC3}</author>
    <author>tc={E40C3BB2-6CD0-47C2-A08D-8B7089F0F6B9}</author>
    <author>tc={2795010D-A197-40D5-A19F-143A0C85E363}</author>
    <author>tc={2A074857-BB15-4797-81D4-7F0CA707C185}</author>
    <author>tc={9BECD6FB-FC16-40B6-AC66-D844B91172B2}</author>
    <author>tc={71C69080-5C9E-4612-8E0A-8B83D7EB4D4F}</author>
    <author>tc={81321553-6C30-4906-B9BE-8201F5F630FA}</author>
    <author>tc={2452AC36-E0AC-4997-AA01-12F34AA5B0AC}</author>
    <author>tc={76CAB102-43A7-43A6-B228-D3792D9B5C81}</author>
    <author>tc={0DD36166-77F6-420C-ABE5-195AB1AC6DB0}</author>
    <author>tc={4A978F11-7A7D-46DF-B76B-34DDBB125E2E}</author>
    <author>tc={E689A699-9833-42EC-9F35-40AAEA2184D0}</author>
    <author>tc={FF6F44D7-58B5-43AA-80FA-CCE1597E5F69}</author>
    <author>tc={E61778A0-2EF5-423B-BE7E-FE115B643C47}</author>
    <author>tc={71452997-5ECD-4BD6-94ED-3DEB7BFBBB83}</author>
    <author>tc={0DB4BAE5-C12F-469F-BFBD-A07737AD7512}</author>
    <author>tc={81F98D7B-3688-4296-BF76-B58DCD7405C3}</author>
    <author>tc={DC9E1437-B930-4F81-A051-946D0A3C0AE7}</author>
    <author>tc={ABAB29ED-CA1E-4659-8747-0F09931C4F94}</author>
    <author>tc={9A18DC09-E511-4209-8B94-7E768B5A04F0}</author>
    <author>tc={09AC6F39-B913-40E6-BA51-10B870657E37}</author>
    <author>tc={0952EC1D-489E-4A4E-98B3-737C9F54F1CE}</author>
    <author>tc={0CF447F4-A80A-410D-B489-1C546019C636}</author>
    <author>tc={8BBE540B-3905-4F6B-A872-D032FC7230B6}</author>
    <author>tc={49EC804F-2350-4163-9F5D-986D5B9E7BAC}</author>
    <author>tc={971BE820-88D4-4B9C-9323-7B80B5A9B7B6}</author>
    <author>tc={369C8F21-2329-4F7E-8AB9-884DCFB781C6}</author>
    <author>tc={79055818-B7AF-4C60-B059-77D90B5B6A96}</author>
    <author>tc={A068564E-CE7A-4392-BE22-1EE16279AEC8}</author>
    <author>tc={B12C1CED-D7DB-4895-894F-F3012EB816F7}</author>
    <author>tc={BD2E1FD6-0322-4F74-A8FF-339B9832DAA3}</author>
    <author>tc={4B473858-F4BD-42EF-874D-B97230B94EB2}</author>
    <author>tc={E600ED1E-B00B-413B-A70C-FFA594F46B5C}</author>
    <author>tc={22CFD6B4-025D-4EC9-A65E-AFC0B9CA72C4}</author>
    <author>tc={70E38203-3AFF-42AD-A3AB-95BFDF9850BA}</author>
    <author>tc={EACC701D-F800-4C4F-9945-B56CB39522B5}</author>
    <author>tc={AC366BA3-7646-4580-BCE7-62D1563D94EA}</author>
    <author>tc={112FF432-07AD-4D4A-B250-D43F394A092E}</author>
    <author>tc={4DB109A5-70D0-4BA4-AB95-3D717753423C}</author>
    <author>tc={CD40D9C5-835C-4765-B5AC-703793CAFDB9}</author>
    <author>tc={6734934E-B1CC-45E6-AB60-D4919C456B88}</author>
    <author>tc={C0B89CC9-D25E-4A60-973F-C1A36432B037}</author>
    <author>tc={2F5AFD12-28DB-46A3-ABC6-B1ECB6834D69}</author>
    <author>tc={2938EE5C-693F-49C0-B836-5701D0478B7F}</author>
    <author>tc={4430E896-904B-4E1C-A712-18BB534EBAE4}</author>
    <author>tc={FEA5224A-A34A-4A9D-8DD2-450AF4FD0AA1}</author>
    <author>tc={C5B9DA9D-6318-42F9-B09A-3091745476C6}</author>
    <author>tc={CD4942B0-BE1A-43F6-8AA4-D7E15234D1AC}</author>
    <author>tc={8B1C7811-BF24-4CD3-9847-2E8734376A12}</author>
    <author>tc={9EB740E8-F0D0-4940-B168-00BE8372699A}</author>
    <author>tc={7D26131E-D55E-4C58-8A73-FCA2D35704CC}</author>
    <author>tc={05FA1B98-2E69-4B92-9670-904357959A8F}</author>
    <author>tc={FC2B9C33-E898-470A-9C12-019013541F2C}</author>
    <author>tc={9C12C573-D1C7-4011-9D7D-FE7D50E8D77B}</author>
    <author>tc={7AA89F44-9FD0-426A-ACBF-FF93F7E12AEB}</author>
    <author>tc={FE343DD5-3FFD-48CC-A20E-70A20044C1EC}</author>
    <author>tc={01B4994C-B99F-4B17-9FAB-44D0123279D2}</author>
    <author>tc={6B3E57A1-F934-49D5-BE60-2E8736FA48CE}</author>
    <author>tc={66B8CC35-27D6-4B82-B0EE-1AACDFAF05F1}</author>
    <author>tc={735D7AE3-91D9-48C6-9E7C-CC7F4EFB8181}</author>
    <author>tc={38221BB5-900D-4A35-BA4F-72FEFA1F1524}</author>
    <author>tc={81EEFF94-9A75-4F3D-8826-AC88BE9BC6CD}</author>
    <author>tc={ADB2BC00-91BE-49CD-9F22-64E4EF9CF556}</author>
    <author>tc={B6A9A49F-BA5B-4FDD-B9E6-8D9C976B494F}</author>
    <author>tc={E60FEF4C-A563-420B-8ADC-8E5D4061FD84}</author>
    <author>tc={66FC6EAA-0A2B-45A0-B554-8ECE6AE2B2AF}</author>
    <author>tc={47EC7FF8-ECFC-4556-809B-B510D3590DD8}</author>
    <author>tc={81EC4312-D316-44E4-8C4C-74761CA0A7BB}</author>
    <author>tc={108E56FA-DE5A-4891-9E40-EA435D077B33}</author>
    <author>tc={D470EF98-432C-4405-8E62-CB17C1A55C3D}</author>
    <author>tc={8D9492D9-8D4D-4AA2-B106-C6BF506FBDCC}</author>
    <author>tc={5F88BF63-438D-42E0-83DF-00F38A167DAC}</author>
    <author>tc={2D2C3F36-73D3-4634-99D2-32E7BC0D56B3}</author>
    <author>tc={2B7CB082-EC47-4A92-BE53-2244CAEAED86}</author>
    <author>tc={6F99E905-DA18-45D3-BAA8-CEA9F3BE4A5E}</author>
    <author>tc={40E921B3-7DAC-4BBB-8364-FCDF434BD64E}</author>
    <author>tc={D756BAA0-46F8-4F9C-8AC3-6DBBB67597BE}</author>
    <author>tc={78384D7E-2D7C-42D6-853F-CA1F049106A6}</author>
    <author>tc={ED29123A-DE84-4D88-AA93-D35CE2566103}</author>
    <author>tc={ABC9DEC2-E0CD-4956-BD86-574327758A48}</author>
    <author>tc={38E857D4-CD08-488B-AE0D-F70D6A49947D}</author>
    <author>tc={D91CEC75-EFB1-46F0-972C-CB23EBA56570}</author>
    <author>tc={7DC27E12-A6F8-4AC0-8BC0-DFC78942E8BE}</author>
    <author>tc={CE0EE21D-A5FD-4ABC-810E-4D9837D6D9D2}</author>
    <author>tc={5A2992BF-75D8-41EC-9B12-952BAB2643F7}</author>
    <author>tc={347D2CB8-5A84-4A42-ADC7-05F77CF1EF27}</author>
    <author>tc={4D3D51C5-8AF9-4AA2-BD97-E38A010ECCA3}</author>
    <author>tc={24437DCB-DD2D-49F3-A82E-10BD5654E340}</author>
    <author>tc={6C52C4A7-F61B-43DE-B809-A47163A10382}</author>
    <author>tc={52044294-6ED0-464F-A39F-3C5EEC86A319}</author>
    <author>tc={523E97FC-A4FA-434B-B615-1A7BE200A552}</author>
    <author>tc={EB5BFACA-B131-45D4-AB40-1F4D9981FEBE}</author>
    <author>tc={CF80ADC7-2FCE-4FC3-94B5-12A1A5ABD420}</author>
    <author>tc={36FC6B85-B587-4CE0-9EFB-A2B431425097}</author>
    <author>tc={5437B899-6361-41F6-A6DF-5771CD8E31C4}</author>
    <author>tc={FE00EE58-F608-4AA6-BFCF-E132FB9529B0}</author>
    <author>tc={17AD6DD9-F961-47AD-83EC-E810E415D28F}</author>
    <author>tc={D428F92E-41D3-454D-8155-F3DEA6FF1033}</author>
    <author>tc={1C88E484-68CC-4085-A3C2-7F23FA3E645C}</author>
    <author>tc={EAD98E80-5FA2-4F7D-8886-59D0B5A7B373}</author>
    <author>tc={3E2AED2F-67C9-4B37-A923-4C9E618A20FC}</author>
    <author>tc={B34F2732-06AE-4DAC-8AE6-6B83D10B8995}</author>
    <author>tc={0D1935BD-13CA-46BE-AB66-E5BCE329CDD6}</author>
    <author>tc={D2D6895C-4A1E-4A7B-97F2-2330773436F7}</author>
    <author>tc={EF0A61FD-4C83-4AAF-910E-365AB787B3C9}</author>
    <author>tc={3F593FF6-C495-4C3F-9172-7033BD7FE6EC}</author>
    <author>tc={853591AD-D81E-4CD0-89C4-FCC8187B150A}</author>
    <author>tc={56581990-D245-426E-A4AD-53F1A2FD1F90}</author>
    <author>tc={85699336-0396-4904-BCCB-FFB8ED851D1E}</author>
    <author>tc={5E48F251-7DF2-4FEB-BA36-E263B8D5C61D}</author>
    <author>tc={11E003CC-171D-47E3-9E72-31216BAE641A}</author>
    <author>tc={5196CC84-8F4B-4689-9B2E-E93F417E83A6}</author>
    <author>tc={FC0C574F-E02D-4A87-96EA-09D8E1A6154C}</author>
    <author>tc={A046DA41-BD43-4EFE-B5EC-DAFD9242CFE9}</author>
    <author>tc={63971614-6DD8-4059-96DF-EE6096DB0BB9}</author>
    <author>tc={56BFBB61-B376-45A7-A1D6-CEC6BC457465}</author>
    <author>tc={57D383CB-2A7C-486F-B682-0B2E4696A9AC}</author>
    <author>tc={ABEE3702-593B-47A4-AC2E-9B5C3711FFAF}</author>
    <author>tc={BEC87A2D-FF74-4EAD-BFA8-8BB2B090FF74}</author>
    <author>tc={B6EC0A38-D5F5-491F-89A4-BE3D9DFC1CC8}</author>
    <author>tc={2F011D1D-D4A0-43D5-9DF9-29F19076464C}</author>
    <author>tc={B6A4611E-0119-47DC-B7F3-4923B66BBFBA}</author>
    <author>tc={74FA45D0-4C4E-4585-B55A-E628C6113C45}</author>
    <author>tc={16A15FDF-21BC-4B88-A4B9-72744371E7D3}</author>
    <author>tc={C83BAF5F-A712-44F8-9686-6917D75104C0}</author>
    <author>tc={8792E949-2470-4A0C-AF37-3E9C4186F73A}</author>
    <author>tc={55EC1CD2-C6FE-4574-A5C9-9338E9C3AF6C}</author>
    <author>tc={314A6992-81AA-4E27-80E4-A9EE1AFEC3AF}</author>
    <author>tc={5EBEFA85-2E5E-43EC-A52F-4C5A7ABBCECA}</author>
    <author>tc={CA45A569-371F-42BD-9030-DEF614585CAA}</author>
    <author>tc={D84F4380-8608-4D2F-9448-DCA21B71FC66}</author>
    <author>tc={FB8FC3CB-C7E6-484F-8BE3-A34553CBBEC3}</author>
    <author>tc={68C98BB4-4652-46A0-A7A9-0DE2DF2AACAC}</author>
    <author>tc={C0A01F35-67DD-429F-9DAB-6AC3BE7F1537}</author>
    <author>tc={AC130A6B-9638-4FB1-9251-039EFED912D1}</author>
    <author>tc={2018B371-6548-4352-BACA-375D24CC5F41}</author>
    <author>tc={276B2C7A-E7B4-493E-8F72-9A0660F6A337}</author>
    <author>tc={0ADA5375-21A3-461D-8C43-E0EA9FC640E3}</author>
    <author>tc={AB7BD124-759D-43A4-BD1D-4C0101BDAF2D}</author>
    <author>tc={9621318F-6554-439C-8CEE-7425DF402D7F}</author>
    <author>tc={64C13703-A273-4EF0-B9AC-A56A47871B84}</author>
    <author>tc={D3AFCE91-B4EE-426E-95FF-AF027BB3FD18}</author>
    <author>tc={406FF110-8C5D-4484-8768-CC5D87BD8B83}</author>
    <author>tc={46C2723F-9A43-4913-9887-C0EDAC29A06E}</author>
    <author>tc={E2023B7D-8223-416B-BF0A-4B598F066E67}</author>
    <author>tc={EA04EAAB-88FF-45D0-B91C-01FF5874DCE6}</author>
    <author>tc={5BB590B8-EFDA-4430-8C6B-DD970DE65704}</author>
    <author>tc={FC462716-E5FB-4885-998C-A0DD12C1C7AF}</author>
    <author>tc={DE995F5A-1E47-4410-86FF-AE28BE288B0E}</author>
    <author>tc={FDEA2661-1E54-4620-B218-FAB1D55FFD11}</author>
    <author>tc={4F37555E-086A-4527-9632-0074F7BB836A}</author>
    <author>tc={DE168CB1-746F-4C95-84C2-E0C3F386B532}</author>
    <author>tc={C0BB0937-B3C4-44A4-9915-F11A25E622B3}</author>
    <author>tc={F46DCF97-3556-4D72-898D-CD588458B25A}</author>
    <author>tc={78D3CE11-7053-4D90-9629-8B4FCC0A2F0B}</author>
    <author>tc={94530F2C-302A-411C-A027-E451B26DAC4F}</author>
    <author>tc={636E2B6E-F022-4C24-8EF9-BA330CA684BB}</author>
    <author>tc={8349FC27-C9EF-4712-AA09-CC10C3CFDA47}</author>
    <author>tc={E2AA62B0-5600-4908-868D-7B3705118A2C}</author>
    <author>tc={DF89C04D-FF65-4B56-AA30-04E8B5184CCB}</author>
    <author>tc={7A774721-5936-4F89-8F1E-A7643E8D58C9}</author>
    <author>tc={1F6CCF41-2535-41CD-8EA9-DD113387B46D}</author>
    <author>tc={75B2D925-4F42-4BCA-8F81-6FAEFBC4121F}</author>
    <author>tc={33B579F3-A90B-401D-9D96-1EC8C4193083}</author>
    <author>tc={38647591-0E4D-4DB6-AA73-B628C0588480}</author>
    <author>tc={BCA6707F-7D69-4F3E-AFFA-ABE00519022B}</author>
    <author>tc={9FD466BB-E258-43FA-BDD0-81B31288C60C}</author>
    <author>tc={E6DB736E-DA93-4207-9C41-FD99126BC2F4}</author>
    <author>tc={C8B4AACC-2A69-4F9C-8C8A-D8A1633E2C1C}</author>
    <author>tc={DC37A05F-525E-4E49-A928-57D4DE0446D7}</author>
    <author>tc={D5490529-A72E-44A1-BDAD-859CE479CF56}</author>
    <author>tc={A0198E2A-DA05-4DB0-B8D0-B0B2D7C4C281}</author>
    <author>tc={93E79508-8A59-41AE-B914-D80D28C4C0FD}</author>
    <author>tc={07DBD97F-1880-49B9-B77C-E506F7BE3211}</author>
    <author>tc={8DC145D3-A680-42EF-9585-E5E395B11F77}</author>
    <author>tc={3F881113-FD8A-479E-8B7A-09989EC68501}</author>
    <author>tc={0BFC8415-CEE5-427A-AA36-F751AD6182E8}</author>
    <author>tc={153E8956-9748-4BD3-A54E-5E165F85128A}</author>
    <author>tc={D9D4B359-8D01-45D3-9951-C302D5ADE133}</author>
    <author>tc={9643E4F5-B1B4-4054-AAC3-D532C32BC3E3}</author>
    <author>tc={A1227423-6253-4F63-8C6F-6AD0E5E1FCA7}</author>
    <author>tc={ACF833A8-26B5-4DFE-B220-E1ADF310CE69}</author>
    <author>tc={485229A9-337D-4A5D-A419-869629C8DDB5}</author>
    <author>tc={40AFF255-6B76-4D47-9004-689002884DCE}</author>
    <author>tc={90094D3F-B1FA-4026-BDA4-D1A3C78593BC}</author>
    <author>tc={44A78650-3A5A-44C6-9995-D23C2CD7CDAE}</author>
    <author>tc={3D00C463-B70F-45D7-AA25-B46B07215542}</author>
    <author>tc={6F962807-9629-4BF1-84F5-E713034C3884}</author>
  </authors>
  <commentList>
    <comment ref="J1" authorId="0" shapeId="0" xr:uid="{00000000-0006-0000-0F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Heizanwendungen: kältester Tag des Jahres</t>
      </text>
    </comment>
    <comment ref="M1" authorId="1" shapeId="0" xr:uid="{00000000-0006-0000-0F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Für Heizungen kältester Tag des Jahres</t>
      </text>
    </comment>
    <comment ref="N1" authorId="2" shapeId="0" xr:uid="{00000000-0006-0000-0F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Leistungsaufnahme</t>
      </text>
    </comment>
    <comment ref="X1" authorId="3" shapeId="0" xr:uid="{00000000-0006-0000-0F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bezogen auf die durchschnittliche Leistung (!)</t>
      </text>
    </comment>
    <comment ref="AF2" authorId="4" shapeId="0" xr:uid="{00000000-0006-0000-0F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" authorId="5" shapeId="0" xr:uid="{00000000-0006-0000-0F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" authorId="6" shapeId="0" xr:uid="{00000000-0006-0000-0F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3" authorId="7" shapeId="0" xr:uid="{00000000-0006-0000-0F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3" authorId="8" shapeId="0" xr:uid="{00000000-0006-0000-0F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3" authorId="9" shapeId="0" xr:uid="{00000000-0006-0000-0F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4" authorId="10" shapeId="0" xr:uid="{00000000-0006-0000-0F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4" authorId="11" shapeId="0" xr:uid="{00000000-0006-0000-0F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4" authorId="12" shapeId="0" xr:uid="{00000000-0006-0000-0F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5" authorId="13" shapeId="0" xr:uid="{00000000-0006-0000-0F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5" authorId="14" shapeId="0" xr:uid="{00000000-0006-0000-0F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5" authorId="15" shapeId="0" xr:uid="{00000000-0006-0000-0F00-00001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6" authorId="16" shapeId="0" xr:uid="{00000000-0006-0000-0F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6" authorId="17" shapeId="0" xr:uid="{00000000-0006-0000-0F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6" authorId="18" shapeId="0" xr:uid="{00000000-0006-0000-0F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M7" authorId="19" shapeId="0" xr:uid="{00000000-0006-0000-0F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</text>
    </comment>
    <comment ref="N7" authorId="20" shapeId="0" xr:uid="{00000000-0006-0000-0F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</text>
    </comment>
    <comment ref="AF7" authorId="21" shapeId="0" xr:uid="{00000000-0006-0000-0F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7" authorId="22" shapeId="0" xr:uid="{00000000-0006-0000-0F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7" authorId="23" shapeId="0" xr:uid="{00000000-0006-0000-0F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8" authorId="24" shapeId="0" xr:uid="{00000000-0006-0000-0F00-00001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8" authorId="25" shapeId="0" xr:uid="{00000000-0006-0000-0F00-00001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8" authorId="26" shapeId="0" xr:uid="{00000000-0006-0000-0F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9" authorId="27" shapeId="0" xr:uid="{00000000-0006-0000-0F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9" authorId="28" shapeId="0" xr:uid="{00000000-0006-0000-0F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9" authorId="29" shapeId="0" xr:uid="{00000000-0006-0000-0F00-00001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M10" authorId="30" shapeId="0" xr:uid="{00000000-0006-0000-0F00-00001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</text>
    </comment>
    <comment ref="T10" authorId="31" shapeId="0" xr:uid="{00000000-0006-0000-0F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inkl. TMP-Verfahren</t>
      </text>
    </comment>
    <comment ref="AF10" authorId="32" shapeId="0" xr:uid="{00000000-0006-0000-0F00-00002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0" authorId="33" shapeId="0" xr:uid="{00000000-0006-0000-0F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0" authorId="34" shapeId="0" xr:uid="{00000000-0006-0000-0F00-00002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M11" authorId="35" shapeId="0" xr:uid="{00000000-0006-0000-0F00-00002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</text>
    </comment>
    <comment ref="AF11" authorId="36" shapeId="0" xr:uid="{00000000-0006-0000-0F00-00002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1" authorId="37" shapeId="0" xr:uid="{00000000-0006-0000-0F00-00002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1" authorId="38" shapeId="0" xr:uid="{00000000-0006-0000-0F00-00002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12" authorId="39" shapeId="0" xr:uid="{00000000-0006-0000-0F00-00002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2" authorId="40" shapeId="0" xr:uid="{00000000-0006-0000-0F00-00002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2" authorId="41" shapeId="0" xr:uid="{00000000-0006-0000-0F00-00002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13" authorId="42" shapeId="0" xr:uid="{00000000-0006-0000-0F00-00002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3" authorId="43" shapeId="0" xr:uid="{00000000-0006-0000-0F00-00002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3" authorId="44" shapeId="0" xr:uid="{00000000-0006-0000-0F00-00002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Y14" authorId="45" shapeId="0" xr:uid="{00000000-0006-0000-0F00-00002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4" authorId="46" shapeId="0" xr:uid="{00000000-0006-0000-0F00-00002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N15" authorId="47" shapeId="0" xr:uid="{00000000-0006-0000-0F00-00003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bleibt.</t>
      </text>
    </comment>
    <comment ref="AY15" authorId="48" shapeId="0" xr:uid="{00000000-0006-0000-0F00-00003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5" authorId="49" shapeId="0" xr:uid="{00000000-0006-0000-0F00-00003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Y16" authorId="50" shapeId="0" xr:uid="{00000000-0006-0000-0F00-00003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6" authorId="51" shapeId="0" xr:uid="{00000000-0006-0000-0F00-00003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Y17" authorId="52" shapeId="0" xr:uid="{00000000-0006-0000-0F00-00003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7" authorId="53" shapeId="0" xr:uid="{00000000-0006-0000-0F00-00003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18" authorId="54" shapeId="0" xr:uid="{00000000-0006-0000-0F00-00003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8" authorId="55" shapeId="0" xr:uid="{00000000-0006-0000-0F00-00003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8" authorId="56" shapeId="0" xr:uid="{00000000-0006-0000-0F00-00003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M19" authorId="57" shapeId="0" xr:uid="{00000000-0006-0000-0F00-00003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</text>
    </comment>
    <comment ref="N19" authorId="58" shapeId="0" xr:uid="{00000000-0006-0000-0F00-00003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</text>
    </comment>
    <comment ref="AF19" authorId="59" shapeId="0" xr:uid="{00000000-0006-0000-0F00-00003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19" authorId="60" shapeId="0" xr:uid="{00000000-0006-0000-0F00-00003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19" authorId="61" shapeId="0" xr:uid="{00000000-0006-0000-0F00-00003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20" authorId="62" shapeId="0" xr:uid="{00000000-0006-0000-0F00-00003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0" authorId="63" shapeId="0" xr:uid="{00000000-0006-0000-0F00-00004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0" authorId="64" shapeId="0" xr:uid="{00000000-0006-0000-0F00-00004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21" authorId="65" shapeId="0" xr:uid="{00000000-0006-0000-0F00-00004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1" authorId="66" shapeId="0" xr:uid="{00000000-0006-0000-0F00-00004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1" authorId="67" shapeId="0" xr:uid="{00000000-0006-0000-0F00-00004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22" authorId="68" shapeId="0" xr:uid="{00000000-0006-0000-0F00-00004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2" authorId="69" shapeId="0" xr:uid="{00000000-0006-0000-0F00-00004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2" authorId="70" shapeId="0" xr:uid="{00000000-0006-0000-0F00-00004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M23" authorId="71" shapeId="0" xr:uid="{00000000-0006-0000-0F00-00004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DE/AT identisch bleibt</t>
      </text>
    </comment>
    <comment ref="N23" authorId="72" shapeId="0" xr:uid="{00000000-0006-0000-0F00-00004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Annahme, dass Aufteilung D/AT identisch bleibt</t>
      </text>
    </comment>
    <comment ref="AF23" authorId="73" shapeId="0" xr:uid="{00000000-0006-0000-0F00-00004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3" authorId="74" shapeId="0" xr:uid="{00000000-0006-0000-0F00-00004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3" authorId="75" shapeId="0" xr:uid="{00000000-0006-0000-0F00-00004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24" authorId="76" shapeId="0" xr:uid="{00000000-0006-0000-0F00-00004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4" authorId="77" shapeId="0" xr:uid="{00000000-0006-0000-0F00-00004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4" authorId="78" shapeId="0" xr:uid="{00000000-0006-0000-0F00-00004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F25" authorId="79" shapeId="0" xr:uid="{00000000-0006-0000-0F00-00005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Aussage S. 242: Schaltung binnen Sekunden bis wenigen Minuten</t>
      </text>
    </comment>
    <comment ref="AY25" authorId="80" shapeId="0" xr:uid="{00000000-0006-0000-0F00-00005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Lastverschiebung</t>
      </text>
    </comment>
    <comment ref="AZ25" authorId="81" shapeId="0" xr:uid="{00000000-0006-0000-0F00-00005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Lastverzicht</t>
      </text>
    </comment>
    <comment ref="AX26" authorId="82" shapeId="0" xr:uid="{00000000-0006-0000-0F00-00005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</text>
    </comment>
    <comment ref="BE26" authorId="83" shapeId="0" xr:uid="{00000000-0006-0000-0F00-00005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</text>
    </comment>
    <comment ref="AX27" authorId="84" shapeId="0" xr:uid="{00000000-0006-0000-0F00-00005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</text>
    </comment>
    <comment ref="BE27" authorId="85" shapeId="0" xr:uid="{00000000-0006-0000-0F00-00005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</text>
    </comment>
    <comment ref="AX28" authorId="86" shapeId="0" xr:uid="{00000000-0006-0000-0F00-00005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</text>
    </comment>
    <comment ref="BE28" authorId="87" shapeId="0" xr:uid="{00000000-0006-0000-0F00-00005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</text>
    </comment>
    <comment ref="AX29" authorId="88" shapeId="0" xr:uid="{00000000-0006-0000-0F00-00005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</text>
    </comment>
    <comment ref="BE29" authorId="89" shapeId="0" xr:uid="{00000000-0006-0000-0F00-00005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</text>
    </comment>
    <comment ref="A30" authorId="90" shapeId="0" xr:uid="{00000000-0006-0000-0F00-00005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AX30" authorId="91" shapeId="0" xr:uid="{00000000-0006-0000-0F00-00005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</text>
    </comment>
    <comment ref="BE30" authorId="92" shapeId="0" xr:uid="{00000000-0006-0000-0F00-00005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</text>
    </comment>
    <comment ref="A31" authorId="93" shapeId="0" xr:uid="{00000000-0006-0000-0F00-00005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AX31" authorId="94" shapeId="0" xr:uid="{00000000-0006-0000-0F00-00005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</text>
    </comment>
    <comment ref="BE31" authorId="95" shapeId="0" xr:uid="{00000000-0006-0000-0F00-00006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</text>
    </comment>
    <comment ref="A32" authorId="96" shapeId="0" xr:uid="{00000000-0006-0000-0F00-00006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AX32" authorId="97" shapeId="0" xr:uid="{00000000-0006-0000-0F00-00006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</text>
    </comment>
    <comment ref="BE32" authorId="98" shapeId="0" xr:uid="{00000000-0006-0000-0F00-00006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</text>
    </comment>
    <comment ref="A33" authorId="99" shapeId="0" xr:uid="{00000000-0006-0000-0F00-00006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AX33" authorId="100" shapeId="0" xr:uid="{00000000-0006-0000-0F00-00006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</text>
    </comment>
    <comment ref="BE33" authorId="101" shapeId="0" xr:uid="{00000000-0006-0000-0F00-00006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</text>
    </comment>
    <comment ref="AX34" authorId="102" shapeId="0" xr:uid="{00000000-0006-0000-0F00-00006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</text>
    </comment>
    <comment ref="BE34" authorId="103" shapeId="0" xr:uid="{00000000-0006-0000-0F00-00006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6,2 €/kW</t>
      </text>
    </comment>
    <comment ref="AX35" authorId="104" shapeId="0" xr:uid="{00000000-0006-0000-0F00-00006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</text>
    </comment>
    <comment ref="BE35" authorId="105" shapeId="0" xr:uid="{00000000-0006-0000-0F00-00006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5,6€/kW</t>
      </text>
    </comment>
    <comment ref="AX36" authorId="106" shapeId="0" xr:uid="{00000000-0006-0000-0F00-00006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</text>
    </comment>
    <comment ref="BE36" authorId="107" shapeId="0" xr:uid="{00000000-0006-0000-0F00-00006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5,3 €/kW</t>
      </text>
    </comment>
    <comment ref="AX37" authorId="108" shapeId="0" xr:uid="{00000000-0006-0000-0F00-00006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</text>
    </comment>
    <comment ref="BE37" authorId="109" shapeId="0" xr:uid="{00000000-0006-0000-0F00-00006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Pauschalwert; ab 500 kW Leistung 4,9 €/kW</t>
      </text>
    </comment>
    <comment ref="D38" authorId="110" shapeId="0" xr:uid="{00000000-0006-0000-0F00-00006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38" authorId="111" shapeId="0" xr:uid="{00000000-0006-0000-0F00-00007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M38" authorId="112" shapeId="0" xr:uid="{00000000-0006-0000-0F00-00007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AF38" authorId="113" shapeId="0" xr:uid="{00000000-0006-0000-0F00-00007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</text>
    </comment>
    <comment ref="AG38" authorId="114" shapeId="0" xr:uid="{00000000-0006-0000-0F00-00007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</text>
    </comment>
    <comment ref="AH38" authorId="115" shapeId="0" xr:uid="{00000000-0006-0000-0F00-00007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</text>
    </comment>
    <comment ref="AM38" authorId="116" shapeId="0" xr:uid="{00000000-0006-0000-0F00-00007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38" authorId="117" shapeId="0" xr:uid="{00000000-0006-0000-0F00-00007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39" authorId="118" shapeId="0" xr:uid="{00000000-0006-0000-0F00-00008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39" authorId="119" shapeId="0" xr:uid="{00000000-0006-0000-0F00-00008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M39" authorId="120" shapeId="0" xr:uid="{00000000-0006-0000-0F00-00008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O39" authorId="121" shapeId="0" xr:uid="{00000000-0006-0000-0F00-00008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39" authorId="122" shapeId="0" xr:uid="{00000000-0006-0000-0F00-00008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39" authorId="123" shapeId="0" xr:uid="{00000000-0006-0000-0F00-00008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U39" authorId="124" shapeId="0" xr:uid="{00000000-0006-0000-0F00-00008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G39" authorId="125" shapeId="0" xr:uid="{00000000-0006-0000-0F00-00008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</text>
    </comment>
    <comment ref="AH39" authorId="126" shapeId="0" xr:uid="{00000000-0006-0000-0F00-00008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</text>
    </comment>
    <comment ref="AM39" authorId="127" shapeId="0" xr:uid="{00000000-0006-0000-0F00-00008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39" authorId="128" shapeId="0" xr:uid="{00000000-0006-0000-0F00-00008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0" authorId="129" shapeId="0" xr:uid="{00000000-0006-0000-0F00-00008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0" authorId="130" shapeId="0" xr:uid="{00000000-0006-0000-0F00-00008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M40" authorId="131" shapeId="0" xr:uid="{00000000-0006-0000-0F00-00008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O40" authorId="132" shapeId="0" xr:uid="{00000000-0006-0000-0F00-00009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40" authorId="133" shapeId="0" xr:uid="{00000000-0006-0000-0F00-00009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40" authorId="134" shapeId="0" xr:uid="{00000000-0006-0000-0F00-00009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U40" authorId="135" shapeId="0" xr:uid="{00000000-0006-0000-0F00-00009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G40" authorId="136" shapeId="0" xr:uid="{00000000-0006-0000-0F00-00009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(S. 96, 109)</t>
      </text>
    </comment>
    <comment ref="AH40" authorId="137" shapeId="0" xr:uid="{00000000-0006-0000-0F00-00009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30 (S.96, 109)</t>
      </text>
    </comment>
    <comment ref="AM40" authorId="138" shapeId="0" xr:uid="{00000000-0006-0000-0F00-00009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0" authorId="139" shapeId="0" xr:uid="{00000000-0006-0000-0F00-00009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1" authorId="140" shapeId="0" xr:uid="{00000000-0006-0000-0F00-00009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1" authorId="141" shapeId="0" xr:uid="{00000000-0006-0000-0F00-00009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M41" authorId="142" shapeId="0" xr:uid="{00000000-0006-0000-0F00-00009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</text>
    </comment>
    <comment ref="O41" authorId="143" shapeId="0" xr:uid="{00000000-0006-0000-0F00-00009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41" authorId="144" shapeId="0" xr:uid="{00000000-0006-0000-0F00-00009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41" authorId="145" shapeId="0" xr:uid="{00000000-0006-0000-0F00-00009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für Referenzszenario</t>
      </text>
    </comment>
    <comment ref="U41" authorId="146" shapeId="0" xr:uid="{00000000-0006-0000-0F00-00009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M41" authorId="147" shapeId="0" xr:uid="{00000000-0006-0000-0F00-00009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1" authorId="148" shapeId="0" xr:uid="{00000000-0006-0000-0F00-0000A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2" authorId="149" shapeId="0" xr:uid="{00000000-0006-0000-0F00-0000A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AF42" authorId="150" shapeId="0" xr:uid="{00000000-0006-0000-0F00-0000A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Annahme</t>
      </text>
    </comment>
    <comment ref="AG42" authorId="151" shapeId="0" xr:uid="{00000000-0006-0000-0F00-0000A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 des Jahres</t>
      </text>
    </comment>
    <comment ref="AH42" authorId="152" shapeId="0" xr:uid="{00000000-0006-0000-0F00-0000A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 des Jahres</t>
      </text>
    </comment>
    <comment ref="AL42" authorId="153" shapeId="0" xr:uid="{00000000-0006-0000-0F00-0000A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</text>
    </comment>
    <comment ref="AM42" authorId="154" shapeId="0" xr:uid="{00000000-0006-0000-0F00-0000A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2" authorId="155" shapeId="0" xr:uid="{00000000-0006-0000-0F00-0000A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3" authorId="156" shapeId="0" xr:uid="{00000000-0006-0000-0F00-0000B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3" authorId="157" shapeId="0" xr:uid="{00000000-0006-0000-0F00-0000B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K43" authorId="158" shapeId="0" xr:uid="{00000000-0006-0000-0F00-0000B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M43" authorId="159" shapeId="0" xr:uid="{00000000-0006-0000-0F00-0000B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O43" authorId="160" shapeId="0" xr:uid="{00000000-0006-0000-0F00-0000B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43" authorId="161" shapeId="0" xr:uid="{00000000-0006-0000-0F00-0000B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43" authorId="162" shapeId="0" xr:uid="{00000000-0006-0000-0F00-0000B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U43" authorId="163" shapeId="0" xr:uid="{00000000-0006-0000-0F00-0000B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L43" authorId="164" shapeId="0" xr:uid="{00000000-0006-0000-0F00-0000B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</text>
    </comment>
    <comment ref="AM43" authorId="165" shapeId="0" xr:uid="{00000000-0006-0000-0F00-0000B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3" authorId="166" shapeId="0" xr:uid="{00000000-0006-0000-0F00-0000B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4" authorId="167" shapeId="0" xr:uid="{00000000-0006-0000-0F00-0000B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4" authorId="168" shapeId="0" xr:uid="{00000000-0006-0000-0F00-0000B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K44" authorId="169" shapeId="0" xr:uid="{00000000-0006-0000-0F00-0000C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M44" authorId="170" shapeId="0" xr:uid="{00000000-0006-0000-0F00-0000C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lineare Interpolation</t>
      </text>
    </comment>
    <comment ref="O44" authorId="171" shapeId="0" xr:uid="{00000000-0006-0000-0F00-0000C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44" authorId="172" shapeId="0" xr:uid="{00000000-0006-0000-0F00-0000C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44" authorId="173" shapeId="0" xr:uid="{00000000-0006-0000-0F00-0000C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U44" authorId="174" shapeId="0" xr:uid="{00000000-0006-0000-0F00-0000C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L44" authorId="175" shapeId="0" xr:uid="{00000000-0006-0000-0F00-0000C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</text>
    </comment>
    <comment ref="AM44" authorId="176" shapeId="0" xr:uid="{00000000-0006-0000-0F00-0000C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4" authorId="177" shapeId="0" xr:uid="{00000000-0006-0000-0F00-0000C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5" authorId="178" shapeId="0" xr:uid="{00000000-0006-0000-0F00-0000C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5" authorId="179" shapeId="0" xr:uid="{00000000-0006-0000-0F00-0000C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K45" authorId="180" shapeId="0" xr:uid="{00000000-0006-0000-0F00-0000C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O45" authorId="181" shapeId="0" xr:uid="{00000000-0006-0000-0F00-0000C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R45" authorId="182" shapeId="0" xr:uid="{00000000-0006-0000-0F00-0000C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T45" authorId="183" shapeId="0" xr:uid="{00000000-0006-0000-0F00-0000C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U45" authorId="184" shapeId="0" xr:uid="{00000000-0006-0000-0F00-0000C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Skalierung über Stromverbrauch in Referenzentwicklung</t>
      </text>
    </comment>
    <comment ref="AL45" authorId="185" shapeId="0" xr:uid="{00000000-0006-0000-0F00-0000D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h (S. 109; wärmster Tag)</t>
      </text>
    </comment>
    <comment ref="AM45" authorId="186" shapeId="0" xr:uid="{00000000-0006-0000-0F00-0000D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wärmster Tag</t>
      </text>
    </comment>
    <comment ref="AN45" authorId="187" shapeId="0" xr:uid="{00000000-0006-0000-0F00-0000D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kältester Tag</t>
      </text>
    </comment>
    <comment ref="D46" authorId="188" shapeId="0" xr:uid="{00000000-0006-0000-0F00-0000D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M46" authorId="189" shapeId="0" xr:uid="{00000000-0006-0000-0F00-0000D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</text>
    </comment>
    <comment ref="O46" authorId="190" shapeId="0" xr:uid="{00000000-0006-0000-0F00-0000D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Angabe 500+x</t>
      </text>
    </comment>
    <comment ref="D47" authorId="191" shapeId="0" xr:uid="{00000000-0006-0000-0F00-0000D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7" authorId="192" shapeId="0" xr:uid="{00000000-0006-0000-0F00-0000E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K47" authorId="193" shapeId="0" xr:uid="{00000000-0006-0000-0F00-0000E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M47" authorId="194" shapeId="0" xr:uid="{00000000-0006-0000-0F00-0000E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O47" authorId="195" shapeId="0" xr:uid="{00000000-0006-0000-0F00-0000E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Q47" authorId="196" shapeId="0" xr:uid="{00000000-0006-0000-0F00-0000E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R47" authorId="197" shapeId="0" xr:uid="{00000000-0006-0000-0F00-0000E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T47" authorId="198" shapeId="0" xr:uid="{00000000-0006-0000-0F00-0000E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U47" authorId="199" shapeId="0" xr:uid="{00000000-0006-0000-0F00-0000E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D48" authorId="200" shapeId="0" xr:uid="{00000000-0006-0000-0F00-0000E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8" authorId="201" shapeId="0" xr:uid="{00000000-0006-0000-0F00-0000E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K48" authorId="202" shapeId="0" xr:uid="{00000000-0006-0000-0F00-0000E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M48" authorId="203" shapeId="0" xr:uid="{00000000-0006-0000-0F00-0000E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O48" authorId="204" shapeId="0" xr:uid="{00000000-0006-0000-0F00-0000E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Q48" authorId="205" shapeId="0" xr:uid="{00000000-0006-0000-0F00-0000E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R48" authorId="206" shapeId="0" xr:uid="{00000000-0006-0000-0F00-0000E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T48" authorId="207" shapeId="0" xr:uid="{00000000-0006-0000-0F00-0000E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U48" authorId="208" shapeId="0" xr:uid="{00000000-0006-0000-0F00-0000F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D49" authorId="209" shapeId="0" xr:uid="{00000000-0006-0000-0F00-0000F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J49" authorId="210" shapeId="0" xr:uid="{00000000-0006-0000-0F00-0000F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K49" authorId="211" shapeId="0" xr:uid="{00000000-0006-0000-0F00-0000F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M49" authorId="212" shapeId="0" xr:uid="{00000000-0006-0000-0F00-0000F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O49" authorId="213" shapeId="0" xr:uid="{00000000-0006-0000-0F00-0000F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Q49" authorId="214" shapeId="0" xr:uid="{00000000-0006-0000-0F00-0000F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R49" authorId="215" shapeId="0" xr:uid="{00000000-0006-0000-0F00-0000F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T49" authorId="216" shapeId="0" xr:uid="{00000000-0006-0000-0F00-0000F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U49" authorId="217" shapeId="0" xr:uid="{00000000-0006-0000-0F00-0000F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näherungsweise konstante Durchdringung wird unterstellt (S. 106)</t>
      </text>
    </comment>
    <comment ref="D50" authorId="218" shapeId="0" xr:uid="{00000000-0006-0000-0F00-0000F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M50" authorId="219" shapeId="0" xr:uid="{00000000-0006-0000-0F00-0000F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</t>
      </text>
    </comment>
    <comment ref="T50" authorId="220" shapeId="0" xr:uid="{00000000-0006-0000-0F00-0000F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Ausgewiesene Potenziale als symmetrisch unterstellt.</t>
      </text>
    </comment>
    <comment ref="D51" authorId="221" shapeId="0" xr:uid="{00000000-0006-0000-0F00-0000F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D52" authorId="222" shapeId="0" xr:uid="{00000000-0006-0000-0F00-0000F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D53" authorId="223" shapeId="0" xr:uid="{00000000-0006-0000-0F00-0000F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D54" authorId="224" shapeId="0" xr:uid="{00000000-0006-0000-0F00-000000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AM54" authorId="225" shapeId="0" xr:uid="{00000000-0006-0000-0F00-000001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</text>
    </comment>
    <comment ref="AN54" authorId="226" shapeId="0" xr:uid="{00000000-0006-0000-0F00-000002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</text>
    </comment>
    <comment ref="D55" authorId="227" shapeId="0" xr:uid="{00000000-0006-0000-0F00-000003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AM55" authorId="228" shapeId="0" xr:uid="{00000000-0006-0000-0F00-000004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</text>
    </comment>
    <comment ref="AN55" authorId="229" shapeId="0" xr:uid="{00000000-0006-0000-0F00-000005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</text>
    </comment>
    <comment ref="D56" authorId="230" shapeId="0" xr:uid="{00000000-0006-0000-0F00-000006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AM56" authorId="231" shapeId="0" xr:uid="{00000000-0006-0000-0F00-000007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</text>
    </comment>
    <comment ref="AN56" authorId="232" shapeId="0" xr:uid="{00000000-0006-0000-0F00-000008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</text>
    </comment>
    <comment ref="D57" authorId="233" shapeId="0" xr:uid="{00000000-0006-0000-0F00-000009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Implizit, da funktionale Speicher (mit Nachholung) betrachtet werden.</t>
      </text>
    </comment>
    <comment ref="AM57" authorId="234" shapeId="0" xr:uid="{00000000-0006-0000-0F00-00000A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Tag</t>
      </text>
    </comment>
    <comment ref="AN57" authorId="235" shapeId="0" xr:uid="{00000000-0006-0000-0F00-00000B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Nacht</t>
      </text>
    </comment>
    <comment ref="Z61" authorId="236" shapeId="0" xr:uid="{00000000-0006-0000-0F00-00000C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</text>
    </comment>
    <comment ref="AX61" authorId="237" shapeId="0" xr:uid="{00000000-0006-0000-0F00-00000D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3.000 €</t>
      </text>
    </comment>
    <comment ref="Z62" authorId="238" shapeId="0" xr:uid="{00000000-0006-0000-0F00-00000E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</text>
    </comment>
    <comment ref="AX62" authorId="239" shapeId="0" xr:uid="{00000000-0006-0000-0F00-00000F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2.550 €</t>
      </text>
    </comment>
    <comment ref="Z63" authorId="240" shapeId="0" xr:uid="{00000000-0006-0000-0F00-000010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</text>
    </comment>
    <comment ref="AX63" authorId="241" shapeId="0" xr:uid="{00000000-0006-0000-0F00-000011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2.100 €</t>
      </text>
    </comment>
    <comment ref="Z64" authorId="242" shapeId="0" xr:uid="{00000000-0006-0000-0F00-000012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mittlere Verfügbarkeit (!); Betriebsstunden können mitunter deutlich darüber liegen</t>
      </text>
    </comment>
    <comment ref="AX64" authorId="243" shapeId="0" xr:uid="{00000000-0006-0000-0F00-00001301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500 kW Leistung; darunter pauschal 1.650 €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E2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4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5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E6" authorId="0" shapeId="0" xr:uid="{00000000-0006-0000-08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C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da nicht anders angegeben, Erscheinungsjahr gewählt.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nur Lastabschaltung (Werte abgelesen)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tc={B30C8BE7-5968-4CD1-8BB9-2A12F4B801C3}</author>
  </authors>
  <commentList>
    <comment ref="H22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3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</t>
        </r>
      </text>
    </comment>
    <comment ref="H26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2020</t>
        </r>
      </text>
    </comment>
    <comment ref="H27" authorId="0" shapeId="0" xr:uid="{00000000-0006-0000-0B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2020</t>
        </r>
      </text>
    </comment>
    <comment ref="A50" authorId="1" shapeId="0" xr:uid="{00000000-0006-0000-0B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A58" authorId="0" shapeId="0" xr:uid="{00000000-0006-0000-0B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9" authorId="0" shapeId="0" xr:uid="{00000000-0006-0000-0B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0" authorId="0" shapeId="0" xr:uid="{00000000-0006-0000-0B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61" authorId="0" shapeId="0" xr:uid="{00000000-0006-0000-0B00-00000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</authors>
  <commentList>
    <comment ref="K1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Extrapolation anhand Leistungen / Stromverbrauch</t>
        </r>
      </text>
    </comment>
    <comment ref="F2" authorId="0" shapeId="0" xr:uid="{00000000-0006-0000-0C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errechnet</t>
        </r>
      </text>
    </comment>
    <comment ref="H3" authorId="0" shapeId="0" xr:uid="{00000000-0006-0000-0C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Ausstattungsraten linear interpoliert (S. </t>
        </r>
      </text>
    </comment>
    <comment ref="K10" authorId="0" shapeId="0" xr:uid="{00000000-0006-0000-0C00-00000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Summe Kühl- und Gefrieranwendungen</t>
        </r>
      </text>
    </comment>
    <comment ref="E18" authorId="0" shapeId="0" xr:uid="{00000000-0006-0000-0C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G18" authorId="0" shapeId="0" xr:uid="{00000000-0006-0000-0C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fehlende Werte errechnet</t>
        </r>
      </text>
    </comment>
    <comment ref="K18" authorId="0" shapeId="0" xr:uid="{00000000-0006-0000-0C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L18" authorId="0" shapeId="0" xr:uid="{00000000-0006-0000-0C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tc={FB42DF06-10E3-4E37-A6A6-28A07FA9FB3F}</author>
    <author>tc={83B22062-F3BB-4DA9-9304-B34ED6811005}</author>
    <author>tc={942DFEEA-40BE-4C49-8C97-D68218B77F73}</author>
    <author>tc={A4755949-C1AD-47B1-BAC0-A38D452F164C}</author>
    <author>tc={C1231DC0-6E35-41C4-9083-61CD6FA3574C}</author>
    <author>tc={2B203EE6-A954-4CF2-BC3B-825A44ABAF79}</author>
    <author>tc={A04BD5AB-8B3E-4CCE-9B87-50EDB93F87D4}</author>
    <author>tc={B5B5E688-B286-4E70-A488-8EB3E9D6F2C9}</author>
    <author>jkochems</author>
    <author>tc={49C805F7-915C-46AA-A538-9F53C8ACDD93}</author>
    <author>tc={01D0519E-4C7D-43D0-8A37-679BD57C5B3C}</author>
    <author>tc={DF290441-950E-49F7-BFC0-751A668CD9A8}</author>
    <author>tc={CDD362D8-A8F6-47D3-9E42-85BE49D93285}</author>
    <author>tc={046E425C-0033-433C-A9FA-24E22D4F5D51}</author>
    <author>tc={7AAB506C-C6D4-4C60-8B40-1FA3692B7110}</author>
    <author>tc={FEBCC5B2-A179-4B75-BDFC-376CDBDC7727}</author>
    <author>tc={54BCD683-CE8E-4415-BD38-DAAA53CF374B}</author>
    <author>tc={25A7567F-FC63-434A-BE53-27BE96BFC102}</author>
    <author>tc={D9E72B01-1DA5-40BE-A92B-A9EDD41DF071}</author>
    <author>tc={C9AC1E5E-CA20-4518-A2A9-18EA93114341}</author>
    <author>tc={100795C4-C14F-40C8-85C2-01E5748A46D4}</author>
    <author>tc={4973EA7A-C0BE-4DD7-8936-C3A57A9EDD10}</author>
    <author>tc={5C44675F-8D80-46FB-8EB4-50A880E44CC4}</author>
    <author>tc={13809119-DE0E-46A4-B893-E08398126FEA}</author>
    <author>tc={F5CED530-AD75-4D0B-ABD9-E26485FEA056}</author>
  </authors>
  <commentList>
    <comment ref="A1" authorId="0" shapeId="0" xr:uid="{FB42DF06-10E3-4E37-A6A6-28A07FA9FB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</text>
    </comment>
    <comment ref="E1" authorId="1" shapeId="0" xr:uid="{83B22062-F3BB-4DA9-9304-B34ED68110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Aussagen getroffen; Annahme, dass jeweils Lastverschiebung betrachtet wird, da positive und negative Regelpotenziale ausgewiesen werden...</t>
      </text>
    </comment>
    <comment ref="H1" authorId="2" shapeId="0" xr:uid="{942DFEEA-40BE-4C49-8C97-D68218B77F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Szenarien betrachtet: MIN, REF und MAX</t>
      </text>
    </comment>
    <comment ref="R1" authorId="3" shapeId="0" xr:uid="{A4755949-C1AD-47B1-BAC0-A38D452F16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Abschätzung via Hochrechnung der Potenziale mittels Stromverbrauchsentwicklung!</t>
      </text>
    </comment>
    <comment ref="T1" authorId="4" shapeId="0" xr:uid="{C1231DC0-6E35-41C4-9083-61CD6FA357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</text>
    </comment>
    <comment ref="U1" authorId="5" shapeId="0" xr:uid="{2B203EE6-A954-4CF2-BC3B-825A44ABAF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V1" authorId="6" shapeId="0" xr:uid="{A04BD5AB-8B3E-4CCE-9B87-50EDB93F87D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W1" authorId="7" shapeId="0" xr:uid="{B5B5E688-B286-4E70-A488-8EB3E9D6F2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AD1" authorId="8" shapeId="0" xr:uid="{B53BBA2B-FEDB-435D-9A52-F75649025418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M1" authorId="9" shapeId="0" xr:uid="{49C805F7-915C-46AA-A538-9F53C8ACDD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Schaltdauern korrespondieren mit maximaler / minimaler Potenzialhöhe (Potenzial nichtlinear abnehmend mit zunehmender Schaltdauer)
Antwort:
    grobe Abschätzung von zwei (arbiträren) Stützwerten auf Diagrammen</t>
      </text>
    </comment>
    <comment ref="B2" authorId="10" shapeId="0" xr:uid="{01D0519E-4C7D-43D0-8A37-679BD57C5B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 Haushalten zu finden (S. 49)</t>
      </text>
    </comment>
    <comment ref="L3" authorId="11" shapeId="0" xr:uid="{DF290441-950E-49F7-BFC0-751A668CD9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Anzahl in Haushalten; davon 4.000 Tsd. mit zentraler elektrischer Warmwasserbereitung</t>
      </text>
    </comment>
    <comment ref="Q3" authorId="12" shapeId="0" xr:uid="{CDD362D8-A8F6-47D3-9E42-85BE49D932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(konservative) Annahme: 1/4 des Stromverbrauchs kann genutzt werden für DR</t>
      </text>
    </comment>
    <comment ref="R3" authorId="13" shapeId="0" xr:uid="{046E425C-0033-433C-A9FA-24E22D4F5D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</text>
    </comment>
    <comment ref="T3" authorId="14" shapeId="0" xr:uid="{7AAB506C-C6D4-4C60-8B40-1FA3692B71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68)</t>
      </text>
    </comment>
    <comment ref="Z3" authorId="15" shapeId="0" xr:uid="{FEBCC5B2-A179-4B75-BDFC-376CDBDC77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 (S. 69)</t>
      </text>
    </comment>
    <comment ref="B4" authorId="16" shapeId="0" xr:uid="{54BCD683-CE8E-4415-BD38-DAAA53CF37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überwiegend Industrie</t>
      </text>
    </comment>
    <comment ref="P5" authorId="17" shapeId="0" xr:uid="{25A7567F-FC63-434A-BE53-27BE96BFC1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</text>
    </comment>
    <comment ref="P6" authorId="18" shapeId="0" xr:uid="{D9E72B01-1DA5-40BE-A92B-A9EDD41DF0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</text>
    </comment>
    <comment ref="A7" authorId="19" shapeId="0" xr:uid="{C9AC1E5E-CA20-4518-A2A9-18EA931143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Kühl- und Gefriergeräte im Lebensmitteleinzelhandel</t>
      </text>
    </comment>
    <comment ref="P7" authorId="20" shapeId="0" xr:uid="{100795C4-C14F-40C8-85C2-01E5748A46D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Gesamstrombedarf Kühl- und Gefrieranwendungen; davon 18,63 bei der Lagerung in Haushalten</t>
      </text>
    </comment>
    <comment ref="A8" authorId="21" shapeId="0" xr:uid="{4973EA7A-C0BE-4DD7-8936-C3A57A9EDD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</text>
    </comment>
    <comment ref="F8" authorId="22" shapeId="0" xr:uid="{5C44675F-8D80-46FB-8EB4-50A880E44C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positive Regelleistung (S. 140)</t>
      </text>
    </comment>
    <comment ref="P8" authorId="23" shapeId="0" xr:uid="{13809119-DE0E-46A4-B893-E08398126F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Strombedarf für Umwälzpumpen in Deutschland</t>
      </text>
    </comment>
    <comment ref="A9" authorId="24" shapeId="0" xr:uid="{F5CED530-AD75-4D0B-ABD9-E26485FEA0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Sonderfall: Umwälzpumpen für Warmwasserheizungen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tc={FBF3ADD0-B56D-4DAE-8F21-CC2347C73D5C}</author>
    <author>jkochems</author>
    <author>tc={94C10CB7-65DC-4B1E-83E5-0941AF46AFE8}</author>
    <author>tc={D115012A-AA3D-402B-BF85-D767EFAA4ACC}</author>
    <author>tc={A06263FC-8A2A-435B-9472-EFF9B92A9514}</author>
  </authors>
  <commentList>
    <comment ref="A1" authorId="0" shapeId="0" xr:uid="{FBF3ADD0-B56D-4DAE-8F21-CC2347C73D5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Tabellenblatt enthält Werte, die je Prozess aggregiert dargestellt wurden (Aggregation jeweils durch Mittelwert- oder Summenbildung erfolgt -&gt; s. Aufbereitungsnotebook)</t>
      </text>
    </comment>
    <comment ref="CA1" authorId="1" shapeId="0" xr:uid="{00000000-0006-0000-12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WTT: werktags, tagsüber</t>
        </r>
      </text>
    </comment>
    <comment ref="CD1" authorId="1" shapeId="0" xr:uid="{00000000-0006-0000-12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Samstags, tagsüber</t>
        </r>
      </text>
    </comment>
    <comment ref="CG1" authorId="1" shapeId="0" xr:uid="{00000000-0006-0000-12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SFN: Sonn- und Feiertags</t>
        </r>
      </text>
    </comment>
    <comment ref="A2" authorId="1" shapeId="0" xr:uid="{00000000-0006-0000-12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Ab hier aggregierte Werte der QSTs</t>
        </r>
      </text>
    </comment>
    <comment ref="EU50" authorId="1" shapeId="0" xr:uid="{00000000-0006-0000-12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Alle Werte bereits inflationiert von 2017 auf 2018</t>
        </r>
      </text>
    </comment>
    <comment ref="A186" authorId="2" shapeId="0" xr:uid="{00000000-0006-0000-12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Behälterglas</t>
      </text>
    </comment>
    <comment ref="A202" authorId="3" shapeId="0" xr:uid="{00000000-0006-0000-12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Holzschleifer und TMP-Verfahren</t>
      </text>
    </comment>
    <comment ref="A226" authorId="4" shapeId="0" xr:uid="{00000000-0006-0000-12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Zellstoff- und Altpapieraufbereitung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tc={EE6E04F9-26E9-482D-A026-FC2281CEC518}</author>
    <author>tc={AA34A7A7-DDCC-4A71-8170-389DA35A0E2F}</author>
    <author>tc={9544F0BA-48F1-430C-B777-5EB04D213E44}</author>
    <author>tc={C1DB94E9-D1B1-43A6-BE62-0032FBE2EA36}</author>
    <author>tc={168F2958-2C35-4D6E-A9BF-27CAAFDB4F0D}</author>
    <author>jkochems</author>
    <author>tc={223D4FBC-D6B7-417C-B27A-66564245BE70}</author>
    <author>tc={34DEAD6B-52E4-4A32-B4E8-9485C64B0686}</author>
    <author>tc={3E05DEB4-FDCE-4D4C-BF20-B42C75ECB962}</author>
    <author>tc={FF23A1BB-6B37-48B5-B84E-8C79244A88FD}</author>
    <author>tc={65193C96-4AB2-4A39-8097-FBB0DBD031CE}</author>
    <author>tc={92F93B64-5FA1-4E67-A2BC-3BCCB5FFD2C4}</author>
    <author>tc={B7BBC7AE-7AAB-4E0C-BF45-2A7FE8CB16AD}</author>
  </authors>
  <commentList>
    <comment ref="A1" authorId="0" shapeId="0" xr:uid="{EE6E04F9-26E9-482D-A026-FC2281CEC5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Hinweis: Daten aus Diagrammen S. 34, 35 abgelesen!
Antwort:
    TODO: Verschneiden mit den Werten aus Apel (2012)!</t>
      </text>
    </comment>
    <comment ref="H1" authorId="1" shapeId="0" xr:uid="{AA34A7A7-DDCC-4A71-8170-389DA35A0E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 u. 36)</t>
      </text>
    </comment>
    <comment ref="I1" authorId="2" shapeId="0" xr:uid="{9544F0BA-48F1-430C-B777-5EB04D213E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J1" authorId="3" shapeId="0" xr:uid="{C1DB94E9-D1B1-43A6-BE62-0032FBE2EA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K1" authorId="4" shapeId="0" xr:uid="{168F2958-2C35-4D6E-A9BF-27CAAFDB4F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abgelesen (S. 34)</t>
      </text>
    </comment>
    <comment ref="R1" authorId="5" shapeId="0" xr:uid="{00000000-0006-0000-1A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H8" authorId="6" shapeId="0" xr:uid="{00000000-0006-0000-1A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H17" authorId="7" shapeId="0" xr:uid="{34DEAD6B-52E4-4A32-B4E8-9485C64B06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</text>
    </comment>
    <comment ref="I17" authorId="8" shapeId="0" xr:uid="{3E05DEB4-FDCE-4D4C-BF20-B42C75ECB9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</text>
    </comment>
    <comment ref="J17" authorId="9" shapeId="0" xr:uid="{FF23A1BB-6B37-48B5-B84E-8C79244A88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</text>
    </comment>
    <comment ref="K17" authorId="10" shapeId="0" xr:uid="{65193C96-4AB2-4A39-8097-FBB0DBD031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Zusammenfassung: Kühl/Gefrierkombination sowie Gefrierschrank/-truhe</t>
      </text>
    </comment>
    <comment ref="AH23" authorId="11" shapeId="0" xr:uid="{00000000-0006-0000-1A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I23" authorId="12" shapeId="0" xr:uid="{00000000-0006-0000-1A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tc={CEA1FD89-1504-4013-9A33-6737BFA3FA3D}</author>
    <author>tc={6B249502-2D9A-4EDD-8F0D-E18FF7151946}</author>
    <author>tc={850613CD-B1FE-4F8E-8640-7E0785E01F2C}</author>
    <author>tc={8BD9C0A2-F337-46DB-A0A0-CF75DD1BB350}</author>
    <author>tc={D0277F0E-3D3A-430B-809F-33E385404677}</author>
    <author>tc={0A684F61-118C-4186-A8F0-E2DFB54825EC}</author>
    <author>tc={F6F526D0-02EC-4667-B09D-E24EBE07B009}</author>
    <author>tc={4D5655EB-FF18-4EC9-949A-2D704DB1B644}</author>
    <author>tc={62EEDFFD-23DF-4882-9CC7-C48796C7089A}</author>
    <author>tc={3F765E9F-E4AB-4FF5-A6AF-217158F779A9}</author>
    <author>tc={76070A1F-64E7-454A-B26A-1A465FB2F42E}</author>
    <author>tc={67CE0A31-1EFA-4DB6-BB10-99D3C54C2789}</author>
    <author>tc={7365EF40-3031-4C27-B82E-B138B7C9FD76}</author>
    <author>tc={9396D2FB-4BE7-4226-8910-E1602C925784}</author>
    <author>tc={A1EEE7B4-D4C7-4FA5-B43E-4DA83E132365}</author>
    <author>tc={D448AF66-6203-440A-A0A6-5C6418C8B224}</author>
    <author>tc={2D554695-7E68-47FA-9B37-3549FF2111A8}</author>
    <author>tc={4F464C07-F1BF-488E-B0A5-A1B6378BCF93}</author>
    <author>tc={E17887BC-E2F7-4415-AA9A-E619BA05D0CC}</author>
    <author>tc={A412C09A-F9C0-4EA1-8446-9182E7838AEA}</author>
    <author>tc={D05C0518-1169-4D08-B0B6-136BE90DA9E6}</author>
    <author>tc={9DC8650D-8F7D-42A4-9044-9DBA02A3A53E}</author>
    <author>tc={F484E73A-8782-4642-AFDC-2CA045D83D53}</author>
    <author>tc={05E3FD7B-1E3A-41A3-B98B-C3175779CDDE}</author>
    <author>tc={65B20F49-A09B-4A29-A272-9DF6DB951849}</author>
    <author>tc={6A4833E7-379F-4F6F-B529-9AEF460D73D6}</author>
    <author>tc={A64FC9A4-252E-48E0-A5C0-82B313044CEF}</author>
    <author>tc={1E36F65A-3104-449C-B538-27CCCBFD7058}</author>
    <author>tc={7887E1AE-11FC-4685-8429-533BC863B0DE}</author>
    <author>tc={065B56C8-126F-4D8B-8A20-5628D12CE25B}</author>
    <author>tc={B04231C8-34AD-4FA5-8EFF-E03BBF0E30AD}</author>
    <author>tc={5EE1D81D-5AE0-40C7-8A96-605C6F7E1C5A}</author>
    <author>tc={A553FF40-6F33-47C3-815C-71061EDE08FD}</author>
    <author>tc={FDA1B1E1-C358-4B3D-AE39-F253E9070D39}</author>
    <author>tc={E1B032F5-B370-4C21-82B3-C7730E626F97}</author>
    <author>tc={58A425E6-C3F3-4796-90AE-C9A8C7F62F54}</author>
  </authors>
  <commentList>
    <comment ref="B1" authorId="0" shapeId="0" xr:uid="{00000000-0006-0000-0E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</text>
    </comment>
    <comment ref="S2" authorId="1" shapeId="0" xr:uid="{00000000-0006-0000-0E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</text>
    </comment>
    <comment ref="S3" authorId="2" shapeId="0" xr:uid="{00000000-0006-0000-0E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</text>
    </comment>
    <comment ref="S4" authorId="3" shapeId="0" xr:uid="{00000000-0006-0000-0E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4.100</t>
      </text>
    </comment>
    <comment ref="S5" authorId="4" shapeId="0" xr:uid="{00000000-0006-0000-0E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1.600</t>
      </text>
    </comment>
    <comment ref="S6" authorId="5" shapeId="0" xr:uid="{00000000-0006-0000-0E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</text>
    </comment>
    <comment ref="S7" authorId="6" shapeId="0" xr:uid="{00000000-0006-0000-0E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1.640</t>
      </text>
    </comment>
    <comment ref="Q8" authorId="7" shapeId="0" xr:uid="{00000000-0006-0000-0E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abgestellt auf Maximalwerte</t>
      </text>
    </comment>
    <comment ref="S8" authorId="8" shapeId="0" xr:uid="{00000000-0006-0000-0E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32.000</t>
      </text>
    </comment>
    <comment ref="S9" authorId="9" shapeId="0" xr:uid="{00000000-0006-0000-0E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16.400</t>
      </text>
    </comment>
    <comment ref="S10" authorId="10" shapeId="0" xr:uid="{00000000-0006-0000-0E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10.250</t>
      </text>
    </comment>
    <comment ref="S11" authorId="11" shapeId="0" xr:uid="{00000000-0006-0000-0E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3.400</t>
      </text>
    </comment>
    <comment ref="S12" authorId="12" shapeId="0" xr:uid="{00000000-0006-0000-0E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13.940</t>
      </text>
    </comment>
    <comment ref="S13" authorId="13" shapeId="0" xr:uid="{00000000-0006-0000-0E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27.880</t>
      </text>
    </comment>
    <comment ref="S14" authorId="14" shapeId="0" xr:uid="{00000000-0006-0000-0E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2.500</t>
      </text>
    </comment>
    <comment ref="S15" authorId="15" shapeId="0" xr:uid="{00000000-0006-0000-0E00-00001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1.281</t>
      </text>
    </comment>
    <comment ref="S16" authorId="16" shapeId="0" xr:uid="{00000000-0006-0000-0E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256</t>
      </text>
    </comment>
    <comment ref="Q17" authorId="17" shapeId="0" xr:uid="{00000000-0006-0000-0E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1.059 Vollbenutzungsstunden</t>
      </text>
    </comment>
    <comment ref="S17" authorId="18" shapeId="0" xr:uid="{00000000-0006-0000-0E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15.200</t>
      </text>
    </comment>
    <comment ref="S18" authorId="19" shapeId="0" xr:uid="{00000000-0006-0000-0E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</text>
    </comment>
    <comment ref="S19" authorId="20" shapeId="0" xr:uid="{00000000-0006-0000-0E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15.580</t>
      </text>
    </comment>
    <comment ref="S20" authorId="21" shapeId="0" xr:uid="{00000000-0006-0000-0E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2.700</t>
      </text>
    </comment>
    <comment ref="S21" authorId="22" shapeId="0" xr:uid="{00000000-0006-0000-0E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4.000</t>
      </text>
    </comment>
    <comment ref="S22" authorId="23" shapeId="0" xr:uid="{00000000-0006-0000-0E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5.400</t>
      </text>
    </comment>
    <comment ref="S23" authorId="24" shapeId="0" xr:uid="{00000000-0006-0000-0E00-00001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22.655</t>
      </text>
    </comment>
    <comment ref="S24" authorId="25" shapeId="0" xr:uid="{00000000-0006-0000-0E00-00001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21.715</t>
      </text>
    </comment>
    <comment ref="S25" authorId="26" shapeId="0" xr:uid="{00000000-0006-0000-0E00-00001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19.912</t>
      </text>
    </comment>
    <comment ref="S26" authorId="27" shapeId="0" xr:uid="{00000000-0006-0000-0E00-00001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</text>
    </comment>
    <comment ref="S27" authorId="28" shapeId="0" xr:uid="{00000000-0006-0000-0E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</text>
    </comment>
    <comment ref="S28" authorId="29" shapeId="0" xr:uid="{00000000-0006-0000-0E00-00001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1.284</t>
      </text>
    </comment>
    <comment ref="S29" authorId="30" shapeId="0" xr:uid="{00000000-0006-0000-0E00-00001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</text>
    </comment>
    <comment ref="S30" authorId="31" shapeId="0" xr:uid="{00000000-0006-0000-0E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</text>
    </comment>
    <comment ref="S31" authorId="32" shapeId="0" xr:uid="{00000000-0006-0000-0E00-00002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2.945</t>
      </text>
    </comment>
    <comment ref="S32" authorId="33" shapeId="0" xr:uid="{00000000-0006-0000-0E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</text>
    </comment>
    <comment ref="S33" authorId="34" shapeId="0" xr:uid="{00000000-0006-0000-0E00-00002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</text>
    </comment>
    <comment ref="S34" authorId="35" shapeId="0" xr:uid="{00000000-0006-0000-0E00-00002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Minimalwert: 10.781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tc={3343CC46-B642-4711-A37F-E30B4CDAEDE6}</author>
    <author>tc={20888235-6E85-4BB8-AC3B-827139F075CA}</author>
    <author>tc={6AC0FD0F-BD60-4635-9AFD-295774DE7423}</author>
  </authors>
  <commentList>
    <comment ref="X2" authorId="0" shapeId="0" xr:uid="{3343CC46-B642-4711-A37F-E30B4CDAED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</text>
    </comment>
    <comment ref="Z2" authorId="1" shapeId="0" xr:uid="{20888235-6E85-4BB8-AC3B-827139F075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offenbar Datenfehler</t>
      </text>
    </comment>
    <comment ref="A4" authorId="2" shapeId="0" xr:uid="{6AC0FD0F-BD60-4635-9AFD-295774DE74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Zell- und Holzstoffherstellung (S. 5)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tc={CC38F092-F1EC-400D-82EF-62FABF45AD3E}</author>
    <author>tc={D0D10A1D-037F-4330-BFA1-4239240AD855}</author>
    <author>tc={91878450-2B39-4430-9195-0F80744AEB00}</author>
    <author>tc={BBF38ADF-868E-4ABE-8150-31325C33D55D}</author>
    <author>tc={76F768A2-5825-4AFC-BF79-3D2BC6222FE5}</author>
    <author>tc={FD4C7762-1275-4156-A48B-82ABD30985BD}</author>
    <author>tc={D1BC916A-07F8-41CB-A895-E76FBF945AC4}</author>
    <author>tc={FACA42EA-474B-433F-AA8F-9C011F8E42A9}</author>
    <author>tc={3EDC4EFD-A5EC-4108-B1F8-BA3890ECF5A7}</author>
    <author>tc={8BCBF14E-E2DF-4C85-A606-F28153B3011E}</author>
    <author>tc={F81394D2-84E1-4177-947D-3EB42DC4875F}</author>
    <author>tc={4BB0AD5F-61E4-4D1E-A14C-0326526EE034}</author>
    <author>tc={6AEB550C-C2B9-4E81-A815-2913C0C3F5CE}</author>
    <author>tc={25C4E9D5-71E4-49A2-8CF7-35E1A942A6F8}</author>
    <author>tc={A656CD98-4594-4065-B7D3-4278699E57A4}</author>
  </authors>
  <commentList>
    <comment ref="B8" authorId="0" shapeId="0" xr:uid="{00000000-0006-0000-1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9" authorId="1" shapeId="0" xr:uid="{00000000-0006-0000-10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0" authorId="2" shapeId="0" xr:uid="{00000000-0006-0000-10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1" authorId="3" shapeId="0" xr:uid="{00000000-0006-0000-10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2" authorId="4" shapeId="0" xr:uid="{00000000-0006-0000-10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3" authorId="5" shapeId="0" xr:uid="{00000000-0006-0000-10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4" authorId="6" shapeId="0" xr:uid="{00000000-0006-0000-10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5" authorId="7" shapeId="0" xr:uid="{00000000-0006-0000-10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6" authorId="8" shapeId="0" xr:uid="{00000000-0006-0000-10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7" authorId="9" shapeId="0" xr:uid="{00000000-0006-0000-10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8" authorId="10" shapeId="0" xr:uid="{00000000-0006-0000-10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19" authorId="11" shapeId="0" xr:uid="{00000000-0006-0000-10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20" authorId="12" shapeId="0" xr:uid="{00000000-0006-0000-10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21" authorId="13" shapeId="0" xr:uid="{00000000-0006-0000-10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  <comment ref="B22" authorId="14" shapeId="0" xr:uid="{00000000-0006-0000-10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+GHD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tc={7B5332E6-8577-4F18-8BAB-CF0399BB62AB}</author>
  </authors>
  <commentList>
    <comment ref="A34" authorId="0" shapeId="0" xr:uid="{00000000-0006-0000-1D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tc={BA910BFF-6BA7-4440-85D8-3F38862DF00B}</author>
  </authors>
  <commentList>
    <comment ref="A34" authorId="0" shapeId="0" xr:uid="{BA910BFF-6BA7-4440-85D8-3F38862DF0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tc={C0BAED97-AB2D-413D-AD6B-149E9186FC44}</author>
  </authors>
  <commentList>
    <comment ref="A34" authorId="0" shapeId="0" xr:uid="{C0BAED97-AB2D-413D-AD6B-149E9186FC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Waschmaschin, Spülmaschine, Trockner</t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tc={71F5162E-A185-4405-AC55-1222C05701A0}</author>
    <author>tc={491EB1E2-BDE1-4324-922D-DB218AFA07E8}</author>
  </authors>
  <commentList>
    <comment ref="B1" authorId="0" shapeId="0" xr:uid="{71F5162E-A185-4405-AC55-1222C05701A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matplotlib documentation: https://matplotlib.org/3.1.0/gallery/color/named_colors.html</t>
      </text>
    </comment>
    <comment ref="A33" authorId="1" shapeId="0" xr:uid="{491EB1E2-BDE1-4324-922D-DB218AFA07E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Waschmaschine, Spülmaschine, Trockner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tc={5185CF36-782A-4B45-9DD3-14EE3199423D}</author>
    <author>tc={A4D23BA3-8718-43B5-9741-2BD3224DF571}</author>
    <author>tc={053F4F42-AE94-44F3-9BC8-C50A19A6E3EB}</author>
    <author>tc={212E9F89-28EA-4E48-97B1-015E2B1D4CB8}</author>
  </authors>
  <commentList>
    <comment ref="O1" authorId="0" shapeId="0" xr:uid="{00000000-0006-0000-13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1" shapeId="0" xr:uid="{00000000-0006-0000-13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Celina; kritisch prüfen!</t>
      </text>
    </comment>
    <comment ref="Y7" authorId="2" shapeId="0" xr:uid="{00000000-0006-0000-13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kurze Pausen (Celina)</t>
      </text>
    </comment>
    <comment ref="W10" authorId="3" shapeId="0" xr:uid="{00000000-0006-0000-13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E11" authorId="4" shapeId="0" xr:uid="{00000000-0006-0000-13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vorziehbar (Celina)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tc={81887FEC-DDC5-418E-9BB2-3F6F3CB6CB16}</author>
    <author>tc={D04B2933-B873-48C3-893E-4CF2A541F51A}</author>
    <author>tc={9ADCAFC6-26CA-43E4-9ED5-1FFE2003EF8D}</author>
    <author>tc={FB37EDFD-0A01-421E-AC89-ED380B2B59DD}</author>
    <author>tc={FE324868-3EED-419B-854F-53AB56A9F95A}</author>
    <author>tc={F82E82CF-082C-4DBE-8805-BAF21B1C1F2B}</author>
    <author>tc={D7206562-633D-4495-AC3F-CAFAA2D72D6D}</author>
    <author>tc={F0057087-7EC1-4BE9-959D-15A7A4FFF81C}</author>
    <author>tc={644BBC7F-A37D-404E-93E0-421C4E06DB1B}</author>
    <author>tc={E9F9D5A6-706A-4C60-9A9D-3E04F013C22C}</author>
    <author>tc={F100EA9D-87E1-4261-BB6B-BBDC71DAE940}</author>
    <author>tc={4DDF85CE-5F56-44FC-8504-04DF55CA0E23}</author>
    <author>tc={4AA08DEE-9468-403B-84DA-B4E71848E299}</author>
    <author>tc={36768E8C-A75E-49FD-8134-A67AE851F97E}</author>
    <author>tc={3D5AFC60-A394-4B3E-AAC1-A09B896092DE}</author>
    <author>tc={0A570BFA-02B9-4ECB-8F92-F7D854791896}</author>
    <author>tc={FC2F993C-CA62-4147-9590-95D9B07BE144}</author>
    <author>tc={E0016CF1-9A91-49E1-BE01-2C1FD7FB5B6A}</author>
    <author>tc={15A83F11-EDF5-4903-BD8F-68E05957AB4C}</author>
    <author>tc={791838BC-5F30-4E94-9AF3-E8F90DF06043}</author>
    <author>tc={B40DEBB1-8615-4C86-92DD-797A31200019}</author>
    <author>tc={CA537709-0A0D-4EE4-ACD0-D67FCF091BC8}</author>
    <author>tc={7B251C24-7CC9-4873-AE68-55B6104A52E0}</author>
    <author>tc={F8DE9911-E9D2-45CD-8938-AE9884848014}</author>
    <author>tc={5976597A-677B-44BF-BDFB-FD92873DE3B1}</author>
    <author>tc={4AC5E621-505E-479E-AA32-6F1A1A42009C}</author>
    <author>tc={1A23B923-CBAC-458C-A07D-8B06BD7F8E81}</author>
    <author>tc={DA5059DB-65DB-4A6E-B76B-91AFF9180B3B}</author>
    <author>tc={06F80E9A-F362-4962-8FA4-F3A2611228F9}</author>
    <author>tc={AF96A984-A1A3-4DEC-B3E0-A889205CBEDC}</author>
    <author>tc={1583A8C4-936D-400B-9362-7012ABE1D904}</author>
    <author>tc={38A6B47D-4738-4615-B4B0-4E4E5E45377F}</author>
    <author>tc={CF070B4E-C835-4898-A896-A2839AE9D649}</author>
    <author>tc={25D6FDD9-C8BB-4509-95E5-15E6B95AA34E}</author>
    <author>tc={C53ED492-2D6C-4728-BE2D-4CB41A0F6BC9}</author>
    <author>tc={3BADFFF8-34F5-4370-AD2F-D0F826B17644}</author>
  </authors>
  <commentList>
    <comment ref="S1" authorId="0" shapeId="0" xr:uid="{00000000-0006-0000-15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" authorId="1" shapeId="0" xr:uid="{81887FEC-DDC5-418E-9BB2-3F6F3CB6CB1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V2" authorId="2" shapeId="0" xr:uid="{D04B2933-B873-48C3-893E-4CF2A541F5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</text>
    </comment>
    <comment ref="AW2" authorId="3" shapeId="0" xr:uid="{9ADCAFC6-26CA-43E4-9ED5-1FFE2003EF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</text>
    </comment>
    <comment ref="D3" authorId="4" shapeId="0" xr:uid="{FB37EDFD-0A01-421E-AC89-ED380B2B59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4" authorId="5" shapeId="0" xr:uid="{FE324868-3EED-419B-854F-53AB56A9F9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G4" authorId="6" shapeId="0" xr:uid="{F82E82CF-082C-4DBE-8805-BAF21B1C1F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2007</t>
      </text>
    </comment>
    <comment ref="S4" authorId="7" shapeId="0" xr:uid="{D7206562-633D-4495-AC3F-CAFAA2D72D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+/- 10 %</t>
      </text>
    </comment>
    <comment ref="AV4" authorId="8" shapeId="0" xr:uid="{F0057087-7EC1-4BE9-959D-15A7A4FFF8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</text>
    </comment>
    <comment ref="AW4" authorId="9" shapeId="0" xr:uid="{644BBC7F-A37D-404E-93E0-421C4E06DB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</text>
    </comment>
    <comment ref="D5" authorId="10" shapeId="0" xr:uid="{E9F9D5A6-706A-4C60-9A9D-3E04F013C2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6" authorId="11" shapeId="0" xr:uid="{F100EA9D-87E1-4261-BB6B-BBDC71DAE9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7" authorId="12" shapeId="0" xr:uid="{4DDF85CE-5F56-44FC-8504-04DF55CA0E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8" authorId="13" shapeId="0" xr:uid="{4AA08DEE-9468-403B-84DA-B4E71848E2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Recycling-Industrie; Fallbeispiele für Hochrechnung: n = 2</t>
      </text>
    </comment>
    <comment ref="D8" authorId="14" shapeId="0" xr:uid="{36768E8C-A75E-49FD-8134-A67AE851F9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V8" authorId="15" shapeId="0" xr:uid="{3D5AFC60-A394-4B3E-AAC1-A09B896092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</text>
    </comment>
    <comment ref="AW8" authorId="16" shapeId="0" xr:uid="{0A570BFA-02B9-4ECB-8F92-F7D8547918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</text>
    </comment>
    <comment ref="D9" authorId="17" shapeId="0" xr:uid="{FC2F993C-CA62-4147-9590-95D9B07BE1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10" authorId="18" shapeId="0" xr:uid="{E0016CF1-9A91-49E1-BE01-2C1FD7FB5B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O10" authorId="19" shapeId="0" xr:uid="{00000000-0006-0000-15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Lara</t>
      </text>
    </comment>
    <comment ref="D11" authorId="20" shapeId="0" xr:uid="{791838BC-5F30-4E94-9AF3-E8F90DF060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12" authorId="21" shapeId="0" xr:uid="{B40DEBB1-8615-4C86-92DD-797A312000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13" authorId="22" shapeId="0" xr:uid="{CA537709-0A0D-4EE4-ACD0-D67FCF091B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D14" authorId="23" shapeId="0" xr:uid="{7B251C24-7CC9-4873-AE68-55B6104A52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15" authorId="24" shapeId="0" xr:uid="{F8DE9911-E9D2-45CD-8938-AE98848480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2</t>
      </text>
    </comment>
    <comment ref="D15" authorId="25" shapeId="0" xr:uid="{5976597A-677B-44BF-BDFB-FD92873DE3B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V15" authorId="26" shapeId="0" xr:uid="{4AC5E621-505E-479E-AA32-6F1A1A4200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</text>
    </comment>
    <comment ref="AW15" authorId="27" shapeId="0" xr:uid="{1A23B923-CBAC-458C-A07D-8B06BD7F8E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</text>
    </comment>
    <comment ref="A16" authorId="28" shapeId="0" xr:uid="{DA5059DB-65DB-4A6E-B76B-91AFF9180B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Beleuchtung im Gartenbau; Fallbeispiele für Hochrechnung: n = 2</t>
      </text>
    </comment>
    <comment ref="D16" authorId="29" shapeId="0" xr:uid="{06F80E9A-F362-4962-8FA4-F3A2611228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M16" authorId="30" shapeId="0" xr:uid="{AF96A984-A1A3-4DEC-B3E0-A889205CBE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mehrere Tage...; Annahme für Fallbeispiel bei 2 Tagen</t>
      </text>
    </comment>
    <comment ref="AP16" authorId="31" shapeId="0" xr:uid="{1583A8C4-936D-400B-9362-7012ABE1D9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Erfolgt tatsächlich nachts eine Beleuchtung?! Ist dies nicht schädlich für Pflanzen?</t>
      </text>
    </comment>
    <comment ref="AQ16" authorId="32" shapeId="0" xr:uid="{38A6B47D-4738-4615-B4B0-4E4E5E45377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innerhalb von 2 Tagen einmal schaltbar</t>
      </text>
    </comment>
    <comment ref="A17" authorId="33" shapeId="0" xr:uid="{CF070B4E-C835-4898-A896-A2839AE9D6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Fallbeispiele für Hochrechnung: n = 4</t>
      </text>
    </comment>
    <comment ref="D17" authorId="34" shapeId="0" xr:uid="{25D6FDD9-C8BB-4509-95E5-15E6B95AA34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explizit angegeben, aber implizit ableitbar</t>
      </text>
    </comment>
    <comment ref="AV17" authorId="35" shapeId="0" xr:uid="{C53ED492-2D6C-4728-BE2D-4CB41A0F6B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I: Personalkosten umgelegt auf Aktivierungen</t>
      </text>
    </comment>
    <comment ref="AW17" authorId="36" shapeId="0" xr:uid="{3BADFFF8-34F5-4370-AD2F-D0F826B176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Aktivierungskosten II: VOLL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jkochems</author>
    <author>tc={87FAC640-56F2-4033-B588-A566BBE1139A}</author>
    <author>tc={085364D3-7CFF-4717-BDBF-43D2A01089E4}</author>
    <author>tc={085364D3-7CFF-4718-BDBF-43D2A01089E4}</author>
    <author>tc={B30C8BE7-5968-4CCF-8BB9-2A12F4B801C3}</author>
    <author>tc={19CD1575-8317-4227-B5F4-DA834BE63447}</author>
    <author>tc={1BFB4C6D-6867-441C-9189-60A9B5366CBE}</author>
    <author>tc={B4E0E783-EC0A-4D10-B330-1010A79C5B13}</author>
    <author>tc={26B66002-3AD0-41BF-866F-17FFE4839BB6}</author>
    <author>tc={26B66002-3AD0-41C0-866F-17FFE4839BB6}</author>
    <author>tc={26B66002-3AD0-41C1-866F-17FFE4839BB6}</author>
    <author>tc={26B66002-3AD0-41C2-866F-17FFE4839BB6}</author>
    <author>tc={26B66002-3AD0-41C3-866F-17FFE4839BB6}</author>
    <author>tc={26B66002-3AD0-41C4-866F-17FFE4839BB6}</author>
    <author>tc={26B66002-3AD0-41C5-866F-17FFE4839BB6}</author>
    <author>tc={26B66002-3AD0-41C6-866F-17FFE4839BB6}</author>
    <author>tc={26B66002-3AD0-41C7-866F-17FFE4839BB6}</author>
    <author>tc={26B66002-3AD0-41C8-866F-17FFE4839BB6}</author>
    <author>tc={26B66002-3AD0-41C9-866F-17FFE4839BB6}</author>
    <author>tc={26B66002-3AD0-41CA-866F-17FFE4839BB6}</author>
  </authors>
  <commentList>
    <comment ref="J1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Berechnungen s. gesondertes Tabellenblatt; Werte der Industrie für Gesamteuropa!</t>
        </r>
      </text>
    </comment>
    <comment ref="O1" authorId="0" shapeId="0" xr:uid="{00000000-0006-0000-0900-00000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Skalierung über StV-Änderung</t>
        </r>
      </text>
    </comment>
    <comment ref="AB1" authorId="0" shapeId="0" xr:uid="{00000000-0006-0000-0900-00000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Angaben im Text bezogen auf gesamtes Untersuchungsgebiet (EU!)</t>
        </r>
      </text>
    </comment>
    <comment ref="AF1" authorId="1" shapeId="0" xr:uid="{00000000-0006-0000-09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Wirkungsgrad sinkt mit Länge der Aktivierung.</t>
      </text>
    </comment>
    <comment ref="F2" authorId="0" shapeId="0" xr:uid="{00000000-0006-0000-0900-00000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 prüfen!</t>
        </r>
      </text>
    </comment>
    <comment ref="J2" authorId="0" shapeId="0" xr:uid="{00000000-0006-0000-0900-00000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O3" authorId="0" shapeId="0" xr:uid="{00000000-0006-0000-0900-00000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Potenziale für 2020!</t>
        </r>
      </text>
    </comment>
    <comment ref="J6" authorId="0" shapeId="0" xr:uid="{00000000-0006-0000-0900-00000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U6" authorId="2" shapeId="0" xr:uid="{00000000-0006-0000-09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</text>
    </comment>
    <comment ref="W6" authorId="3" shapeId="0" xr:uid="{00000000-0006-0000-09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arithmetisches Mittel über Stromverbrauchsanteile von Membran- und Amalgamverfahren</t>
      </text>
    </comment>
    <comment ref="A8" authorId="0" shapeId="0" xr:uid="{00000000-0006-0000-0900-00000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bis 2030 komplette Umstellung auf Membranverfahren</t>
        </r>
      </text>
    </comment>
    <comment ref="J10" authorId="0" shapeId="0" xr:uid="{00000000-0006-0000-0900-00000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4" authorId="0" shapeId="0" xr:uid="{00000000-0006-0000-0900-00000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18" authorId="0" shapeId="0" xr:uid="{00000000-0006-0000-0900-00000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AP18" authorId="0" shapeId="0" xr:uid="{00000000-0006-0000-0900-00000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4 / 12 / 16 / 36 Stunden</t>
        </r>
      </text>
    </comment>
    <comment ref="J22" authorId="0" shapeId="0" xr:uid="{00000000-0006-0000-0900-00001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26" authorId="0" shapeId="0" xr:uid="{00000000-0006-0000-0900-00001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0" authorId="0" shapeId="0" xr:uid="{00000000-0006-0000-0900-00001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O32" authorId="0" shapeId="0" xr:uid="{00000000-0006-0000-0900-00001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Zusammensetzung Stahlindustrie verändert</t>
        </r>
      </text>
    </comment>
    <comment ref="O33" authorId="0" shapeId="0" xr:uid="{00000000-0006-0000-0900-00001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Zusammensetzung Stahlindustrie verändert</t>
        </r>
      </text>
    </comment>
    <comment ref="J34" authorId="0" shapeId="0" xr:uid="{00000000-0006-0000-0900-00001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38" authorId="0" shapeId="0" xr:uid="{00000000-0006-0000-0900-00001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J42" authorId="0" shapeId="0" xr:uid="{00000000-0006-0000-0900-00001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Strombedarf in kWh/t * Produktionskapazität in Mt</t>
        </r>
      </text>
    </comment>
    <comment ref="W46" authorId="0" shapeId="0" xr:uid="{00000000-0006-0000-0900-00001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6" authorId="0" shapeId="0" xr:uid="{00000000-0006-0000-0900-00001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P46" authorId="0" shapeId="0" xr:uid="{00000000-0006-0000-0900-00001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Angabe S. 175: Vorziehen / Verzögern 2 / 6 Stunden</t>
        </r>
      </text>
    </comment>
    <comment ref="AX46" authorId="0" shapeId="0" xr:uid="{00000000-0006-0000-0900-00001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195: kein Jahreslimit</t>
        </r>
      </text>
    </comment>
    <comment ref="W47" authorId="0" shapeId="0" xr:uid="{00000000-0006-0000-0900-00001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7" authorId="0" shapeId="0" xr:uid="{00000000-0006-0000-0900-00001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W48" authorId="0" shapeId="0" xr:uid="{00000000-0006-0000-0900-00001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8" authorId="0" shapeId="0" xr:uid="{00000000-0006-0000-0900-00001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W49" authorId="0" shapeId="0" xr:uid="{00000000-0006-0000-0900-00002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60 %</t>
        </r>
      </text>
    </comment>
    <comment ref="X49" authorId="0" shapeId="0" xr:uid="{00000000-0006-0000-0900-00002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100 %</t>
        </r>
      </text>
    </comment>
    <comment ref="A50" authorId="4" shapeId="0" xr:uid="{00000000-0006-0000-0900-00002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X50" authorId="0" shapeId="0" xr:uid="{00000000-0006-0000-0900-00002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X50" authorId="0" shapeId="0" xr:uid="{00000000-0006-0000-0900-00002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BE50" authorId="5" shapeId="0" xr:uid="{00000000-0006-0000-0900-00002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</text>
    </comment>
    <comment ref="X51" authorId="0" shapeId="0" xr:uid="{00000000-0006-0000-0900-00002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X52" authorId="0" shapeId="0" xr:uid="{00000000-0006-0000-0900-00002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X53" authorId="0" shapeId="0" xr:uid="{00000000-0006-0000-0900-00002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Laut Scholz et al. 2014 90 %</t>
        </r>
      </text>
    </comment>
    <comment ref="A54" authorId="0" shapeId="0" xr:uid="{00000000-0006-0000-0900-00002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J54" authorId="0" shapeId="0" xr:uid="{00000000-0006-0000-0900-00002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Aussage in Anhang A-1: Gesamtverbrauch GHD 2010 136 TWh; lt. Tabelle auf S. 54 Gesamtstrombedarf für gesamtes Untersuchungsgebiet</t>
        </r>
      </text>
    </comment>
    <comment ref="N54" authorId="0" shapeId="0" xr:uid="{00000000-0006-0000-0900-00002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55" authorId="0" shapeId="0" xr:uid="{00000000-0006-0000-0900-00002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6" authorId="0" shapeId="0" xr:uid="{00000000-0006-0000-0900-00002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A57" authorId="0" shapeId="0" xr:uid="{00000000-0006-0000-0900-00002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Kühlung Handel bei Scholz et al. 2014</t>
        </r>
      </text>
    </comment>
    <comment ref="N66" authorId="0" shapeId="0" xr:uid="{00000000-0006-0000-0900-00002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Y74" authorId="0" shapeId="0" xr:uid="{00000000-0006-0000-0900-00003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AH74" authorId="0" shapeId="0" xr:uid="{00000000-0006-0000-0900-00003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R74" authorId="0" shapeId="0" xr:uid="{00000000-0006-0000-0900-00003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diskrete Stufen: 4, 8, 12</t>
        </r>
      </text>
    </comment>
    <comment ref="AX74" authorId="0" shapeId="0" xr:uid="{00000000-0006-0000-0900-00003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Jahreslimit</t>
        </r>
      </text>
    </comment>
    <comment ref="AH75" authorId="0" shapeId="0" xr:uid="{00000000-0006-0000-0900-00003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6" authorId="0" shapeId="0" xr:uid="{00000000-0006-0000-0900-00003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7" authorId="0" shapeId="0" xr:uid="{00000000-0006-0000-0900-00003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Y78" authorId="0" shapeId="0" xr:uid="{00000000-0006-0000-0900-00003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eigene Annahme (Mittelwert)</t>
        </r>
      </text>
    </comment>
    <comment ref="AH78" authorId="0" shapeId="0" xr:uid="{00000000-0006-0000-0900-000038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79" authorId="0" shapeId="0" xr:uid="{00000000-0006-0000-0900-00003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80" authorId="0" shapeId="0" xr:uid="{00000000-0006-0000-0900-00003A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81" authorId="0" shapeId="0" xr:uid="{00000000-0006-0000-0900-00003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J90" authorId="0" shapeId="0" xr:uid="{00000000-0006-0000-0900-00003C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Haushaltsstromverbrauch mit ca. 400 TWh/a 2010 lt. S. 55 -&gt; bezogen auf gesamtes Untersuchungsgebiet EU!</t>
        </r>
      </text>
    </comment>
    <comment ref="BE90" authorId="6" shapeId="0" xr:uid="{00000000-0006-0000-0900-00003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3 %</t>
      </text>
    </comment>
    <comment ref="M91" authorId="7" shapeId="0" xr:uid="{00000000-0006-0000-0900-00003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Überprüfen; Werte Celina</t>
      </text>
    </comment>
    <comment ref="O91" authorId="0" shapeId="0" xr:uid="{00000000-0006-0000-0900-00003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O92" authorId="0" shapeId="0" xr:uid="{00000000-0006-0000-0900-00004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O93" authorId="0" shapeId="0" xr:uid="{00000000-0006-0000-0900-00004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Unplausibilität? Reduktion kompletter Leistungsbestand?</t>
        </r>
      </text>
    </comment>
    <comment ref="N98" authorId="0" shapeId="0" xr:uid="{00000000-0006-0000-0900-00004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2010 z.T. unplausibel bzw. deutliche Abweichung gg. der Werte aus Scholz et al. 2014</t>
        </r>
      </text>
    </comment>
    <comment ref="R98" authorId="0" shapeId="0" xr:uid="{00000000-0006-0000-0900-00004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Werte GHD 2010 z.T. unplausibel bzw. deutliche Abweichungen gg. der Ergebnisse aus Scholz et al. 2014</t>
        </r>
      </text>
    </comment>
    <comment ref="AJ98" authorId="0" shapeId="0" xr:uid="{00000000-0006-0000-0900-00004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M98" authorId="0" shapeId="0" xr:uid="{00000000-0006-0000-0900-00004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bezogen auf einzelne Anwendung?</t>
        </r>
      </text>
    </comment>
    <comment ref="AR98" authorId="8" shapeId="0" xr:uid="{00000000-0006-0000-0900-00004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98" authorId="0" shapeId="0" xr:uid="{00000000-0006-0000-0900-00004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99" authorId="9" shapeId="0" xr:uid="{00000000-0006-0000-0900-00004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99" authorId="0" shapeId="0" xr:uid="{00000000-0006-0000-0900-00004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0" authorId="10" shapeId="0" xr:uid="{00000000-0006-0000-0900-00004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0" authorId="0" shapeId="0" xr:uid="{00000000-0006-0000-0900-00004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1" authorId="11" shapeId="0" xr:uid="{00000000-0006-0000-0900-00004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1" authorId="0" shapeId="0" xr:uid="{00000000-0006-0000-0900-00004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2" authorId="0" shapeId="0" xr:uid="{00000000-0006-0000-0900-00004E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R102" authorId="12" shapeId="0" xr:uid="{00000000-0006-0000-0900-00004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2" authorId="0" shapeId="0" xr:uid="{00000000-0006-0000-0900-00005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3" authorId="13" shapeId="0" xr:uid="{00000000-0006-0000-0900-00005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3" authorId="0" shapeId="0" xr:uid="{00000000-0006-0000-0900-00005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4" authorId="14" shapeId="0" xr:uid="{00000000-0006-0000-0900-00005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4" authorId="0" shapeId="0" xr:uid="{00000000-0006-0000-0900-00005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5" authorId="15" shapeId="0" xr:uid="{00000000-0006-0000-0900-00005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5" authorId="0" shapeId="0" xr:uid="{00000000-0006-0000-0900-00005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N106" authorId="0" shapeId="0" xr:uid="{00000000-0006-0000-0900-00005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Wert unplausibel</t>
        </r>
      </text>
    </comment>
    <comment ref="AR106" authorId="16" shapeId="0" xr:uid="{00000000-0006-0000-0900-00005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6" authorId="0" shapeId="0" xr:uid="{00000000-0006-0000-0900-000059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7" authorId="17" shapeId="0" xr:uid="{00000000-0006-0000-0900-00005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7" authorId="0" shapeId="0" xr:uid="{00000000-0006-0000-0900-00005B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8" authorId="18" shapeId="0" xr:uid="{00000000-0006-0000-0900-00005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8" authorId="0" shapeId="0" xr:uid="{00000000-0006-0000-0900-00005D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R109" authorId="19" shapeId="0" xr:uid="{00000000-0006-0000-0900-00005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Celina</t>
      </text>
    </comment>
    <comment ref="AX109" authorId="0" shapeId="0" xr:uid="{00000000-0006-0000-0900-00005F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kein Abruflimit</t>
        </r>
      </text>
    </comment>
    <comment ref="AH114" authorId="0" shapeId="0" xr:uid="{00000000-0006-0000-0900-000060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5" authorId="0" shapeId="0" xr:uid="{00000000-0006-0000-0900-000061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6" authorId="0" shapeId="0" xr:uid="{00000000-0006-0000-0900-000062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7" authorId="0" shapeId="0" xr:uid="{00000000-0006-0000-0900-000063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8" authorId="0" shapeId="0" xr:uid="{00000000-0006-0000-0900-000064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19" authorId="0" shapeId="0" xr:uid="{00000000-0006-0000-0900-000065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20" authorId="0" shapeId="0" xr:uid="{00000000-0006-0000-0900-000066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  <comment ref="AH121" authorId="0" shapeId="0" xr:uid="{00000000-0006-0000-0900-000067000000}">
      <text>
        <r>
          <rPr>
            <b/>
            <sz val="9"/>
            <color indexed="81"/>
            <rFont val="Segoe UI"/>
            <family val="2"/>
          </rPr>
          <t>jkochems:</t>
        </r>
        <r>
          <rPr>
            <sz val="9"/>
            <color indexed="81"/>
            <rFont val="Segoe UI"/>
            <family val="2"/>
          </rPr>
          <t xml:space="preserve">
S. 175: diskrete Stufen: 95 %, 96 %, 97%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tc={885E4A94-FB6A-41DE-B30D-9B9547517552}</author>
    <author>tc={67001094-AC4E-4496-B794-54322D685FA1}</author>
    <author>tc={A523BF2E-E4AA-407F-9BB4-C51E938A9162}</author>
    <author>tc={D1269D35-AE27-4571-AEE7-DE054EEEB92E}</author>
    <author>tc={E31ADA97-82D8-4606-96A3-FC11B193DD12}</author>
  </authors>
  <commentList>
    <comment ref="W1" authorId="0" shapeId="0" xr:uid="{885E4A94-FB6A-41DE-B30D-9B95475175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Werte scheinen unplausibel; ggf. andere Interpretation des flexiblen Anteils / Anteils an den Energiemärkten</t>
      </text>
    </comment>
    <comment ref="B20" authorId="1" shapeId="0" xr:uid="{67001094-AC4E-4496-B794-54322D685FA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</text>
    </comment>
    <comment ref="B21" authorId="2" shapeId="0" xr:uid="{A523BF2E-E4AA-407F-9BB4-C51E938A91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und Haushalte!</t>
      </text>
    </comment>
    <comment ref="A22" authorId="3" shapeId="0" xr:uid="{D1269D35-AE27-4571-AEE7-DE054EEEB92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</text>
    </comment>
    <comment ref="A23" authorId="4" shapeId="0" xr:uid="{E31ADA97-82D8-4606-96A3-FC11B193DD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Gesamtheit aller Industrieprozesse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tc={253CB2AB-FA7A-47C9-ACB8-E01B36106653}</author>
    <author>tc={3E208A53-E842-47B0-B1A6-BEBA4D3AEF51}</author>
    <author>tc={2A946C5C-A7E6-462B-87B4-BE6F256A9450}</author>
    <author>tc={8EE90534-19EF-4D64-A5D1-75257E336028}</author>
  </authors>
  <commentList>
    <comment ref="B1" authorId="0" shapeId="0" xr:uid="{253CB2AB-FA7A-47C9-ACB8-E01B361066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eine gesonderte Darstellung der Potenziale für den Industriesektor wird verzichtet, da diese aus Buber et al. (2013) übernommen wurden und bereits dort aufgeführt werden.</t>
      </text>
    </comment>
    <comment ref="J1" authorId="1" shapeId="0" xr:uid="{3E208A53-E842-47B0-B1A6-BEBA4D3AEF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Potenziale ausgewiesen</t>
      </text>
    </comment>
    <comment ref="N1" authorId="2" shapeId="0" xr:uid="{2A946C5C-A7E6-462B-87B4-BE6F256A945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Spezifizierung, daher Annahme, dass durchschnittliche Werte ausgewiesen</t>
      </text>
    </comment>
    <comment ref="AQ1" authorId="3" shapeId="0" xr:uid="{8EE90534-19EF-4D64-A5D1-75257E3360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exklusive Stromkosten!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tc={CB5E755F-AF9C-4DAA-9177-59F730B36FD1}</author>
    <author>tc={69437706-E979-4FB6-BB3C-EB2D9ECD0FB7}</author>
    <author>tc={6409B205-9A19-4EA8-AA61-EEC3CEA4C07F}</author>
    <author>tc={8FCA4682-7310-41E2-8636-94041655F8C4}</author>
    <author>tc={05F84056-7F2F-493B-8AA6-0B3215129AC6}</author>
    <author>tc={B6A389C3-BBD2-45B5-99DD-F7078C62EC11}</author>
    <author>tc={5F4ED064-43D6-404E-BE2A-73994E7F6479}</author>
    <author>tc={0696EF0F-FE16-49F6-AEF7-25BC6EBFC74D}</author>
    <author>tc={9A0DEA94-BB06-49EB-997C-F207749CC8FE}</author>
    <author>tc={E1A9EB2E-AE2E-4835-B6B9-C81B71FF638C}</author>
    <author>tc={14F7FD4E-E6C0-4467-8D55-6EC233EBA815}</author>
    <author>tc={51A1D957-53C7-405E-8C16-11C79DBBBC27}</author>
    <author>tc={BA41DB57-77BF-4891-B726-BFAF3E6D9AA8}</author>
    <author>tc={E0B66563-4F24-40B3-A346-24F1F5E73B97}</author>
    <author>tc={3B60D020-86E7-4A07-BE56-8F07DA322E62}</author>
    <author>tc={9A712665-7E30-4086-BCCD-65F5F39FCE8A}</author>
    <author>tc={166AB3CD-3AA9-4B13-B2CC-709B138CEBB2}</author>
    <author>tc={8D2688E9-289E-4ABF-82E7-FA296F0FA476}</author>
    <author>tc={241E3776-3ABF-474E-8D98-46F8ABBED4B3}</author>
    <author>tc={C1C5A97C-19E1-4113-AAE9-8F97EF60CCC5}</author>
    <author>tc={04336AA6-67EB-4446-9343-A1FA53A674B0}</author>
    <author>tc={0207F2BB-C7FA-4CAE-9756-9E252FBDB838}</author>
    <author>tc={4508892D-E1C5-4124-A383-DC28C461D2F0}</author>
    <author>tc={4FB65C6F-2931-482F-997A-8B3586AC7E81}</author>
    <author>tc={FB4BB279-A819-480F-ACC1-89842F953617}</author>
    <author>tc={1DA0D4E2-AE2A-44FF-B659-4A6D371C2BDC}</author>
    <author>tc={4E1E4F47-CAF7-4A92-B41B-F63126AEE779}</author>
    <author>tc={4F399106-F420-449F-A9AD-EDF6649D8E15}</author>
    <author>tc={880A00B7-5B16-40F5-B814-A2CC483594B6}</author>
    <author>tc={FAAC014A-B97F-42D8-AAC8-4559F54259CA}</author>
    <author>tc={D28FD05D-2F10-4C5F-81B3-D5DB1B8C292B}</author>
    <author>tc={71C967DF-0DE2-482B-932F-06B0D48AA2CD}</author>
    <author>tc={14440FB0-1DDC-4692-8CB4-5FBBB70A1B0F}</author>
    <author>tc={92F0A39B-0AA8-4A6A-90E5-173AFEC9B410}</author>
    <author>tc={FAD28DF2-1480-44A6-93F9-E37194264D8B}</author>
    <author>tc={79354FF0-EA1B-4A5A-8DD3-B6D9145FF845}</author>
    <author>tc={B6E7B2D1-C1A8-4842-9563-8F43D021EED6}</author>
    <author>tc={4E64D677-A9A3-40AB-B7F9-EF708AE2268E}</author>
    <author>tc={FD515933-2B32-4A00-9CC3-15E0CFD54C7A}</author>
    <author>tc={1073DAB8-6914-4A02-AC3B-6DA75D918D49}</author>
    <author>tc={962CC2FC-B47A-41D1-9F50-AD8561F7129E}</author>
    <author>tc={4678BD87-FE9F-4620-A2C8-7BF2C0A758DB}</author>
  </authors>
  <commentList>
    <comment ref="Z2" authorId="0" shapeId="0" xr:uid="{00000000-0006-0000-11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AT2" authorId="1" shapeId="0" xr:uid="{00000000-0006-0000-11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</t>
      </text>
    </comment>
    <comment ref="Z3" authorId="2" shapeId="0" xr:uid="{00000000-0006-0000-11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4" authorId="3" shapeId="0" xr:uid="{00000000-0006-0000-11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5" authorId="4" shapeId="0" xr:uid="{00000000-0006-0000-11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6" authorId="5" shapeId="0" xr:uid="{00000000-0006-0000-11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AU6" authorId="6" shapeId="0" xr:uid="{00000000-0006-0000-11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Kosten resultierend aus Wirkungsgradeinbußen; nur für den Abruf negativer Leistung</t>
      </text>
    </comment>
    <comment ref="Z7" authorId="7" shapeId="0" xr:uid="{00000000-0006-0000-1100-00000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8" authorId="8" shapeId="0" xr:uid="{00000000-0006-0000-11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9" authorId="9" shapeId="0" xr:uid="{00000000-0006-0000-11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0" authorId="10" shapeId="0" xr:uid="{00000000-0006-0000-1100-00000B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1" authorId="11" shapeId="0" xr:uid="{00000000-0006-0000-1100-00000C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2" authorId="12" shapeId="0" xr:uid="{00000000-0006-0000-1100-00000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3" authorId="13" shapeId="0" xr:uid="{00000000-0006-0000-1100-00000E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4" authorId="14" shapeId="0" xr:uid="{00000000-0006-0000-1100-00000F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5" authorId="15" shapeId="0" xr:uid="{00000000-0006-0000-1100-00001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6" authorId="16" shapeId="0" xr:uid="{00000000-0006-0000-1100-00001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7" authorId="17" shapeId="0" xr:uid="{00000000-0006-0000-1100-00001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8" authorId="18" shapeId="0" xr:uid="{00000000-0006-0000-1100-00001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19" authorId="19" shapeId="0" xr:uid="{00000000-0006-0000-1100-00001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0" authorId="20" shapeId="0" xr:uid="{00000000-0006-0000-1100-00001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1" authorId="21" shapeId="0" xr:uid="{00000000-0006-0000-1100-00001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2" authorId="22" shapeId="0" xr:uid="{00000000-0006-0000-1100-00001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3" authorId="23" shapeId="0" xr:uid="{00000000-0006-0000-1100-00001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4" authorId="24" shapeId="0" xr:uid="{00000000-0006-0000-1100-00001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Z25" authorId="25" shapeId="0" xr:uid="{00000000-0006-0000-1100-00001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Schaltdauer innerhalb von 15 Minuten für alle Prozesse möglich</t>
      </text>
    </comment>
    <comment ref="I26" authorId="26" shapeId="0" xr:uid="{4E1E4F47-CAF7-4A92-B41B-F63126AEE7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N26" authorId="27" shapeId="0" xr:uid="{4F399106-F420-449F-A9AD-EDF6649D8E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A27" authorId="28" shapeId="0" xr:uid="{00000000-0006-0000-1100-00001D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Samira: Belüftung und Klimatisierung</t>
      </text>
    </comment>
    <comment ref="I27" authorId="29" shapeId="0" xr:uid="{FAAC014A-B97F-42D8-AAC8-4559F54259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N27" authorId="30" shapeId="0" xr:uid="{D28FD05D-2F10-4C5F-81B3-D5DB1B8C29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AA27" authorId="31" shapeId="0" xr:uid="{00000000-0006-0000-1100-000020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wenige Minuten (S. 95)</t>
      </text>
    </comment>
    <comment ref="I28" authorId="32" shapeId="0" xr:uid="{14440FB0-1DDC-4692-8CB4-5FBBB70A1B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N28" authorId="33" shapeId="0" xr:uid="{92F0A39B-0AA8-4A6A-90E5-173AFEC9B4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A29" authorId="34" shapeId="0" xr:uid="{00000000-0006-0000-1100-00002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Druckluft Sonderfall; eigentlich ungeeignet (S. 97)</t>
      </text>
    </comment>
    <comment ref="I29" authorId="35" shapeId="0" xr:uid="{79354FF0-EA1B-4A5A-8DD3-B6D9145FF8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N29" authorId="36" shapeId="0" xr:uid="{B6E7B2D1-C1A8-4842-9563-8F43D021EE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I30" authorId="37" shapeId="0" xr:uid="{4E64D677-A9A3-40AB-B7F9-EF708AE226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N30" authorId="38" shapeId="0" xr:uid="{FD515933-2B32-4A00-9CC3-15E0CFD54C7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Abgelesene Werte; Normalbetrieb</t>
      </text>
    </comment>
    <comment ref="AE30" authorId="39" shapeId="0" xr:uid="{00000000-0006-0000-1100-000028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&gt; 1 Stunde; bei Vorhandensein eines Speichers (S. 96)</t>
      </text>
    </comment>
    <comment ref="AQ31" authorId="40" shapeId="0" xr:uid="{00000000-0006-0000-1100-00002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bei Leistungen &gt; 500 kW</t>
      </text>
    </comment>
    <comment ref="AY31" authorId="41" shapeId="0" xr:uid="{00000000-0006-0000-1100-00002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Pauschalwert bei Leistungen &lt; 500 kW</t>
      </text>
    </comment>
  </commentList>
</comments>
</file>

<file path=xl/sharedStrings.xml><?xml version="1.0" encoding="utf-8"?>
<sst xmlns="http://schemas.openxmlformats.org/spreadsheetml/2006/main" count="12982" uniqueCount="1092">
  <si>
    <t>Prozess</t>
  </si>
  <si>
    <t>Fundstelle Potenzial pos.</t>
  </si>
  <si>
    <t>Fundstelle Potenzial neg.</t>
  </si>
  <si>
    <t>Verschiebedauer (h)</t>
  </si>
  <si>
    <t>max. Abrufhäufigkeit pro Woche</t>
  </si>
  <si>
    <t>Fundstelle Schaltdauer</t>
  </si>
  <si>
    <t>Fundstelle Verschiebedauer</t>
  </si>
  <si>
    <t>Fundstelle max. Abrufhäufigkeit</t>
  </si>
  <si>
    <t>Jahr</t>
  </si>
  <si>
    <t>Aktivierungsdauer (h)</t>
  </si>
  <si>
    <t>Regenerationsdauer (h)</t>
  </si>
  <si>
    <t>variable Kosten €_2018/kWh</t>
  </si>
  <si>
    <t>Investitionsausgaben €_2018/kW</t>
  </si>
  <si>
    <t>Erscheinungsjahr</t>
  </si>
  <si>
    <t>€ Indexwert (VPI)</t>
  </si>
  <si>
    <t>fixe Kosten €_2018/a</t>
  </si>
  <si>
    <t>Zeitverfügbarkeit?</t>
  </si>
  <si>
    <t>Fundstelle Regenerationsdauer</t>
  </si>
  <si>
    <t>Fundstelle Zeitverfügbarkeit</t>
  </si>
  <si>
    <t>Fundstelle Invest</t>
  </si>
  <si>
    <t>Fundstelle var. Kosten</t>
  </si>
  <si>
    <t>Fundstelle fixe Kosten</t>
  </si>
  <si>
    <t>Bemerkungen</t>
  </si>
  <si>
    <t>Fundstelle Bemerkungen</t>
  </si>
  <si>
    <t>Stromverbrauch</t>
  </si>
  <si>
    <t>Vollbenutzungsstunden</t>
  </si>
  <si>
    <t>Mindestleistung</t>
  </si>
  <si>
    <t>flexible Leistung</t>
  </si>
  <si>
    <t>Quelle</t>
  </si>
  <si>
    <t>Chlor-Alkali-Elektrolyse</t>
  </si>
  <si>
    <t>Verfahrenstyp</t>
  </si>
  <si>
    <t>Amalgam</t>
  </si>
  <si>
    <t>Diaphragma</t>
  </si>
  <si>
    <t>Membran</t>
  </si>
  <si>
    <t>Gesamt</t>
  </si>
  <si>
    <t>53-55</t>
  </si>
  <si>
    <t>durchschnittliche Auslastung</t>
  </si>
  <si>
    <t>Stromverbrauch (TWh)</t>
  </si>
  <si>
    <t>Nennleistung (MW)</t>
  </si>
  <si>
    <t>durchschnittliche Leistung (MW)</t>
  </si>
  <si>
    <t>flexible Leistung (MW)</t>
  </si>
  <si>
    <t>Luftzerlegung</t>
  </si>
  <si>
    <t>56-57</t>
  </si>
  <si>
    <t>flexible Leistung min (MW)</t>
  </si>
  <si>
    <t>flexible Leistung max (MW)</t>
  </si>
  <si>
    <t>Aluminiumherstellung</t>
  </si>
  <si>
    <t>Primäraluminium</t>
  </si>
  <si>
    <t>Nennleistung min (MW)</t>
  </si>
  <si>
    <t>Nennleistung max (MW)</t>
  </si>
  <si>
    <t>Potenzial pos. min MW</t>
  </si>
  <si>
    <t>Potenzial pos. max MW</t>
  </si>
  <si>
    <t>eigene Anmerkung</t>
  </si>
  <si>
    <t>Mittelwertbildung Potenzial pos.</t>
  </si>
  <si>
    <t>Lufzerlegung</t>
  </si>
  <si>
    <t>Primäraluminiumelektrolyse</t>
  </si>
  <si>
    <t>Mindestauslastung</t>
  </si>
  <si>
    <t>Mindestleistung MW</t>
  </si>
  <si>
    <t>Maximalleistung MW</t>
  </si>
  <si>
    <t>installierte Leistung MW</t>
  </si>
  <si>
    <t>Fundstelle Mindestleistung</t>
  </si>
  <si>
    <t>Fundstelle Maximalleistung</t>
  </si>
  <si>
    <t>Fundstelle installierte Leistung</t>
  </si>
  <si>
    <t>Kommentar</t>
  </si>
  <si>
    <t>Diaphragma-Verfahren für LMM ungeeignet</t>
  </si>
  <si>
    <t>53-55, 69</t>
  </si>
  <si>
    <t>56, 69</t>
  </si>
  <si>
    <t>57-58, 69</t>
  </si>
  <si>
    <t>53-55, eigene Berechnung</t>
  </si>
  <si>
    <t>56, eigene Berechnung</t>
  </si>
  <si>
    <t>56-67, 69</t>
  </si>
  <si>
    <t>56-57, eigene Berechnung</t>
  </si>
  <si>
    <t>57-58, eigene Berechnung</t>
  </si>
  <si>
    <t>Primärkupferherstellung</t>
  </si>
  <si>
    <t>Annahme</t>
  </si>
  <si>
    <t>Analog zu Aluminiumindustrie angenommen</t>
  </si>
  <si>
    <t>58, eigene Berechnung</t>
  </si>
  <si>
    <t>Zinkelektrolyse</t>
  </si>
  <si>
    <t>Holzstoffherstellung</t>
  </si>
  <si>
    <t>59-62, 69</t>
  </si>
  <si>
    <t>59-62, eigene Berechnung</t>
  </si>
  <si>
    <t>Altpapieraufbereitung</t>
  </si>
  <si>
    <t>Papiermaschinen</t>
  </si>
  <si>
    <t>Steichmaschinen und Kalander</t>
  </si>
  <si>
    <t>nur kurzfristig verfügbar</t>
  </si>
  <si>
    <t>Elektrostahlherstellung</t>
  </si>
  <si>
    <t>62-64, 69</t>
  </si>
  <si>
    <t>62-64, eigene Berechnung</t>
  </si>
  <si>
    <t>flexibilisierbarer Anteil</t>
  </si>
  <si>
    <t>64-66, 69</t>
  </si>
  <si>
    <t>64-66, eigene Berechnung und Annahmen</t>
  </si>
  <si>
    <t>leichtes Absinken des Potenzials wegen steigender Effizienz</t>
  </si>
  <si>
    <t>QST Kühlung (Ernährungsindustrie)</t>
  </si>
  <si>
    <t>im Sommer deutlich höher als im Winter</t>
  </si>
  <si>
    <t>67, 69</t>
  </si>
  <si>
    <t>67, eigene Berechnungen</t>
  </si>
  <si>
    <t>59-62</t>
  </si>
  <si>
    <t>67, eigene Annahme</t>
  </si>
  <si>
    <t>ausgewiesenes Pot. pos. MW (falls abweichend)</t>
  </si>
  <si>
    <t>Fundstelle Aktivierungsdauer</t>
  </si>
  <si>
    <t>max. Abrufhäufigkeit pro Jahr</t>
  </si>
  <si>
    <t>Prozesskälte Lebensmittelindustrie</t>
  </si>
  <si>
    <t>470 MW durchschnittlich Verfügbar bei 16 h/d Betrieb</t>
  </si>
  <si>
    <t>Prozesskälte sonstige</t>
  </si>
  <si>
    <t>Klimatisierung Bürogebäude</t>
  </si>
  <si>
    <t>Klimatisierung Einzelhandel</t>
  </si>
  <si>
    <t>Klimatisierung Hotelgebäude</t>
  </si>
  <si>
    <t>Klimatisierung Gastronomie</t>
  </si>
  <si>
    <t>Funstelle flexibierbarer Anteil</t>
  </si>
  <si>
    <t>69, eigene Berechnung</t>
  </si>
  <si>
    <t>71-73, 79</t>
  </si>
  <si>
    <t>71-73, eigene Berechnungen</t>
  </si>
  <si>
    <t>Anstieg des Potenzials um ca. 1/3 bis 2020 (625 MW/470 MW durchschnittlich)</t>
  </si>
  <si>
    <t>73-74, 79</t>
  </si>
  <si>
    <t>73-74, eigene Berechnungen</t>
  </si>
  <si>
    <t>79, eigene Berechnungen</t>
  </si>
  <si>
    <t>keine expliziten Angaben im Text</t>
  </si>
  <si>
    <t>Durchschnittliche Leistung MW</t>
  </si>
  <si>
    <t>Fundstelle durchschnittliche Leistung</t>
  </si>
  <si>
    <t>Werte für 2020 linear interpoliert mit Daten von S. 77</t>
  </si>
  <si>
    <t>74-77, 79</t>
  </si>
  <si>
    <t>74-77, eigene Berechnungen</t>
  </si>
  <si>
    <t>77, 79</t>
  </si>
  <si>
    <t>77, eigene Berechnungen</t>
  </si>
  <si>
    <t>Maximalauslastung</t>
  </si>
  <si>
    <t>deutlicher Anstieg bis 2030 angenommen (S. 77)</t>
  </si>
  <si>
    <t>78, 79</t>
  </si>
  <si>
    <t>78, eigene Berechnungen</t>
  </si>
  <si>
    <t>Nostromsysteme / Back-Up-Server / Mobilfunkstationen</t>
  </si>
  <si>
    <t>78-79</t>
  </si>
  <si>
    <t>Industrie</t>
  </si>
  <si>
    <t>GHD</t>
  </si>
  <si>
    <t>Sektorenzuordnung</t>
  </si>
  <si>
    <t>Waschmaschinen</t>
  </si>
  <si>
    <t>Trockner</t>
  </si>
  <si>
    <t>Spülmaschinen</t>
  </si>
  <si>
    <t>Kühlschrank</t>
  </si>
  <si>
    <t>Gefriergerät</t>
  </si>
  <si>
    <t>Wärmepumpen</t>
  </si>
  <si>
    <t>Warmwasser Haushalte</t>
  </si>
  <si>
    <t>Warmwasser GHD</t>
  </si>
  <si>
    <t>Nachtspeicher GHD</t>
  </si>
  <si>
    <t>Nachtspeicher Haushalte</t>
  </si>
  <si>
    <t>Haushalte</t>
  </si>
  <si>
    <t>85, eigene Berechnungen</t>
  </si>
  <si>
    <t>82-83</t>
  </si>
  <si>
    <t>Regelpotenzial je Haushalt für Kühlanwendungen und Weiße Ware insgesamt 141 W (Sommer 122 W, Winter 160 W) -&gt; 5,5 GW in Summe (S. 82-83)</t>
  </si>
  <si>
    <t>Annahme für eigene Hochrechnung: 39 Mio. Haushalte</t>
  </si>
  <si>
    <t>Investitionsausgaben je Anschlusspunkt (€_2018)</t>
  </si>
  <si>
    <t>Fundstelle Investition je Anschlusspunkt</t>
  </si>
  <si>
    <t>Potenzial pos. MW Durchschnitt</t>
  </si>
  <si>
    <t>stark jahreszeiten und temperaturabhängig; faktisch nur im Winter</t>
  </si>
  <si>
    <t>Umwälzpumpen Haushalte</t>
  </si>
  <si>
    <t>nur Abschaltung; nur Während Heizperiode</t>
  </si>
  <si>
    <t>415, eigene Berechnungen</t>
  </si>
  <si>
    <t>Potenzial neg. min MW</t>
  </si>
  <si>
    <t>Potenzial neg. max MW</t>
  </si>
  <si>
    <t>Potenzial neg. MW Durchschnitt</t>
  </si>
  <si>
    <t>Schaltdauer pos. (h)</t>
  </si>
  <si>
    <t>Schaltdauer neg. (h)</t>
  </si>
  <si>
    <t>Lastverschiebung</t>
  </si>
  <si>
    <t>Lastverzicht</t>
  </si>
  <si>
    <t>binär</t>
  </si>
  <si>
    <t>Fundstelle Lastverschiebung</t>
  </si>
  <si>
    <t>Fundstelle Lastverzicht</t>
  </si>
  <si>
    <t>417-418</t>
  </si>
  <si>
    <t>Weiße Ware (ohne Kühlung) gesamt</t>
  </si>
  <si>
    <t>Maximum 11-14 Uhr</t>
  </si>
  <si>
    <t>Betriebsdauer mit zwei Stunden angenommen</t>
  </si>
  <si>
    <t>Roh- und Zementmühlen</t>
  </si>
  <si>
    <t>nachts Potenzial zur Kapazitätsreduktion</t>
  </si>
  <si>
    <t>nachts Reduktionspotenzial</t>
  </si>
  <si>
    <t>Probleme mit Lagerbarkeit von Chlor; Rückgang Stromintensität wegen Umstellung auf Membranverfahren</t>
  </si>
  <si>
    <t>bei Abschaltzeit von mehr als 30 Minuten Prozess neu zu beginnen</t>
  </si>
  <si>
    <t>Stoffaufbereitung Holzstoff</t>
  </si>
  <si>
    <t>wegen geringem Leistungsbedarf nicht weiter betrachtet (S. 424)</t>
  </si>
  <si>
    <t>wegen langer Aktivierungszeit von 12 Stunden ausgeschlossen (S. 424)</t>
  </si>
  <si>
    <t>422, 425</t>
  </si>
  <si>
    <t>423, 425</t>
  </si>
  <si>
    <t>424, 425</t>
  </si>
  <si>
    <t>414, 427</t>
  </si>
  <si>
    <t>Annahme: identisch wie 2010</t>
  </si>
  <si>
    <t>Annahme: Hochskalierung über Wärmepumpenzahl</t>
  </si>
  <si>
    <t>max. Investitionsausgaben €_2018/kW</t>
  </si>
  <si>
    <t>min. Investitionsausgaben €_2018/kW</t>
  </si>
  <si>
    <t>var. Kosten von €_2018/kW</t>
  </si>
  <si>
    <t>var. Kosten bis €_2018/kW</t>
  </si>
  <si>
    <t>Ernährungsindustrie (gesamt)</t>
  </si>
  <si>
    <t>Chemieindustrie (gesamt)</t>
  </si>
  <si>
    <t>Papierindustrie (gesamt)</t>
  </si>
  <si>
    <t>Metallverarbeitung (gesamt)</t>
  </si>
  <si>
    <t>Kfz-Industrie (gesamt)</t>
  </si>
  <si>
    <t>Maschinenbau (gesamt)</t>
  </si>
  <si>
    <t>Glasindustrie (gesamt)</t>
  </si>
  <si>
    <t>restliche Industrie (gesamt)</t>
  </si>
  <si>
    <t>Werte für Lastabschaltung von 1 Stunde; alternativ 4 Stunden, 15 min und 5 min dargestellt</t>
  </si>
  <si>
    <t>Werte abgelesen aus Abb. Auf S. 15</t>
  </si>
  <si>
    <t>Werte pos. Potenzial aus Tabelle (S. 425) in MW</t>
  </si>
  <si>
    <t>Industrieprozess</t>
  </si>
  <si>
    <t>Spezifizierung</t>
  </si>
  <si>
    <t>Summe</t>
  </si>
  <si>
    <t>Membranverfahren</t>
  </si>
  <si>
    <t>Spezifizierung Verfahren</t>
  </si>
  <si>
    <t>Diaphragmaverfahren</t>
  </si>
  <si>
    <t>Amalgamverfahren</t>
  </si>
  <si>
    <t>423, 425, 460</t>
  </si>
  <si>
    <t>422, 425, 460</t>
  </si>
  <si>
    <t>424, 425, 460</t>
  </si>
  <si>
    <t>424, 460</t>
  </si>
  <si>
    <t>davon größter Anteil Refiner; konfligierende Angabe auf S. 460: bis zu 24 h Verschiebung</t>
  </si>
  <si>
    <t>Prozesskälte gesamt</t>
  </si>
  <si>
    <t>Prozesswärme gesamt</t>
  </si>
  <si>
    <t>Belüftung gesamt</t>
  </si>
  <si>
    <t>Klimakälte gesamt</t>
  </si>
  <si>
    <t>Heizsysteme gesamt</t>
  </si>
  <si>
    <t>Verschiebedauer min. (h)</t>
  </si>
  <si>
    <t>Verschiebedauer max (h)</t>
  </si>
  <si>
    <t>nur im Sommer</t>
  </si>
  <si>
    <t>Werte pos. Potenzial aus Tabelle (S. 525) in MW</t>
  </si>
  <si>
    <t>422, 425, 460, 525</t>
  </si>
  <si>
    <t>423, 425, 460, 525</t>
  </si>
  <si>
    <t>423. 425, 460, 525</t>
  </si>
  <si>
    <t>424, 425, 460, 525</t>
  </si>
  <si>
    <t>Druckluft gesamt</t>
  </si>
  <si>
    <t>überwiegend in der Lebensmittelindustrie; 572 MW pos. Potenzial aus chemischer Industrie nur für Lastabwurf</t>
  </si>
  <si>
    <t>Kläranlagen</t>
  </si>
  <si>
    <t>Schaltdauer pos. max (h)</t>
  </si>
  <si>
    <t>Schaltdauer pos. Min (h)</t>
  </si>
  <si>
    <t>Schaltdauer neg min (h)</t>
  </si>
  <si>
    <t>Schaltdauer neg. max (h)</t>
  </si>
  <si>
    <t>427, 530</t>
  </si>
  <si>
    <t>variable Kosten €_2018/MWh</t>
  </si>
  <si>
    <t>var. Kosten min. €_2018/MWh</t>
  </si>
  <si>
    <t>var. Kosten max. €_2018/MWh</t>
  </si>
  <si>
    <t>427, 532</t>
  </si>
  <si>
    <t>Lastverschiebung durch hihe Auslastung erschwert</t>
  </si>
  <si>
    <t>Durchschnittsauslastung</t>
  </si>
  <si>
    <t>Fundstelle Durchschnittsauslastung</t>
  </si>
  <si>
    <t>hohe variable Kosten wegen Verschiebung des Prozesses in Nachtzeiten (Personalkosten)</t>
  </si>
  <si>
    <t>Kürzel</t>
  </si>
  <si>
    <t>Kurzbeleg</t>
  </si>
  <si>
    <t>Titel</t>
  </si>
  <si>
    <t>Klo09</t>
  </si>
  <si>
    <t>Mol10</t>
  </si>
  <si>
    <t>Molly et al. 2010</t>
  </si>
  <si>
    <t>Roo10</t>
  </si>
  <si>
    <t>Roon und Gobmaier 2010</t>
  </si>
  <si>
    <t>Pau11</t>
  </si>
  <si>
    <t>Paulus und Borggrefe 2011</t>
  </si>
  <si>
    <t>Ape12</t>
  </si>
  <si>
    <t>Apel et al. 2012</t>
  </si>
  <si>
    <t>dena-Netzstudie II. Integration erneuerbarer Energien in die deutsche Stromversorgung im Zeitraum 2015 – 2020 mit Ausblick 2025</t>
  </si>
  <si>
    <t>Demand Response in der Industrie - Status und Potenziale in Deutschland</t>
  </si>
  <si>
    <t>The potential of demand-side management in energy-intensive industries for electricity markets in Germany</t>
  </si>
  <si>
    <t>Demand Side Integration - Lastverschiebungspotenziale in Deutschland</t>
  </si>
  <si>
    <t>Arbeitspaket Funktionsfähigkeit EOM &amp; Impact-Analyse Kapazitätsmechanismen</t>
  </si>
  <si>
    <t>Potentiale regelbarer Lasten in einem Energieversorgungssystem mit wachsendem Anteil erneuerbarer Energien</t>
  </si>
  <si>
    <t>Demand-Side Management im Strommarkt - Technologiesteckbrief zur Analyse "Flexibilitätskonzepte für die Stromversorgung 2050"</t>
  </si>
  <si>
    <t>Verbundforschungsvorhaben Merit Order der Energiespeicherung im Jahr 2030, Teil 2: Technoökonomische Analyse Funktionaler Energiespeicher</t>
  </si>
  <si>
    <t>Zeitlich und regional aufgelöstes industrielles Lastflexibilisierungs-potenzial als Beitrag zur Integration Erneuerbarer Energien</t>
  </si>
  <si>
    <t>Analyse von Demand Side Integration im Hinblick auf eine effiziente und umweltfreundliche Energieversorgung</t>
  </si>
  <si>
    <t>r2b 2014</t>
  </si>
  <si>
    <t>Langrock et al. 2015</t>
  </si>
  <si>
    <t>Styczynski und Sauer 2015
(Elsner et al. 2015)</t>
  </si>
  <si>
    <t>Pellinger und Schmid 2016</t>
  </si>
  <si>
    <t>Gruber 2017</t>
  </si>
  <si>
    <t>Steurer 2017</t>
  </si>
  <si>
    <t>r2b14</t>
  </si>
  <si>
    <t>Klobasa 2007 / 2009</t>
  </si>
  <si>
    <t>Gil15</t>
  </si>
  <si>
    <t>Gru17</t>
  </si>
  <si>
    <t>Ste17</t>
  </si>
  <si>
    <t>Lan15</t>
  </si>
  <si>
    <t>Pel16</t>
  </si>
  <si>
    <t>Sty15</t>
  </si>
  <si>
    <t>Werte eingepflegt</t>
  </si>
  <si>
    <t>Enscheidung</t>
  </si>
  <si>
    <t>ja</t>
  </si>
  <si>
    <t>nein</t>
  </si>
  <si>
    <t>Dynamische Simulation eines Lastmanagements und Integration von Windenergie in ein Elektrizitätsnetz auf Landesebene unter regelungs- technischen Kostengesichtspunkten</t>
  </si>
  <si>
    <t>teils</t>
  </si>
  <si>
    <t>Kupfer- und Zinkelektrolyse</t>
  </si>
  <si>
    <t>Lastabwurf zur Blackout-Prävention</t>
  </si>
  <si>
    <t>Potenzial pos. Lastverschiebung MW</t>
  </si>
  <si>
    <t>Potenzial pos. Literatur MW</t>
  </si>
  <si>
    <t>Potenzial neg. Lastverschiebung MW</t>
  </si>
  <si>
    <t>Potenzial neg. Literatur MW</t>
  </si>
  <si>
    <t>Geschirrspüler</t>
  </si>
  <si>
    <t>Kühl- / Gefrierkombination</t>
  </si>
  <si>
    <t>Potenzial pos. Sommer MW</t>
  </si>
  <si>
    <t>Potenzial pos. Winter MW</t>
  </si>
  <si>
    <t>Potenzial neg. Sommer MW</t>
  </si>
  <si>
    <t>Potenzial neg. Winter MW</t>
  </si>
  <si>
    <t>Büros / Textilbetriebe gesamt</t>
  </si>
  <si>
    <t>Handel gesamt</t>
  </si>
  <si>
    <t>Gastgewerbe gesamt</t>
  </si>
  <si>
    <t>Landwirtschaft gesamt</t>
  </si>
  <si>
    <t>Gartenbau gesamt</t>
  </si>
  <si>
    <t>Bäder gesamt</t>
  </si>
  <si>
    <t>Wäschereien gesamt</t>
  </si>
  <si>
    <t>produzierendes Gewerge gesamt</t>
  </si>
  <si>
    <t>Baugewerbe gesamt</t>
  </si>
  <si>
    <t>97-98</t>
  </si>
  <si>
    <t>37, 112</t>
  </si>
  <si>
    <t>Bandlast, aber Elektrolyseöfen pro Tag ca. 2-3 Minuten weggeschaltet; Lastabwurf höchstens alle drei Tage; Lastreduktion auf Teillast einmal pro Tag</t>
  </si>
  <si>
    <t>41, 112</t>
  </si>
  <si>
    <t>41, 111</t>
  </si>
  <si>
    <t>46, 112</t>
  </si>
  <si>
    <t>47, 112</t>
  </si>
  <si>
    <t>47, 111</t>
  </si>
  <si>
    <t>Planung für längeren Zeitraum (zusammenhängende Zeitschritte)</t>
  </si>
  <si>
    <t>50, 112</t>
  </si>
  <si>
    <t>einzelne Charge von 50-120 min kann nicht mehr unterbrochen werden</t>
  </si>
  <si>
    <t>Wasserwirtschaft (Klärgas-BHKW)</t>
  </si>
  <si>
    <t>Lasterhöhung</t>
  </si>
  <si>
    <t>Abschaltung Klärgas-BHKW zur Erhöhung Fremdstrombezug</t>
  </si>
  <si>
    <t>57, 111-112</t>
  </si>
  <si>
    <t>tagsüber</t>
  </si>
  <si>
    <t>61-62</t>
  </si>
  <si>
    <t>Einschaltzeiten vorrangig zwischen 14 und 20 Uhr</t>
  </si>
  <si>
    <t>Unterbrechung bis zu dreimal täglich für 2 Stunden</t>
  </si>
  <si>
    <t>Problem</t>
  </si>
  <si>
    <t>Trennung pos / neg</t>
  </si>
  <si>
    <t>Dateninkonsistenzen</t>
  </si>
  <si>
    <t>eigene Festlegung auf (plausiblen) Wert durch sorgfältige Analyse der Studie auf Indizien zu verwendeten Werten</t>
  </si>
  <si>
    <t>Lastabwurf / Lastverzicht</t>
  </si>
  <si>
    <t>teilweise implizit je nach angegebenen Auslastungen und Wording "Verschiebeleistung" / "Abschaltleistung"</t>
  </si>
  <si>
    <t>Spannbreite für Werte angegeben</t>
  </si>
  <si>
    <t>Methodischer Ansatz zur Ermittlung von Kennwerten</t>
  </si>
  <si>
    <t>Chlor-Alkali-Elektrolyse und Luftzerlegung</t>
  </si>
  <si>
    <t>Zementindustrie (Roh- und Zementmühlen, Drehrohröfen)</t>
  </si>
  <si>
    <t>flexibilisierbarer Anteil an Durchschnittslast</t>
  </si>
  <si>
    <t>53-54</t>
  </si>
  <si>
    <t>fixe Kosten min. €_2018/kW*a</t>
  </si>
  <si>
    <t>fixe Kosten €_2018/kW*a</t>
  </si>
  <si>
    <t>427, 531</t>
  </si>
  <si>
    <t>Lastmanagement als Beitrag zur Deckung des Spitzenlastbedarfs in Süddeutschland (Lastmanagement für Systemdienstleistungen und zur Reduktion der Spitzenlast)</t>
  </si>
  <si>
    <t>Bub13, S. 92</t>
  </si>
  <si>
    <t>Last am Wochendende um 30 % über der Last unter der Woche</t>
  </si>
  <si>
    <t>Klo13, S. 44</t>
  </si>
  <si>
    <t>Klo13, S. 45</t>
  </si>
  <si>
    <t>atypische Netznutzung; Leistungsaufnahme am Wochenende typischerweise höher</t>
  </si>
  <si>
    <t>Klo13, S. 47</t>
  </si>
  <si>
    <t>Klo13, S. 46</t>
  </si>
  <si>
    <t>Klo13, S. 49</t>
  </si>
  <si>
    <t>Klo13, S. 59</t>
  </si>
  <si>
    <t>Klo13, S. 76-77</t>
  </si>
  <si>
    <t>max. 4 h Abschaltung pro Tag; max. 1 h zusammenhängend</t>
  </si>
  <si>
    <t>Klo13, S. 73-74, 78</t>
  </si>
  <si>
    <t>Klo13, S. 73-74</t>
  </si>
  <si>
    <t>Bel15</t>
  </si>
  <si>
    <t>Foc11</t>
  </si>
  <si>
    <t>Krz13</t>
  </si>
  <si>
    <t>Belitz 2015</t>
  </si>
  <si>
    <t>Focken et al. 2011</t>
  </si>
  <si>
    <t>Krzikalla et al. 2013</t>
  </si>
  <si>
    <t>Liebe und Wissner 2015</t>
  </si>
  <si>
    <t>Stötzer 2012</t>
  </si>
  <si>
    <t>Charaktersisierung von Lastmanagement in Haushalten und dessen Integration in die Elektrizitätswirtschaft</t>
  </si>
  <si>
    <t>Kurz- bis mittelfristig realisierbare Marktpotenziale für die Anwendung von Demand Response im gewerblichen Sektor</t>
  </si>
  <si>
    <t>Möglichkeiten zum Ausgleich fluktuierender Einspeisungen aus Erneuerbaren Energien</t>
  </si>
  <si>
    <t>Der flexible Verbraucher - Potenziale zur Lastverlagerung im Haushaltsbereich</t>
  </si>
  <si>
    <t>Demand Side Integration in elektrischen Verteilnetzen</t>
  </si>
  <si>
    <t>v.a. in Maschinenbau, Metall- und Chemieindustrie</t>
  </si>
  <si>
    <t>60-61</t>
  </si>
  <si>
    <t>elektrische Raumheizung gesamt</t>
  </si>
  <si>
    <t>Klimaanlagen</t>
  </si>
  <si>
    <t>Umrechnung Kostenangaben</t>
  </si>
  <si>
    <t>Datenbasis</t>
  </si>
  <si>
    <t>sofern nicht explizit angegeben, Veröffentlichungsjahr der Studie gewählt</t>
  </si>
  <si>
    <t>Kategorisierung</t>
  </si>
  <si>
    <t>Zuordnung zu vorhandener Kategorisierung, sofern möglich; sonst Neudefinition von Kategorien</t>
  </si>
  <si>
    <t>keine Einschränkungen</t>
  </si>
  <si>
    <t>saisonal</t>
  </si>
  <si>
    <t>Calciumcarbidherstellung</t>
  </si>
  <si>
    <t>Luftverflüssigung</t>
  </si>
  <si>
    <t>tageszeitlich</t>
  </si>
  <si>
    <t>Prozesskälte Gastronomie</t>
  </si>
  <si>
    <t>Trinkwasserpumpen</t>
  </si>
  <si>
    <t>vorziehen</t>
  </si>
  <si>
    <t>verzögern</t>
  </si>
  <si>
    <t>stündlich</t>
  </si>
  <si>
    <t>Temperaturabhängigkeit?</t>
  </si>
  <si>
    <t>Annahme: Vollauslastung Industriepozesse</t>
  </si>
  <si>
    <t>Annahme: Auslastung im Winter 20 % geringer als im Sommer; Senkung in Mittagszeit auf 2/3 der nächtlichen Last</t>
  </si>
  <si>
    <t>Annahme: Wochenende mit 40 % (Samstag) bzw. 50 % (Sonntag) geringerem Bedarf</t>
  </si>
  <si>
    <t>Annahme: nachts 50 % Auslastung</t>
  </si>
  <si>
    <t>Annahme: Strombedarf Kälteanwendungen im Winter 10 % niedriger als im Sommer; nachts 20 % geringer als tagsüber</t>
  </si>
  <si>
    <t>Annahme: Betrieb in Schwachlastzeiten; Auslastung tagsüber 2/3 geringer als nachts</t>
  </si>
  <si>
    <t>Annahme: Bestimmt durch Tagesablauf (Prior 1997)</t>
  </si>
  <si>
    <t>Annahme: Raumwärmebedarf anhand von Gradtagszahlen abgeschätzt</t>
  </si>
  <si>
    <t>flex. Anteil pos.</t>
  </si>
  <si>
    <t>flex. Anteil neg.</t>
  </si>
  <si>
    <t>Kühl- und Gefrieranwendungen</t>
  </si>
  <si>
    <t>Fundstelle verzögern/vorziehen</t>
  </si>
  <si>
    <t>Fundstelle Mindestauslastung</t>
  </si>
  <si>
    <t>Durchschnittsauslastung in etwa als Mittelwert angenommen</t>
  </si>
  <si>
    <t>Änderung des spez. Verbrauchs (% p.a.)</t>
  </si>
  <si>
    <t>Änderung der Produktionskapazität (% p.a.)</t>
  </si>
  <si>
    <t>StV (TWh)</t>
  </si>
  <si>
    <t>spez. Verbrauch (kWh/t)</t>
  </si>
  <si>
    <t>Produktionskapazität Mt</t>
  </si>
  <si>
    <t>GHD gesamt</t>
  </si>
  <si>
    <t>Anteil am sektoralen Verbrauch (%)</t>
  </si>
  <si>
    <t>56, eigene Berechnungen</t>
  </si>
  <si>
    <t>Änderung gg. 2010</t>
  </si>
  <si>
    <t>Gruppenzuordnung</t>
  </si>
  <si>
    <t>Prozesskälte Handel</t>
  </si>
  <si>
    <t>Wirkungsgrad (%)</t>
  </si>
  <si>
    <t>Fundstelle Wirkungsgrad</t>
  </si>
  <si>
    <t>Wirkungsgrad min. (%)</t>
  </si>
  <si>
    <t>Wirkungsgrad max. (%)</t>
  </si>
  <si>
    <t>Zementherstellung / Behälterglas</t>
  </si>
  <si>
    <t>Aluminium / Luftzerlegung</t>
  </si>
  <si>
    <t>93-94, abgelesene Werte, eigene Berechnungen</t>
  </si>
  <si>
    <t>Aktivierungsdauer max (h)</t>
  </si>
  <si>
    <t>106, 110</t>
  </si>
  <si>
    <t>soziotech. Pot. pos. min (MW)</t>
  </si>
  <si>
    <t>soziotech. Pot. neg. min (MW)</t>
  </si>
  <si>
    <t>soziotech. Pot. neg. max (MW)</t>
  </si>
  <si>
    <t>soziotech. Pot. neg. (MW)</t>
  </si>
  <si>
    <t>112, 113</t>
  </si>
  <si>
    <t>114; eigene Berechnungen</t>
  </si>
  <si>
    <t>1.100 MW Potenzial akzeptiert; Möglichkeiten für Lasterhöhungen in Stoffaufbereitung; Büttner bestimmt Speicherpotenzial</t>
  </si>
  <si>
    <t>Schaltdauer pos. min (h)</t>
  </si>
  <si>
    <t>117-118</t>
  </si>
  <si>
    <t>fixe Kosten max €_2018/kW*a</t>
  </si>
  <si>
    <t>117, 120</t>
  </si>
  <si>
    <t>470 MW Potenzial akzeptiert; Selbstverpflichtung, bereits bis 2020 aus Amalgam-Verfahren auszusteigen; Aufteilung in mehrere einzeln schaltbare Elektrolysezellen (S. 114); Chlorspeicher determiniert Lastflexibilitätspotenzial (S. 115); Vollabschaltung nur dann möglich, wenn nur ein nachgelagerter Strang (techn. Pot.); bei mehreren Strängen Abschaltungen im Umfang von 20 bis 50 % der Last (S. 124)</t>
  </si>
  <si>
    <t>eigene Berechnung</t>
  </si>
  <si>
    <t>128-129</t>
  </si>
  <si>
    <t>Flexibilität durch Lichtbogenofen (S. 128); Flexibilität bei Blockguss; keine / kaum Flexibilität bei Strangguss (S. 124-127)</t>
  </si>
  <si>
    <t>133-134</t>
  </si>
  <si>
    <t>137, 140</t>
  </si>
  <si>
    <t>135, 138, 142</t>
  </si>
  <si>
    <t>142-143</t>
  </si>
  <si>
    <t>Auslastung NT größer als HT; starke Konjunktur- und Witterungsabhängigkeit; Flexpotenzial pos. nur im Produktionszeitraum zwischen März und November verfügbar; in HT-Zeit nur 22 MW Potenzial</t>
  </si>
  <si>
    <t>Flexibilitätspotenzial wesentlich abhängig von Speichergrößen (S. 136); geringes soziotechnisches Flexpot. Pos. Wegen hoher Opportunitätskosten --&gt; nur wenige Zeiten mit entsprechenden Preisen; keine Abschaltung in der Glasproduktion, da Schmelzwanne kontinuierlicher Prozess ist (S. 143)</t>
  </si>
  <si>
    <t>136, 142-143</t>
  </si>
  <si>
    <t>hohe Unsicherheiten in Hochrechnung</t>
  </si>
  <si>
    <t>Auskühlung der Elektrolysen als begrenzender Faktor auf Abrufdauer</t>
  </si>
  <si>
    <t>146, 153</t>
  </si>
  <si>
    <t>146-147</t>
  </si>
  <si>
    <t>147-148</t>
  </si>
  <si>
    <t>152-153</t>
  </si>
  <si>
    <t>Ausblick Zukunft</t>
  </si>
  <si>
    <t>Fundstelle Ausblick</t>
  </si>
  <si>
    <t>gleichbleibend bis ansteigend; Investitionen in Speicher denkbar</t>
  </si>
  <si>
    <t>stabil; Einstellung Amalgam-Verfahren; Membran-Verfahren flexibler; Investitionen in Speicher (zu) hoch</t>
  </si>
  <si>
    <t>gleichbleibend</t>
  </si>
  <si>
    <t>175-176</t>
  </si>
  <si>
    <t>Rückgang des technischen Potenzials</t>
  </si>
  <si>
    <t>fixe Kosten max. €_2018/kW*a</t>
  </si>
  <si>
    <t>kontinuierlich</t>
  </si>
  <si>
    <t>08-22 Uhr</t>
  </si>
  <si>
    <t>Sommer (Frühjahr / Herbst)</t>
  </si>
  <si>
    <t>22-06 Uhr</t>
  </si>
  <si>
    <t>22-23</t>
  </si>
  <si>
    <t>Winter (Frühjahr / Herbst)</t>
  </si>
  <si>
    <t>kontinuierlich (16 h/d)</t>
  </si>
  <si>
    <t>Winter (Frühjahr / Herbst) (4 h/d)</t>
  </si>
  <si>
    <t>Potenziale sehr kleinteilig ausgewiesen</t>
  </si>
  <si>
    <t>Wahl derjenigen Potenziale mit Schaltdauern im Stundenbereich</t>
  </si>
  <si>
    <t>Diagrammdarstellung</t>
  </si>
  <si>
    <t>Versuch, Kennwerte möglichst exakt zu übernehmen</t>
  </si>
  <si>
    <t>Klobasa et al. 2013 (Buber et al. 2013)</t>
  </si>
  <si>
    <t>Sch 50</t>
  </si>
  <si>
    <t>Sch 52, Sch 56, eigene Berechnung</t>
  </si>
  <si>
    <t>Sch 52</t>
  </si>
  <si>
    <t>Sch 54</t>
  </si>
  <si>
    <t>Sch 55</t>
  </si>
  <si>
    <t>Sch 158</t>
  </si>
  <si>
    <t>Sch 160</t>
  </si>
  <si>
    <t>Sch 162</t>
  </si>
  <si>
    <t>Sch 175</t>
  </si>
  <si>
    <t>Sch 50, Sch 175</t>
  </si>
  <si>
    <t>Sch 158-164, Sch 50, Sch 175</t>
  </si>
  <si>
    <t>Gil 196</t>
  </si>
  <si>
    <t>Gil 197</t>
  </si>
  <si>
    <t>saisonal, stündlich</t>
  </si>
  <si>
    <t>Sch 50, Gil 13</t>
  </si>
  <si>
    <t>tageszeitlich, stündlich</t>
  </si>
  <si>
    <t>Gil 17</t>
  </si>
  <si>
    <t>Anzahl Haushalte (Mio.)</t>
  </si>
  <si>
    <t>Ausstattungsraten</t>
  </si>
  <si>
    <t>Leistung je Einheit (kW)</t>
  </si>
  <si>
    <t>Stromverbrauch gesamt (TWh)</t>
  </si>
  <si>
    <t>Leistung gesamt (MW)</t>
  </si>
  <si>
    <t>Stromverbrauch je Einheit (kWh)</t>
  </si>
  <si>
    <t>flex. Leistung pos.</t>
  </si>
  <si>
    <t>flex. Leistung neg.</t>
  </si>
  <si>
    <t>191-193, 20,22, eigene Berechnung</t>
  </si>
  <si>
    <t>Gils et al. 2015a (Scholz et al. 2014; Gils et al. 2014, 2015b)</t>
  </si>
  <si>
    <t>Balancing of Intermittent Renewable Power Generation by Demand Response and Thermal Energy Storage 
(Möglichkeiten und Grenzen des Lastausgleichs durch Energiespeicher, verschieb-bare Lasten und stromgeführte KWK bei hohem Anteil fluktuierender erneuerbarer Stromerzeugung; Assessment of the theoretical demand response potential in Europe, in: Energies, Vol. 57, S. 1-18; )</t>
  </si>
  <si>
    <t>Gil 191-193, Gil 20,Gil 22, eigene Berechnung</t>
  </si>
  <si>
    <t>HeatingAC_Res</t>
  </si>
  <si>
    <t>HVAC_ComInd</t>
  </si>
  <si>
    <t>Sch 175, Gil 105</t>
  </si>
  <si>
    <t>durchschnittliche Verfügbarkeit (% p.a.)</t>
  </si>
  <si>
    <t>Fundstelle durchschn. Verfügbarkeit</t>
  </si>
  <si>
    <t>Gil 106</t>
  </si>
  <si>
    <t>Sch 175, Gil 106</t>
  </si>
  <si>
    <t>max. Abrufhäufigkeit pro Tag</t>
  </si>
  <si>
    <t>Sch 158-164, Sch 50, Sch 175, Gil 106</t>
  </si>
  <si>
    <t>Sch 50, Sch 175, Gil 106</t>
  </si>
  <si>
    <t>Sch 50, Gil 106</t>
  </si>
  <si>
    <t>Sch 158-164, Sch 50, Gil 106</t>
  </si>
  <si>
    <t>Außentemperatur (°C)</t>
  </si>
  <si>
    <t>S. 98</t>
  </si>
  <si>
    <t>Potenzial pos. min wärmster Tag MW</t>
  </si>
  <si>
    <t>Potenzial pos. max wärmster Tag MW</t>
  </si>
  <si>
    <t>Potenzial neg. min wärmster Tag MW</t>
  </si>
  <si>
    <t>Potenzial neg. max wärmster Tag MW</t>
  </si>
  <si>
    <t>Fortschreibung historischer Werte, sofern keine abweichenden Angaben; sonst Skalierung über veränderten Anlagenbestand und ggf. veränderte Anlagenparameter bzw. über Stromverbrauch bzw. installierte Leistungen</t>
  </si>
  <si>
    <t>Zukünftige Potenziale / Interpolation fehlender Potenzialwerte</t>
  </si>
  <si>
    <t>starke Abhängigkeit des Abschaltpotenzials von der Außentemperatur; durchgehende Lastinanspruchnahme</t>
  </si>
  <si>
    <t>im unflexiblen Basislastgang Speicherbeladung zwischen 18:00 und 9 Uhr; sonst keine Lastinanspruchnahme, d.h. kein Abschaltpotenzial</t>
  </si>
  <si>
    <t>96, 111</t>
  </si>
  <si>
    <t>Fundstelle Betriebsstunden</t>
  </si>
  <si>
    <t>107, 111</t>
  </si>
  <si>
    <t>109, 111</t>
  </si>
  <si>
    <t>109, 112</t>
  </si>
  <si>
    <t>100, 109, 112</t>
  </si>
  <si>
    <t>103, 112</t>
  </si>
  <si>
    <t>91, 96, 110, 111</t>
  </si>
  <si>
    <t>110, 112</t>
  </si>
  <si>
    <t>107, 112</t>
  </si>
  <si>
    <t>hohe Speicherverluste von bis zu 50 %, da Kompressoren nicht in optimalem Betriebspunkt arbeiten (S. 132)</t>
  </si>
  <si>
    <t>starke tageszeitliche Schwankung; orientiert an Gesamtprofil (tagsüber v.a. Verschiebepotenzial); stark saisonabhängig; Maximum an Werktagen um ca. 20 Uhr; Winter und Wochenenden tendenziell höher als an Werktagen und Sommermonaten</t>
  </si>
  <si>
    <t>134, 142</t>
  </si>
  <si>
    <t>134, 137, 142</t>
  </si>
  <si>
    <t>Annahme positiver Potenziale, falls Verwendungszweck Regelleistung im Fokust steht; Annahme symmetrischer Potenziale bei Lastverschiebung, falls Trennung pos / neg nicht explizit ausgewiesen; falls keine Zuordnung möglich, Ausschluss der Studie</t>
  </si>
  <si>
    <t>132, 142</t>
  </si>
  <si>
    <t>Anteil Potenzial neg. (an Wert von 2012)</t>
  </si>
  <si>
    <t>Anteil Potenzial pos. (an Wert von 2012)</t>
  </si>
  <si>
    <t>S. 199</t>
  </si>
  <si>
    <t>Beleuchtung</t>
  </si>
  <si>
    <t>Kälteanwendungen gesamt</t>
  </si>
  <si>
    <t>Pumpen gesamt</t>
  </si>
  <si>
    <t>In den Wintermonaten nicht oder kaum produziert; Auslastungen nachts und am Wochenende höher</t>
  </si>
  <si>
    <t>max. Abrufhäufigkeit min. pro Jahr</t>
  </si>
  <si>
    <t>max. Abrufhäufigkeit max. pro Jahr</t>
  </si>
  <si>
    <t>Potenzial pos. max MW Lastverzicht</t>
  </si>
  <si>
    <t>QST gesamt</t>
  </si>
  <si>
    <t>213, 214, 216, eigene Berechnungen</t>
  </si>
  <si>
    <t>213, 214, 216, 217, eigene Berechnungen</t>
  </si>
  <si>
    <t>216, 217, eigene Berechnungen</t>
  </si>
  <si>
    <t>mittlere Verfügbarkeit 500 Stunden pro Jahr</t>
  </si>
  <si>
    <t>238, 244</t>
  </si>
  <si>
    <t>239, 243</t>
  </si>
  <si>
    <t>232, 239, 243</t>
  </si>
  <si>
    <t>flexibilisierbarer Anteil an installierter Leistung</t>
  </si>
  <si>
    <t>flexibilisierbarer Anteil pos. an Durchschnittsauslastung</t>
  </si>
  <si>
    <t>Betriebsstunden p.a.</t>
  </si>
  <si>
    <t>57, 60</t>
  </si>
  <si>
    <t>Fahrweise in Nachtproduktion nicht mehr stark verbreitet; tageszeitliche Zuordnung der Betriebszeiten erschwert (S. 63)</t>
  </si>
  <si>
    <t>variable Kosten Lastverzicht €_2018/MWh</t>
  </si>
  <si>
    <t>74-76</t>
  </si>
  <si>
    <t>Wirkungsgrad pos.</t>
  </si>
  <si>
    <t>Wirkungsgrad neg.</t>
  </si>
  <si>
    <t>95-97</t>
  </si>
  <si>
    <t>Regenerationsdauer pos. (h)</t>
  </si>
  <si>
    <t>Regenerationsdauer neg. (h)</t>
  </si>
  <si>
    <t>variable Kosten pos. €_2018/MWh</t>
  </si>
  <si>
    <t>variable Kosten neg. €_2018/MWh</t>
  </si>
  <si>
    <t>Überschneidungen von Quellen</t>
  </si>
  <si>
    <t>Zusammenfassung, dann, wenn Kennwerte in nahezu allen Fällen übereinstimmend waren: z.B. für Publikationen Scholz (2014) und Gils (2015); Im Regelfall bei projektbegleitenden Dissertationen oder Auskoppelungen von Fachartikeln</t>
  </si>
  <si>
    <t>Zusammenfassung</t>
  </si>
  <si>
    <t>Im Falle sehr detaillierter Ausweisung von Kennwerten (z.B. Steurer 2017) erfolgt Zusammenfassung auf dem Niveau auf dem auch Potenziale i.e.S., d. h. schaltbare Leistungen angegeben sind.</t>
  </si>
  <si>
    <t>fehlende Kennwerte</t>
  </si>
  <si>
    <t>Guss (Aluminium, Eisen)</t>
  </si>
  <si>
    <t>Primärmetalle (Zink, Kupfer, Silizium, Graphit)</t>
  </si>
  <si>
    <t>Sauerstoffherstellung</t>
  </si>
  <si>
    <t>Deaconverfahren</t>
  </si>
  <si>
    <t>Al, primär</t>
  </si>
  <si>
    <t>Zn, Cu, Si, Graphit</t>
  </si>
  <si>
    <t>E-Stahl</t>
  </si>
  <si>
    <t>Guss: Al, Fe</t>
  </si>
  <si>
    <t>Holzstoffherstellung (Holzschliff / TMP)</t>
  </si>
  <si>
    <t>Zellstoff und Altpapier</t>
  </si>
  <si>
    <t>Calciumcarbid</t>
  </si>
  <si>
    <t>Zement- und Rohmehlmühlen</t>
  </si>
  <si>
    <t>Glas</t>
  </si>
  <si>
    <t>Potenzial pos. MW Durchschnitt min</t>
  </si>
  <si>
    <t>Potenzial pos. MW Durchschnitt max</t>
  </si>
  <si>
    <t>Potenzial neg. MW Durchschnitt min</t>
  </si>
  <si>
    <t>Potenzial neg. MW Durchschnitt max</t>
  </si>
  <si>
    <t>Mindestauslastung min</t>
  </si>
  <si>
    <t>Mindestauslastung max</t>
  </si>
  <si>
    <t>Durchschnittsauslastung min</t>
  </si>
  <si>
    <t>Durchschnittsauslastung max</t>
  </si>
  <si>
    <t>installierte Leistung MW durch</t>
  </si>
  <si>
    <t>installierte Leistung MW min</t>
  </si>
  <si>
    <t>installierte Leistung MW max</t>
  </si>
  <si>
    <t>Durchschnittsauslastung durch</t>
  </si>
  <si>
    <t>Maximalauslastung min</t>
  </si>
  <si>
    <t>Maximalauslastung durch</t>
  </si>
  <si>
    <t>Maximalauslastung max</t>
  </si>
  <si>
    <t>Mindestleistung MW min</t>
  </si>
  <si>
    <t>Mindestleistung MW durch</t>
  </si>
  <si>
    <t>Mindestleistung MW max</t>
  </si>
  <si>
    <t>Mindestauslastung durch</t>
  </si>
  <si>
    <t>Durchschnittliche Leistung MW min</t>
  </si>
  <si>
    <t>Durchschnittliche Leistung MW durch</t>
  </si>
  <si>
    <t>Durchschnittliche Leistung MW max</t>
  </si>
  <si>
    <t>Maximalleistung MW min</t>
  </si>
  <si>
    <t>Maximalleistung MW durch</t>
  </si>
  <si>
    <t>Maximalleistung MW max</t>
  </si>
  <si>
    <t>Aktivierungsdauer (h) pos durch</t>
  </si>
  <si>
    <t>Aktivierungsdauer (h) pos min</t>
  </si>
  <si>
    <t>Aktivierungsdauer (h) pos max</t>
  </si>
  <si>
    <t>Aktivierungsdauer (h) neg durch</t>
  </si>
  <si>
    <t>Aktivierungsdauer (h) neg min</t>
  </si>
  <si>
    <t>Aktivierungsdauer (h) neg max</t>
  </si>
  <si>
    <t>Verschiebedauer bei sofortiger Kompensation (h)</t>
  </si>
  <si>
    <t>Verschiebedauer bei sofortiger Kompensation (h) min</t>
  </si>
  <si>
    <t>Verschiebedauer bei sofortiger Kompensation (h) max</t>
  </si>
  <si>
    <t>max. Abrufhäufigkeit pro Jahr pos durch</t>
  </si>
  <si>
    <t>max. Abrufhäufigkeit pro Jahr pos min</t>
  </si>
  <si>
    <t>max. Abrufhäufigkeit pro Jahr pos max</t>
  </si>
  <si>
    <t>max. Abrufhäufigkeit pro Jahr pos Lastverzicht durch</t>
  </si>
  <si>
    <t>max. Abrufhäufigkeit pro Jahr pos Lastverzicht min</t>
  </si>
  <si>
    <t>max. Abrufhäufigkeit pro Jahr pos Lastverzicht max</t>
  </si>
  <si>
    <t>max. Abrufhäufigkeit pro Jahr neg durch</t>
  </si>
  <si>
    <t>max. Abrufhäufigkeit pro Jahr neg min</t>
  </si>
  <si>
    <t>max. Abrufhäufigkeit pro Jahr neg max</t>
  </si>
  <si>
    <t>fixe Kosten €_2018/kW*a max</t>
  </si>
  <si>
    <t>fixe Kosten €_2018/kW*a min</t>
  </si>
  <si>
    <t>var. Kosten Lastabwurf €_2018/MWh</t>
  </si>
  <si>
    <t>var. Kosten Lastabwurf €_2018/MWh min</t>
  </si>
  <si>
    <t>var. Kosten Lastabwurf €_2018/MWh max</t>
  </si>
  <si>
    <t>c_Ber_RL_pos durch €/MW*d</t>
  </si>
  <si>
    <t>c_Ber_RL_pos €/MW*d min</t>
  </si>
  <si>
    <t>c_Ber_RL_pos €/MW*d max</t>
  </si>
  <si>
    <t>c_Ber_RL_neg €/MW*d</t>
  </si>
  <si>
    <t>c_Ber_RL_neg €/MW*d min</t>
  </si>
  <si>
    <t>c_Ber_RL_neg €/MW*d max</t>
  </si>
  <si>
    <t>198-199</t>
  </si>
  <si>
    <t>166, 168, 223</t>
  </si>
  <si>
    <t>182, 223</t>
  </si>
  <si>
    <t>Berechnung der Kennwerte s. separate Excel-Arbeitsmappe im Unterordner "Einzelstudien"</t>
  </si>
  <si>
    <t>181-182</t>
  </si>
  <si>
    <t>gleichmäßiger Strombezug</t>
  </si>
  <si>
    <t>historisch gewachsene Überkapazitäten; HT-NT-Fahrweise</t>
  </si>
  <si>
    <t>historisch gewachsene Überkapazitäten; HT-NT-Fahrweise; Winterstillstand</t>
  </si>
  <si>
    <t>Branche</t>
  </si>
  <si>
    <t>Klimatisierungsanlagen</t>
  </si>
  <si>
    <t>Lüftungsanlagen</t>
  </si>
  <si>
    <t>Gefriergeräte</t>
  </si>
  <si>
    <t>Kühlgeräte</t>
  </si>
  <si>
    <t>Zerkleinerer</t>
  </si>
  <si>
    <t>Prozesskälte Krankenhäuser</t>
  </si>
  <si>
    <t>Durchschnittsauslastung durch Sommer WTT</t>
  </si>
  <si>
    <t>Durchschnittsauslastung min Sommer WTT</t>
  </si>
  <si>
    <t>Durchschnittsauslastung max Sommer WTT</t>
  </si>
  <si>
    <t>Durchschnittsauslastung durch Sommer SaT</t>
  </si>
  <si>
    <t>Durchschnittsauslastung min Sommer SaT</t>
  </si>
  <si>
    <t>Durchschnittsauslastung max Sommer SaT</t>
  </si>
  <si>
    <t>Durchschnittsauslastung durch Sommer SFN</t>
  </si>
  <si>
    <t>Durchschnittsauslastung min Sommer SFN</t>
  </si>
  <si>
    <t>Durchschnittsauslastung max Sommer SFN</t>
  </si>
  <si>
    <t>Durchschnittsauslastung durch Übergangszeit WTT</t>
  </si>
  <si>
    <t>Durchschnittsauslastung min Übergangszeit WTT</t>
  </si>
  <si>
    <t>Durchschnittsauslastung max Übergangszeit WTT</t>
  </si>
  <si>
    <t>Durchschnittsauslastung durch Übergangszeit SaT</t>
  </si>
  <si>
    <t>Durchschnittsauslastung min Übergangszeit SaT</t>
  </si>
  <si>
    <t>Durchschnittsauslastung max Übergangszeit SaT</t>
  </si>
  <si>
    <t>Durchschnittsauslastung durch Übergangszeit SFN</t>
  </si>
  <si>
    <t>Durchschnittsauslastung min Übergangszeit SFN</t>
  </si>
  <si>
    <t>Durchschnittsauslastung max Übergangszeit SFN</t>
  </si>
  <si>
    <t>Durchschnittsauslastung durch Winter WTT</t>
  </si>
  <si>
    <t>Durchschnittsauslastung min Winter WTT</t>
  </si>
  <si>
    <t>Durchschnittsauslastung max Winter WTT</t>
  </si>
  <si>
    <t>Durchschnittsauslastung durch Winter SaT</t>
  </si>
  <si>
    <t>Durchschnittsauslastung min Winter SaT</t>
  </si>
  <si>
    <t>Durchschnittsauslastung max Winter SaT</t>
  </si>
  <si>
    <t>Durchschnittsauslastung durch Winter SFN</t>
  </si>
  <si>
    <t>Durchschnittsauslastung min Winter SFN</t>
  </si>
  <si>
    <t>Durchschnittsauslastung max Winter SFN</t>
  </si>
  <si>
    <t>Fundstelle Lasterhöhung</t>
  </si>
  <si>
    <t>temporäre Sortierung</t>
  </si>
  <si>
    <t>Ursprüngliche Prozessbezeichnung</t>
  </si>
  <si>
    <t>Pumpanlagen</t>
  </si>
  <si>
    <t>Elektrospeicherheizungen</t>
  </si>
  <si>
    <t>Umwälzpumpe</t>
  </si>
  <si>
    <t>Warmwasser</t>
  </si>
  <si>
    <t>Waschmaschine</t>
  </si>
  <si>
    <t>KZältemaschinen</t>
  </si>
  <si>
    <t>WZärmepumpen</t>
  </si>
  <si>
    <t>WZäschetrockner</t>
  </si>
  <si>
    <t>Potenzial pos. MW Sommer WTT</t>
  </si>
  <si>
    <t>Potenzial pos. MW min Sommer WTT</t>
  </si>
  <si>
    <t>Potenzial pos. MW max Sommer WTT</t>
  </si>
  <si>
    <t>Potenzial neg. MW Sommer WTT</t>
  </si>
  <si>
    <t>Potenzial neg. MW min Sommer WTT</t>
  </si>
  <si>
    <t>Potenzial neg. MW max Sommer WTT</t>
  </si>
  <si>
    <t>Potenzial pos. MW Sommer SaT</t>
  </si>
  <si>
    <t>Potenzial pos. MW min Sommer SaT</t>
  </si>
  <si>
    <t>Potenzial pos. MW max Sommer SaT</t>
  </si>
  <si>
    <t>Potenzial neg. MW Sommer SaT</t>
  </si>
  <si>
    <t>Potenzial neg. MW min Sommer SaT</t>
  </si>
  <si>
    <t>Potenzial neg. MW max Sommer SaT</t>
  </si>
  <si>
    <t>Potenzial pos. MW Sommer SFN</t>
  </si>
  <si>
    <t>Potenzial pos. MW min Sommer SFN</t>
  </si>
  <si>
    <t>Potenzial pos. MW max Sommer SFN</t>
  </si>
  <si>
    <t>Potenzial neg. MW Sommer SFN</t>
  </si>
  <si>
    <t>Potenzial neg. MW min Sommer SFN</t>
  </si>
  <si>
    <t>Potenzial neg. MW max Sommer SFN</t>
  </si>
  <si>
    <t>Potenzial pos. MW Übergangszeit WTT</t>
  </si>
  <si>
    <t>Potenzial pos. MW min Übergangszeit WTT</t>
  </si>
  <si>
    <t>Potenzial pos. MW max Übergangszeit WTT</t>
  </si>
  <si>
    <t>Potenzial neg. MW Übergangszeit WTT</t>
  </si>
  <si>
    <t>Potenzial neg. MW min Übergangszeit WTT</t>
  </si>
  <si>
    <t>Potenzial neg. MW max Übergangszeit WTT</t>
  </si>
  <si>
    <t>Potenzial pos. MW Übergangszeit SaT</t>
  </si>
  <si>
    <t>Potenzial pos. MW min Übergangszeit SaT</t>
  </si>
  <si>
    <t>Potenzial pos. MW max Übergangszeit SaT</t>
  </si>
  <si>
    <t>Potenzial neg. MW Übergangszeit SaT</t>
  </si>
  <si>
    <t>Potenzial neg. MW min Übergangszeit SaT</t>
  </si>
  <si>
    <t>Potenzial neg. MW max Übergangszeit SaT</t>
  </si>
  <si>
    <t>Potenzial pos. MW Übergangszeit SFN</t>
  </si>
  <si>
    <t>Potenzial pos. MW min Übergangszeit SFN</t>
  </si>
  <si>
    <t>Potenzial pos. MW max Übergangszeit SFN</t>
  </si>
  <si>
    <t>Potenzial neg. MW Übergangszeit SFN</t>
  </si>
  <si>
    <t>Potenzial neg. MW min Übergangszeit SFN</t>
  </si>
  <si>
    <t>Potenzial neg. MW max Übergangszeit SFN</t>
  </si>
  <si>
    <t>Potenzial pos. MW Winter WTT</t>
  </si>
  <si>
    <t>Potenzial pos. MW min Winter WTT</t>
  </si>
  <si>
    <t>Potenzial pos. MW max Winter WTT</t>
  </si>
  <si>
    <t>Potenzial neg. MW Winter WTT</t>
  </si>
  <si>
    <t>Potenzial neg. MW min Winter WTT</t>
  </si>
  <si>
    <t>Potenzial neg. MW max Winter WTT</t>
  </si>
  <si>
    <t>Potenzial pos. MW Winter SaT</t>
  </si>
  <si>
    <t>Potenzial pos. MW min Winter SaT</t>
  </si>
  <si>
    <t>Potenzial pos. MW max Winter SaT</t>
  </si>
  <si>
    <t>Potenzial neg. MW Winter SaT</t>
  </si>
  <si>
    <t>Potenzial neg. MW min Winter SaT</t>
  </si>
  <si>
    <t>Potenzial neg. MW max Winter SaT</t>
  </si>
  <si>
    <t>Potenzial pos. MW Winter SFN</t>
  </si>
  <si>
    <t>Potenzial pos. MW min Winter SFN</t>
  </si>
  <si>
    <t>Potenzial pos. MW max Winter SFN</t>
  </si>
  <si>
    <t>Potenzial neg. MW Winter SFN</t>
  </si>
  <si>
    <t>Potenzial neg. MW min Winter SFN</t>
  </si>
  <si>
    <t>Potenzial neg. MW max Winter SFN</t>
  </si>
  <si>
    <t>171-174, 184-195, eigene Berechnungen</t>
  </si>
  <si>
    <t>Stoe12</t>
  </si>
  <si>
    <t>Betrieb 24 Stunden pro Tag</t>
  </si>
  <si>
    <t>Widerstandsheizer</t>
  </si>
  <si>
    <t>Induktionsöfen</t>
  </si>
  <si>
    <t>33-34</t>
  </si>
  <si>
    <t>68-69</t>
  </si>
  <si>
    <t>Natrium-Hochdruckdampflampen benötigen Zeit zum Abkühlen -&gt; Regenerationsdauer;
im Winter und während Nachtstunden Verschiebepotenziale größer;
bei hoher Benutzungsdauer (18 h/d) Verschiebepotenziale gering</t>
  </si>
  <si>
    <t>Verdampfer der älteren Kühlhäuser schalten häufiger (alle 1-2 Stunden); Verdampfer bei neueren Kühlhäusern schalten nur nachts</t>
  </si>
  <si>
    <t>Verschiebung innerhalb eines Tages</t>
  </si>
  <si>
    <t>Inflationierung auf Jahr 2018 über Verbraucherpreisindex anhand des Erscheinungsjahres der Studie</t>
  </si>
  <si>
    <t>Quelle:</t>
  </si>
  <si>
    <t>Lad18</t>
  </si>
  <si>
    <t>Ladwig 2018</t>
  </si>
  <si>
    <t>Demand Side Management in Deutschland zur Systemintegration erneuerbarer Energien</t>
  </si>
  <si>
    <t>Industrie (gesamt)</t>
  </si>
  <si>
    <t>heute genutztes Potenzial, das auf Regelleistungsmärkten vermarktet wird</t>
  </si>
  <si>
    <t>Speicher von Relevanz für Verschiebungsdauern</t>
  </si>
  <si>
    <t>Haushalte (gesamt)</t>
  </si>
  <si>
    <t>30-31</t>
  </si>
  <si>
    <t>hohe Saisonalität; geringe Gleichzeitigkeit</t>
  </si>
  <si>
    <t>Zuschaltpotenzial (neg) im Sommer; Abschaltpotenzial (pos) im Winter</t>
  </si>
  <si>
    <t>Elektrokessel (Fernwärme) und Elektrodenheizkessel (dezentral)</t>
  </si>
  <si>
    <t>vereinzelter Einsatz zur Erzeugung negativer SRL</t>
  </si>
  <si>
    <t>Elektrofahrzeuge</t>
  </si>
  <si>
    <t>feste Schaltzeiten</t>
  </si>
  <si>
    <t>15, 23</t>
  </si>
  <si>
    <t>max. Abschaltpotenzial im Winter</t>
  </si>
  <si>
    <t>Stromverbrauch in TWh</t>
  </si>
  <si>
    <t>Sta06</t>
  </si>
  <si>
    <t>Stadler 2006</t>
  </si>
  <si>
    <t>Demand Response - Nichtelektrische Speicher für Elektrizitätsversorgungssysteme mit hohem Anteil erneuerbarer Energien</t>
  </si>
  <si>
    <t>Gob12</t>
  </si>
  <si>
    <t>Gobmaier et al. 2012</t>
  </si>
  <si>
    <t>Simulationsgestützte Prognose des elektrischen Lastverhaltens</t>
  </si>
  <si>
    <t>Lie15</t>
  </si>
  <si>
    <t>Klo13</t>
  </si>
  <si>
    <t>Blu13</t>
  </si>
  <si>
    <t>Blum und Braun 2013</t>
  </si>
  <si>
    <t>Potentialanalyse für das Demand Side Managament im deutschen Industriesektor und die Integration in die Stromwirtschaft</t>
  </si>
  <si>
    <t>Potenzial neg. max GWh</t>
  </si>
  <si>
    <t>Potenzial pos. max GWh</t>
  </si>
  <si>
    <t>Hen15</t>
  </si>
  <si>
    <t>Henning und Sauer 2015</t>
  </si>
  <si>
    <t>Demand-Side Management im Wärmemarkt - Technologiesteckbrief zur Analyse "Flexibilitätskonzepte für die Stromversorgung 2050"</t>
  </si>
  <si>
    <t>Elektrodenheizkessel</t>
  </si>
  <si>
    <t>Hybrid-Wärmepumpe</t>
  </si>
  <si>
    <t>zus. Betriebskosten p.a. min. (€)</t>
  </si>
  <si>
    <t>zus. Betriebskosten p.a. max. (€)</t>
  </si>
  <si>
    <t>Vollbenutzungsstunden h/a</t>
  </si>
  <si>
    <t>Fundstelle Betriebskosten</t>
  </si>
  <si>
    <t>Haa17</t>
  </si>
  <si>
    <t>Haasz 2017</t>
  </si>
  <si>
    <t>Entwicklung von Methoden zur Abbildung von Demand Side Management in einem optimierenden Energiesystemmodell. Fallbeispiele für Deutschland in den Sektoren Industrie, Gewerbe, Handel, Dienstleistungen und Haushalte</t>
  </si>
  <si>
    <t>flexibilisierbarer Anteil pos.</t>
  </si>
  <si>
    <t>flexibilisierbarer Anteil neg.</t>
  </si>
  <si>
    <t>Betriebskosten €_2018/kW*a</t>
  </si>
  <si>
    <t>Potenzial neg. MW Durchschnitt Winter</t>
  </si>
  <si>
    <t>Potenzial neg. MW Durchschnitt Sommer</t>
  </si>
  <si>
    <t>wirtschaftliches Potenzial!</t>
  </si>
  <si>
    <t>Potenzial pos. MW Durchschnitt Winter</t>
  </si>
  <si>
    <t>Potenzial pos. MW Durchschnitt Sommer</t>
  </si>
  <si>
    <t>Stromverbrauch von TWh</t>
  </si>
  <si>
    <t>Stromverbrauch bis TWh</t>
  </si>
  <si>
    <t>Fundstelle Stromverbrauch</t>
  </si>
  <si>
    <t>Einfluss des Demand Side Managements auf den Kraftwerkseinsatz in Europa</t>
  </si>
  <si>
    <t>Gro13</t>
  </si>
  <si>
    <t>Grote et al. 2013</t>
  </si>
  <si>
    <t>Kühlhäuser + Lebensmittel</t>
  </si>
  <si>
    <t>alle</t>
  </si>
  <si>
    <t>Zementmühlen</t>
  </si>
  <si>
    <t>nur Amalgam- und Diaphragma-Verfahren</t>
  </si>
  <si>
    <t>Rohmühle wegen zu geringer Leistungen ausgeschlossen</t>
  </si>
  <si>
    <t>GHD und Haushalte</t>
  </si>
  <si>
    <t>sonstige</t>
  </si>
  <si>
    <t>Power-to-Gas</t>
  </si>
  <si>
    <t>Power-to-Heat</t>
  </si>
  <si>
    <t>Tageszeit, Wochentag</t>
  </si>
  <si>
    <t>Wochentag</t>
  </si>
  <si>
    <t>Tageszeit</t>
  </si>
  <si>
    <t>Verfahren</t>
  </si>
  <si>
    <t>spez. StV kWh/t</t>
  </si>
  <si>
    <t>Fundstelle Produktion</t>
  </si>
  <si>
    <t>Fundstelle Vollbenutzungsstunden</t>
  </si>
  <si>
    <t>47-48</t>
  </si>
  <si>
    <t>49-50, 197</t>
  </si>
  <si>
    <t>47, 197</t>
  </si>
  <si>
    <t>51, 197</t>
  </si>
  <si>
    <t>47-48, 197</t>
  </si>
  <si>
    <t>jährliche Produktion kt MIN</t>
  </si>
  <si>
    <t>jährliche Produktion kt REF</t>
  </si>
  <si>
    <t>jährliche Produktion kt MAX</t>
  </si>
  <si>
    <t>Anzahl Anlangen MIN (Tsd.)</t>
  </si>
  <si>
    <t>Anzahl Anlangen REF (Tsd.)</t>
  </si>
  <si>
    <t>Anzahl Anlangen MAX (Tsd.)</t>
  </si>
  <si>
    <t>Entwicklungsfaktor MIN (1)</t>
  </si>
  <si>
    <t>Entwicklungsfaktor REF (1)</t>
  </si>
  <si>
    <t>Entwicklungsfaktor MAX (1)</t>
  </si>
  <si>
    <t>Fundstelle Anzahl Anlagen</t>
  </si>
  <si>
    <t>Fundstelle Entwicklungsfaktor</t>
  </si>
  <si>
    <t>Hochrechnung über Stromverbrauchsentwicklung</t>
  </si>
  <si>
    <t>Bemerkungen 2</t>
  </si>
  <si>
    <t>Im MAX-Szenario Wärmepumpenentwicklung berücksichtigt; daher Wert im Referenzszenario höher</t>
  </si>
  <si>
    <t>Pot. pos. MW errechnet</t>
  </si>
  <si>
    <t>Ladung Nachtspeicher in der Nacht (22-6 Uhr)</t>
  </si>
  <si>
    <t>Aktivierungskosten [€_2018/kW]</t>
  </si>
  <si>
    <t>31; 117</t>
  </si>
  <si>
    <t>Fundstelle Aktivierungskosten</t>
  </si>
  <si>
    <t>Aktivierungskosten: Angabe, wie hoch Strompreis maximal sein darf um konkurrenzfähig gegenüber konventioneller Alternative zu sein; Potenzial abhängig von Wärmeprofil, EE-Überschussangebot; Wärmegestehungskosten des Erdgas-Spitzenlastkessels als Referenz -&gt; Berechnung der maximalen Höhe des Strompreises, bei dem Elektrokessel konkurrenzfähig gegenüber Erdgas-Spitzenlastkessel ist</t>
  </si>
  <si>
    <t>Aktivierungskosten: Angabe, wie hoch Strompreis maximal sein darf um konkurrenzfähig gegenüber konventioneller Alternative zu sein; Einsatz bei dem Strompreis, wo Erzeugung über Power-to-Gas günstiger ist als konventionelles Erdgas</t>
  </si>
  <si>
    <t>jährliche Produktion kt</t>
  </si>
  <si>
    <t>Anzahl Anlangen (Tsd.)</t>
  </si>
  <si>
    <t>spez. StV min in kWh/m^2 * a</t>
  </si>
  <si>
    <t>spez. StV max in kWh/m^2 * a</t>
  </si>
  <si>
    <t>Verschiebepotenzial in TWh</t>
  </si>
  <si>
    <t>Fundstelle verschiebbare Energiemenge</t>
  </si>
  <si>
    <t>94-95</t>
  </si>
  <si>
    <t>95-96</t>
  </si>
  <si>
    <t>94-96</t>
  </si>
  <si>
    <t>Warmwasserspeicher</t>
  </si>
  <si>
    <t>168-169</t>
  </si>
  <si>
    <t>Aryandoust et al. 2017</t>
  </si>
  <si>
    <t>The potential and usefulness of demand response to provide electricity system services</t>
  </si>
  <si>
    <t>Ary17</t>
  </si>
  <si>
    <t>Öfen</t>
  </si>
  <si>
    <t>elektrische Direktheizung</t>
  </si>
  <si>
    <t>Raumwärme</t>
  </si>
  <si>
    <t>Verschiebedauer max sofortig (h)</t>
  </si>
  <si>
    <t>Verschiebedauer max bei Vorankündigung (h)</t>
  </si>
  <si>
    <t>Verschiebedauer abhängig von Nutzerakzeptanz</t>
  </si>
  <si>
    <t>Statistisches Bundesamt (Destatis) 2019: Verbraucherpreisindex (inkl. Veränderungsraten): Deutschland, Jahre, https://www-genesis.destatis.de/genesis/online?sequenz=tabelleErgebnis&amp;selectionname=61111-0001&amp;startjahr=1991, Abruf am 26.11.2019, eigene Umrechnung</t>
  </si>
  <si>
    <t>Prozess (ursprüngliche Kategorien)</t>
  </si>
  <si>
    <t>Kupfer- und Zinkherstellung (Elektrolyse)</t>
  </si>
  <si>
    <t>Holz- und Zellstoffherstellung</t>
  </si>
  <si>
    <t>Altpapierrecycling (Pulper)</t>
  </si>
  <si>
    <t>Papierveredelung (Streichmaschinen und Kalander)</t>
  </si>
  <si>
    <t>Elektrostahlherstellung (Lichtbogenofen)</t>
  </si>
  <si>
    <t>Zementherstellung</t>
  </si>
  <si>
    <t>Kühlung (Lebensmittelindustrie)</t>
  </si>
  <si>
    <t>Belüftung</t>
  </si>
  <si>
    <t>Prozesskälte</t>
  </si>
  <si>
    <t>Klimakälte</t>
  </si>
  <si>
    <t>Warmwasserbereitstellung</t>
  </si>
  <si>
    <t>Nachtspeicherheizungen</t>
  </si>
  <si>
    <t>Notstromaggregate, Back-Up-Server und Mobilfunkstationen</t>
  </si>
  <si>
    <t>Wäschetrockner</t>
  </si>
  <si>
    <t>Kühlschränke</t>
  </si>
  <si>
    <t>Gefrierschränke und -truhen</t>
  </si>
  <si>
    <t>Heizungsumwälzpumpen</t>
  </si>
  <si>
    <t>Prozesswärme</t>
  </si>
  <si>
    <t>Druckluftanwendungen</t>
  </si>
  <si>
    <t>Abwasserbehandlung</t>
  </si>
  <si>
    <t>Kühl- und Gefrierkombinationen</t>
  </si>
  <si>
    <t>Calciumcarbid-Herstellung (Lichtbogenofen)</t>
  </si>
  <si>
    <t>Pumpenanwendungen in der Wasserversorgung</t>
  </si>
  <si>
    <t>Prozesskategorie 1</t>
  </si>
  <si>
    <t>Prozesskategorie 2</t>
  </si>
  <si>
    <t>Prozesskategorie 3</t>
  </si>
  <si>
    <t>Ernährungsindustrie gesamt</t>
  </si>
  <si>
    <t>Chemieindustrie gesamt</t>
  </si>
  <si>
    <t>Kfz-Industrie gesamt</t>
  </si>
  <si>
    <t>Maschinenbau gesamt</t>
  </si>
  <si>
    <t>Glasindustrie gesamt</t>
  </si>
  <si>
    <t>Behälterglasindustrie</t>
  </si>
  <si>
    <t>Papierherstellung</t>
  </si>
  <si>
    <t>Metallbearbeitung (Wärmebehandlung)</t>
  </si>
  <si>
    <t>Pumpenanwendungen</t>
  </si>
  <si>
    <t>Silizium-Metall (Lichtbogenofen)</t>
  </si>
  <si>
    <t>Graphitelektroden (Graphitierungsofen)</t>
  </si>
  <si>
    <t>Hybrid-Wärmeerzeugungssysteme (Widerstandserhitzer / Wärmepumpe + Erdgas-Brennwertkessel)</t>
  </si>
  <si>
    <t>Gießereien (Induktionsofen)</t>
  </si>
  <si>
    <t>Elektrische Öfen</t>
  </si>
  <si>
    <t>Elektromobilität</t>
  </si>
  <si>
    <t>Industrie gesamt</t>
  </si>
  <si>
    <t>Haushalte gesamt</t>
  </si>
  <si>
    <t>elektrische Direktheizungen</t>
  </si>
  <si>
    <t>Büros und Textilbetriebe gesamt</t>
  </si>
  <si>
    <t>produzierendes Gewerbe gesamt</t>
  </si>
  <si>
    <t>keine Erhöhung, da hohe Auslastung</t>
  </si>
  <si>
    <t>durch Spannungsstufenschalter auch Erhöhungspotenzial bei Auslastung nahe 100 %, da Spannung je Elektrolysezelle erhöht werden kann</t>
  </si>
  <si>
    <t>kein Erhöhungspotenzial wegen hoher Auslastung und geringer Flexibilität</t>
  </si>
  <si>
    <t>kein Erhöhungspotenzial und keine Unterbrechbarkeit von Chargen</t>
  </si>
  <si>
    <t>vor- und nachgelagerte Speichermöglichkeiten bedingen Erhöhungspotenzial</t>
  </si>
  <si>
    <t>Aktivierungsdauer min (h)</t>
  </si>
  <si>
    <t>Stromverbrauch in TWh MIN</t>
  </si>
  <si>
    <t>Stromverbrauch in TWh REF</t>
  </si>
  <si>
    <t>Stromverbrauch in TWh MAX</t>
  </si>
  <si>
    <t>86-91</t>
  </si>
  <si>
    <t>soziotech. Pot. pos. max (MW)</t>
  </si>
  <si>
    <t>Aktivierungskosten [€_2018/MW(h)]</t>
  </si>
  <si>
    <t>Industrie Lastverschiebung (gesamt)</t>
  </si>
  <si>
    <t>Industrie Lastverzicht (gesamt)</t>
  </si>
  <si>
    <t>Potenzial pos. max MW Literatur</t>
  </si>
  <si>
    <t>Potenzial neg. max MW Literatur</t>
  </si>
  <si>
    <t>Durchschnittsauslastung Literatur</t>
  </si>
  <si>
    <t>Durchschnittliche Leistung MW Literatur</t>
  </si>
  <si>
    <t>Durchschnittsauslastung Hochrechnung</t>
  </si>
  <si>
    <t>Durchschnittliche Leistung MW Hochrechnung</t>
  </si>
  <si>
    <t>Maximalleistung MW Literatur</t>
  </si>
  <si>
    <t>Maximalleistung MW Hochrechnung</t>
  </si>
  <si>
    <t>installierte Leistung MW Literatur</t>
  </si>
  <si>
    <t>installierte Leistung MW Hochrechnung</t>
  </si>
  <si>
    <t>10, 67</t>
  </si>
  <si>
    <t>17, 77</t>
  </si>
  <si>
    <t>20, 88</t>
  </si>
  <si>
    <t>Potenzial pos. max MW Referenz</t>
  </si>
  <si>
    <t>Potenzial pos. max MW optimistisch (Szenario 2)</t>
  </si>
  <si>
    <t>Potenzial neg. max MW Referenz</t>
  </si>
  <si>
    <t>Potenzial neg. max MW optimistisch (Szenario 2)</t>
  </si>
  <si>
    <t>flexibilisierbarer Anteil Referenz</t>
  </si>
  <si>
    <t>flexibilisierbarer Anteil optimistisch (Szenario 2)</t>
  </si>
  <si>
    <t>Maximalleistung MW Referenz</t>
  </si>
  <si>
    <t>Maximalleistung MW optimistisch (Szenario 2)</t>
  </si>
  <si>
    <t>Verschiebedauer (h) Referenz</t>
  </si>
  <si>
    <t>Verschiebedauer (h) optimistisch (Szenario 2)</t>
  </si>
  <si>
    <t>90-91</t>
  </si>
  <si>
    <t>Chlor-Alkali-Elektrolyse (Amalgamverfahren)</t>
  </si>
  <si>
    <t>Chlor-Alkali-Elektrolyse (Membranverfahren)</t>
  </si>
  <si>
    <t>Farbe (matplotlib strings)</t>
  </si>
  <si>
    <t>mediumturquoise</t>
  </si>
  <si>
    <t>cornflowerblue</t>
  </si>
  <si>
    <t>darkorange</t>
  </si>
  <si>
    <t>goldenrod</t>
  </si>
  <si>
    <t>gray</t>
  </si>
  <si>
    <t>peru</t>
  </si>
  <si>
    <t>linen</t>
  </si>
  <si>
    <t>peachpuff</t>
  </si>
  <si>
    <t>chocolate</t>
  </si>
  <si>
    <t>gold</t>
  </si>
  <si>
    <t>dimgrey</t>
  </si>
  <si>
    <t>powderblue</t>
  </si>
  <si>
    <t>lightblue</t>
  </si>
  <si>
    <t>skyblue</t>
  </si>
  <si>
    <t>lightskyblue</t>
  </si>
  <si>
    <t>paleturquoise</t>
  </si>
  <si>
    <t>blanchedalmond</t>
  </si>
  <si>
    <t>papayawhip</t>
  </si>
  <si>
    <t>moccasin</t>
  </si>
  <si>
    <t>navajowhite</t>
  </si>
  <si>
    <t>salmon</t>
  </si>
  <si>
    <t>orangered</t>
  </si>
  <si>
    <t>darkred</t>
  </si>
  <si>
    <t>deepskyblue</t>
  </si>
  <si>
    <t>maroon</t>
  </si>
  <si>
    <t>lightsalmon</t>
  </si>
  <si>
    <t>whitesmoke</t>
  </si>
  <si>
    <t>mistyrose</t>
  </si>
  <si>
    <t>plum</t>
  </si>
  <si>
    <t>purple</t>
  </si>
  <si>
    <t>darkorchid</t>
  </si>
  <si>
    <t>fuchsia</t>
  </si>
  <si>
    <t>deeppink</t>
  </si>
  <si>
    <t>pink</t>
  </si>
  <si>
    <t>indigo</t>
  </si>
  <si>
    <t>darkslateblue</t>
  </si>
  <si>
    <t>firebrick</t>
  </si>
  <si>
    <t>tan</t>
  </si>
  <si>
    <t>indianred</t>
  </si>
  <si>
    <t>teal</t>
  </si>
  <si>
    <t>black</t>
  </si>
  <si>
    <t>darkgoldenrod</t>
  </si>
  <si>
    <t>beige</t>
  </si>
  <si>
    <t>darkkhaki</t>
  </si>
  <si>
    <t>lemonchiffon</t>
  </si>
  <si>
    <t>forestgreen</t>
  </si>
  <si>
    <t>yellowgreen</t>
  </si>
  <si>
    <t>blueviolet</t>
  </si>
  <si>
    <t>rosybrown</t>
  </si>
  <si>
    <t>lightseagreen</t>
  </si>
  <si>
    <t>dimgray</t>
  </si>
  <si>
    <t>burlywood</t>
  </si>
  <si>
    <t>rebeccapurple</t>
  </si>
  <si>
    <t>mechanische Energie (gesamt)</t>
  </si>
  <si>
    <t>lightcyan</t>
  </si>
  <si>
    <t>darkcyan</t>
  </si>
  <si>
    <t>aquamarine</t>
  </si>
  <si>
    <t>sienna</t>
  </si>
  <si>
    <t>yellow</t>
  </si>
  <si>
    <t>blue</t>
  </si>
  <si>
    <t>silver</t>
  </si>
  <si>
    <t>tomato</t>
  </si>
  <si>
    <t>mediumacquamarine</t>
  </si>
  <si>
    <t>olive</t>
  </si>
  <si>
    <t>coral</t>
  </si>
  <si>
    <t>crimson</t>
  </si>
  <si>
    <t>plaevioletred</t>
  </si>
  <si>
    <t>orange</t>
  </si>
  <si>
    <t>mediumvioletred</t>
  </si>
  <si>
    <t>wheat</t>
  </si>
  <si>
    <t>darkviolet</t>
  </si>
  <si>
    <t>red</t>
  </si>
  <si>
    <t>gainsboro</t>
  </si>
  <si>
    <t>slategrey</t>
  </si>
  <si>
    <t>turquoise</t>
  </si>
  <si>
    <t>QST</t>
  </si>
  <si>
    <t>Einstufung</t>
  </si>
  <si>
    <t>Haushaltsanwendung</t>
  </si>
  <si>
    <t>Power-to-X</t>
  </si>
  <si>
    <t>spez. StV kWh/t min</t>
  </si>
  <si>
    <t>spez. StV kWh/t max</t>
  </si>
  <si>
    <t>35, eigene Berechnung</t>
  </si>
  <si>
    <t>38, 41</t>
  </si>
  <si>
    <t>38, 41, eigene Berechnung</t>
  </si>
  <si>
    <t/>
  </si>
  <si>
    <t>37, 112-113</t>
  </si>
  <si>
    <t>Potenzial pos. max MW bei Vollauslastung</t>
  </si>
  <si>
    <t>max. Abrufhäufigkeit pro Jahr Lastverschiebung</t>
  </si>
  <si>
    <t>max. Abrufhäufigkeit pro Jahr Lastverzicht</t>
  </si>
  <si>
    <t>Potenzial pos. Lastabwurf MW aus Teillast</t>
  </si>
  <si>
    <t>Befragung: Zellstoffherstellung und Altpapier für LMM ungeeignet</t>
  </si>
  <si>
    <t>Lastabwurf zur Blackout-Prävention; Abstich- / Chargenzeit 50-120 Minuten</t>
  </si>
  <si>
    <t>38, 42</t>
  </si>
  <si>
    <t>38, 43</t>
  </si>
  <si>
    <t>durchgehender Betrieb am Wochenende; diskontinuierlicher Betrieb in der Woche (nachts); Winterstillstand ca. 6 Wochen</t>
  </si>
  <si>
    <t>Rohmehlmühlen und Drehrohröfen für LMM ungeeignet</t>
  </si>
  <si>
    <t>nur Warmwasserspeicher; keine Durchlauferhitzer</t>
  </si>
  <si>
    <t>Erfassung von Minima und Maxima vorgenommen; bei Potenzialen jeweils Wahl des Maximums; bei Zeitdauern, Kosten und sonstigen Kennwerten Bildung arithmetischer Mittelwerte -&gt; Mittelwertbildung im Nachgang stark eingeschränkt, da zusätzliche Datenpunkte Analyseergebnis beeinflussen!</t>
  </si>
  <si>
    <t>Falls kein Auffüllen oder Errechnen aus sonstigen Angaben möglich ist, offen lassen des jeweiligen Kennwertes, was zu heterogenem Stichprobenumfang je Kennwert führt;
soweit möglich: Berechnung fehlender Kennwerte aus den vorhandenen Angaben</t>
  </si>
  <si>
    <t>nur Wasseraufbereitung; in Wasserverteilung kein Potenzial</t>
  </si>
  <si>
    <t>vollständige, kurzfristige Verlagerung</t>
  </si>
  <si>
    <t>Potenzial pos. MW Hochrechnung</t>
  </si>
  <si>
    <t>Potenzial neg. MW Hochrechnung</t>
  </si>
  <si>
    <t>Revisionszeiten</t>
  </si>
  <si>
    <t>Gil 15, Sch 52, eigene Berechnung</t>
  </si>
  <si>
    <t>52, 143-150 (implizit), eigene Annahme</t>
  </si>
  <si>
    <t>Elektrostahlherstellung als Batchprozess in Chargen von 50 bis 120 Minuten; Chargen können verschoben werden</t>
  </si>
  <si>
    <t>Bub, S. 94</t>
  </si>
  <si>
    <t>Nachholung schwierig, da Prozess nur auf ursprüngliches Lastniveau zurückgefahren werden kann</t>
  </si>
  <si>
    <t>Bub13, S. 94</t>
  </si>
  <si>
    <t>Bub13, S. 98</t>
  </si>
  <si>
    <t>15 min für Abschalten, 30 Minuten für Anschalten der Zementmühlen</t>
  </si>
  <si>
    <t>Vollbenutzungsstunden min</t>
  </si>
  <si>
    <t>Vollbenutzungsstunden max</t>
  </si>
  <si>
    <t>Lagerkosten von 7.000 bis 9.000 € -&gt; variabler Kostenanteil maßgeblich abhängig von Zahl der Abrufe</t>
  </si>
  <si>
    <t>Dauer je Charge 30 bis 120 min</t>
  </si>
  <si>
    <t>Durchschnittsauslastung im Betriebszeitraum</t>
  </si>
  <si>
    <t>Schmelzzeit 45 Minuten, 15 Minuten zum Leeren und Befüllen des Ofens</t>
  </si>
  <si>
    <t>flexibilisierbarer Anteil min</t>
  </si>
  <si>
    <t>flexibilisierbarer Anteil max</t>
  </si>
  <si>
    <t>flexibilisierbarer Anteil neg. an Durchschnittsauslastung</t>
  </si>
  <si>
    <t>var. Kosten Lastverschiebung €_2018/MWh</t>
  </si>
  <si>
    <t>var. Kosten Lastverschiebung €_2018/MWh min</t>
  </si>
  <si>
    <t>var. Kosten Lastverschiebung €_2018/MWh max</t>
  </si>
  <si>
    <t>aqua</t>
  </si>
  <si>
    <t>Prozesskälte Kühlhäuser</t>
  </si>
  <si>
    <t>abweichend von Ausweisung bei Klobasa (2009) der Industrie zugeordnet statt dem GHD-Sektor</t>
  </si>
  <si>
    <t>Fundstelle flexibilisierbarer Anteil</t>
  </si>
  <si>
    <t>-</t>
  </si>
  <si>
    <t>Nutzung Prozesskategorie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</si>
</sst>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"/>
    <numFmt numFmtId="167" formatCode="#,##0.0000"/>
    <numFmt numFmtId="168" formatCode="0.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1" xfId="0" applyFont="1" applyBorder="1"/>
    <xf numFmtId="0" fontId="1" fillId="2" borderId="0" xfId="0" applyFont="1" applyFill="1"/>
    <xf numFmtId="9" fontId="1" fillId="0" borderId="0" xfId="0" applyNumberFormat="1" applyFont="1"/>
    <xf numFmtId="164" fontId="1" fillId="0" borderId="0" xfId="0" applyNumberFormat="1" applyFont="1"/>
    <xf numFmtId="9" fontId="1" fillId="0" borderId="0" xfId="1" applyFont="1"/>
    <xf numFmtId="0" fontId="4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/>
    <xf numFmtId="9" fontId="1" fillId="2" borderId="0" xfId="1" applyFont="1" applyFill="1"/>
    <xf numFmtId="0" fontId="6" fillId="0" borderId="0" xfId="0" applyFont="1"/>
    <xf numFmtId="165" fontId="1" fillId="2" borderId="0" xfId="0" applyNumberFormat="1" applyFont="1" applyFill="1"/>
    <xf numFmtId="165" fontId="1" fillId="0" borderId="0" xfId="0" applyNumberFormat="1" applyFont="1"/>
    <xf numFmtId="165" fontId="1" fillId="0" borderId="0" xfId="1" applyNumberFormat="1" applyFont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165" fontId="8" fillId="0" borderId="0" xfId="0" applyNumberFormat="1" applyFont="1"/>
    <xf numFmtId="165" fontId="8" fillId="0" borderId="0" xfId="1" applyNumberFormat="1" applyFont="1"/>
    <xf numFmtId="9" fontId="8" fillId="0" borderId="0" xfId="1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165" fontId="9" fillId="0" borderId="0" xfId="1" applyNumberFormat="1" applyFont="1"/>
    <xf numFmtId="9" fontId="9" fillId="0" borderId="0" xfId="1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/>
    <xf numFmtId="10" fontId="1" fillId="0" borderId="0" xfId="0" applyNumberFormat="1" applyFont="1"/>
    <xf numFmtId="10" fontId="1" fillId="2" borderId="0" xfId="0" applyNumberFormat="1" applyFont="1" applyFill="1"/>
    <xf numFmtId="168" fontId="1" fillId="0" borderId="0" xfId="0" applyNumberFormat="1" applyFont="1"/>
    <xf numFmtId="168" fontId="1" fillId="0" borderId="0" xfId="1" applyNumberFormat="1" applyFont="1"/>
    <xf numFmtId="1" fontId="1" fillId="0" borderId="0" xfId="0" applyNumberFormat="1" applyFont="1"/>
    <xf numFmtId="1" fontId="1" fillId="0" borderId="0" xfId="1" applyNumberFormat="1" applyFont="1"/>
    <xf numFmtId="2" fontId="1" fillId="0" borderId="0" xfId="1" applyNumberFormat="1" applyFont="1"/>
    <xf numFmtId="168" fontId="9" fillId="0" borderId="0" xfId="0" applyNumberFormat="1" applyFont="1"/>
    <xf numFmtId="9" fontId="9" fillId="0" borderId="0" xfId="0" applyNumberFormat="1" applyFont="1"/>
    <xf numFmtId="3" fontId="1" fillId="0" borderId="0" xfId="1" applyNumberFormat="1" applyFont="1"/>
    <xf numFmtId="3" fontId="8" fillId="0" borderId="0" xfId="1" applyNumberFormat="1" applyFont="1"/>
    <xf numFmtId="10" fontId="8" fillId="0" borderId="0" xfId="0" applyNumberFormat="1" applyFont="1"/>
    <xf numFmtId="0" fontId="1" fillId="3" borderId="0" xfId="0" applyFont="1" applyFill="1"/>
    <xf numFmtId="0" fontId="2" fillId="0" borderId="0" xfId="0" applyFont="1" applyAlignment="1">
      <alignment horizontal="center" vertical="top"/>
    </xf>
    <xf numFmtId="0" fontId="1" fillId="0" borderId="0" xfId="0" quotePrefix="1" applyFont="1"/>
    <xf numFmtId="0" fontId="11" fillId="0" borderId="0" xfId="0" applyFont="1"/>
    <xf numFmtId="165" fontId="11" fillId="0" borderId="0" xfId="0" applyNumberFormat="1" applyFont="1"/>
    <xf numFmtId="165" fontId="11" fillId="0" borderId="0" xfId="1" applyNumberFormat="1" applyFont="1"/>
    <xf numFmtId="9" fontId="11" fillId="0" borderId="0" xfId="1" applyNumberFormat="1" applyFont="1"/>
    <xf numFmtId="9" fontId="11" fillId="0" borderId="0" xfId="1" applyFont="1"/>
    <xf numFmtId="0" fontId="11" fillId="0" borderId="0" xfId="0" applyNumberFormat="1" applyFont="1"/>
    <xf numFmtId="164" fontId="11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9" fontId="1" fillId="0" borderId="0" xfId="1" applyNumberFormat="1" applyFont="1"/>
    <xf numFmtId="0" fontId="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2" fillId="0" borderId="0" xfId="1" applyNumberFormat="1" applyFont="1"/>
    <xf numFmtId="9" fontId="12" fillId="0" borderId="0" xfId="1" applyNumberFormat="1" applyFont="1"/>
    <xf numFmtId="9" fontId="12" fillId="0" borderId="0" xfId="1" applyFont="1"/>
    <xf numFmtId="0" fontId="12" fillId="0" borderId="0" xfId="0" applyNumberFormat="1" applyFont="1"/>
    <xf numFmtId="164" fontId="12" fillId="0" borderId="0" xfId="0" applyNumberFormat="1" applyFont="1"/>
    <xf numFmtId="0" fontId="12" fillId="0" borderId="0" xfId="0" applyFont="1" applyAlignment="1">
      <alignment horizontal="right"/>
    </xf>
    <xf numFmtId="3" fontId="9" fillId="0" borderId="0" xfId="1" applyNumberFormat="1" applyFont="1"/>
    <xf numFmtId="3" fontId="12" fillId="0" borderId="0" xfId="1" applyNumberFormat="1" applyFont="1"/>
    <xf numFmtId="0" fontId="13" fillId="0" borderId="0" xfId="0" applyFont="1"/>
    <xf numFmtId="165" fontId="13" fillId="0" borderId="0" xfId="0" applyNumberFormat="1" applyFont="1"/>
    <xf numFmtId="9" fontId="13" fillId="0" borderId="0" xfId="1" applyNumberFormat="1" applyFont="1"/>
    <xf numFmtId="9" fontId="13" fillId="0" borderId="0" xfId="1" applyFont="1"/>
    <xf numFmtId="165" fontId="13" fillId="0" borderId="0" xfId="1" applyNumberFormat="1" applyFont="1"/>
    <xf numFmtId="0" fontId="13" fillId="0" borderId="0" xfId="0" applyNumberFormat="1" applyFont="1"/>
    <xf numFmtId="164" fontId="13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Fill="1"/>
    <xf numFmtId="165" fontId="1" fillId="0" borderId="0" xfId="0" applyNumberFormat="1" applyFont="1" applyFill="1"/>
    <xf numFmtId="3" fontId="1" fillId="0" borderId="0" xfId="0" applyNumberFormat="1" applyFont="1" applyFill="1"/>
    <xf numFmtId="9" fontId="1" fillId="0" borderId="0" xfId="1" applyFont="1" applyFill="1"/>
    <xf numFmtId="3" fontId="1" fillId="0" borderId="0" xfId="1" applyNumberFormat="1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4" fillId="0" borderId="0" xfId="0" applyFont="1" applyFill="1"/>
    <xf numFmtId="0" fontId="11" fillId="0" borderId="0" xfId="0" applyFont="1" applyFill="1"/>
    <xf numFmtId="166" fontId="1" fillId="0" borderId="0" xfId="1" applyNumberFormat="1" applyFont="1"/>
    <xf numFmtId="3" fontId="11" fillId="0" borderId="0" xfId="1" applyNumberFormat="1" applyFont="1"/>
    <xf numFmtId="0" fontId="1" fillId="0" borderId="0" xfId="0" applyFont="1" applyAlignment="1">
      <alignment wrapText="1"/>
    </xf>
    <xf numFmtId="0" fontId="2" fillId="0" borderId="3" xfId="0" applyFont="1" applyBorder="1"/>
    <xf numFmtId="0" fontId="1" fillId="2" borderId="3" xfId="0" applyFont="1" applyFill="1" applyBorder="1"/>
    <xf numFmtId="0" fontId="14" fillId="2" borderId="3" xfId="0" applyFont="1" applyFill="1" applyBorder="1"/>
    <xf numFmtId="0" fontId="14" fillId="0" borderId="0" xfId="0" applyFont="1"/>
    <xf numFmtId="0" fontId="14" fillId="2" borderId="0" xfId="0" applyFont="1" applyFill="1"/>
    <xf numFmtId="0" fontId="1" fillId="0" borderId="2" xfId="0" applyFont="1" applyBorder="1"/>
    <xf numFmtId="0" fontId="14" fillId="0" borderId="2" xfId="0" applyFont="1" applyBorder="1"/>
  </cellXfs>
  <cellStyles count="2">
    <cellStyle name="Prozent" xfId="1" builtinId="5"/>
    <cellStyle name="Standard" xfId="0" builtinId="0"/>
  </cellStyles>
  <dxfs count="2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es Kochems" id="{51F1A2BF-5699-4337-B875-D53DBF6DE656}" userId="5db53a5ae892ca42" providerId="Windows Live"/>
  <person displayName="Johannes Kochems" id="{71FC54F3-5E8D-460B-9FCF-F7AD63FF6B98}" userId="Johannes Kochem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le589711" displayName="Tabelle589711" ref="A1:CN79" totalsRowShown="0" headerRowDxfId="2238" dataDxfId="2237" tableBorderDxfId="2236">
  <autoFilter ref="A1:CN79" xr:uid="{00000000-0009-0000-0100-00000A000000}"/>
  <tableColumns count="92">
    <tableColumn id="1" xr3:uid="{00000000-0010-0000-0600-000001000000}" name="Prozess" dataDxfId="2235"/>
    <tableColumn id="47" xr3:uid="{00000000-0010-0000-0600-00002F000000}" name="Sektorenzuordnung" dataDxfId="2234"/>
    <tableColumn id="2" xr3:uid="{00000000-0010-0000-0600-000002000000}" name="Jahr" dataDxfId="2233"/>
    <tableColumn id="52" xr3:uid="{00000000-0010-0000-0600-000034000000}" name="Lastverschiebung" dataDxfId="2232"/>
    <tableColumn id="53" xr3:uid="{00000000-0010-0000-0600-000035000000}" name="Lastverzicht" dataDxfId="2231"/>
    <tableColumn id="79" xr3:uid="{00000000-0010-0000-0600-00004F000000}" name="Lasterhöhung" dataDxfId="2230"/>
    <tableColumn id="72" xr3:uid="{B20C2450-827E-4E13-B508-1E5560999F24}" name="jährliche Produktion kt" dataDxfId="2229"/>
    <tableColumn id="80" xr3:uid="{DFD6CD8B-0CA5-4FCC-87E6-3CFB7ABB390A}" name="spez. StV kWh/t min" dataDxfId="2228"/>
    <tableColumn id="85" xr3:uid="{D2B50151-4C2D-452C-9AA6-50848499803C}" name="spez. StV kWh/t" dataDxfId="2227"/>
    <tableColumn id="82" xr3:uid="{F9CC59E2-4EA8-4A85-A748-2DECF5E1243F}" name="spez. StV kWh/t max" dataDxfId="2226"/>
    <tableColumn id="84" xr3:uid="{4EBA232D-7458-44C1-9938-CA0F8B9C2D25}" name="Stromverbrauch in TWh" dataDxfId="2225"/>
    <tableColumn id="70" xr3:uid="{00000000-0010-0000-0600-000046000000}" name="Potenzial pos. Lastabwurf MW aus Teillast" dataDxfId="2224"/>
    <tableColumn id="69" xr3:uid="{00000000-0010-0000-0600-000045000000}" name="Potenzial pos. Lastverschiebung MW" dataDxfId="2223"/>
    <tableColumn id="3" xr3:uid="{00000000-0010-0000-0600-000003000000}" name="Potenzial pos. min MW" dataDxfId="2222"/>
    <tableColumn id="75" xr3:uid="{00000000-0010-0000-0600-00004B000000}" name="Potenzial pos. Sommer MW" dataDxfId="2221"/>
    <tableColumn id="76" xr3:uid="{00000000-0010-0000-0600-00004C000000}" name="Potenzial pos. Winter MW" dataDxfId="2220"/>
    <tableColumn id="38" xr3:uid="{00000000-0010-0000-0600-000026000000}" name="Potenzial pos. MW Durchschnitt" dataDxfId="2219"/>
    <tableColumn id="71" xr3:uid="{00000000-0010-0000-0600-000047000000}" name="Potenzial pos. Literatur MW" dataDxfId="2218"/>
    <tableColumn id="5" xr3:uid="{00000000-0010-0000-0600-000005000000}" name="Potenzial pos. max MW" dataDxfId="2217"/>
    <tableColumn id="88" xr3:uid="{0116290E-AD3D-4C10-9D75-C27257168336}" name="Potenzial pos. max MW bei Vollauslastung" dataDxfId="2216"/>
    <tableColumn id="37" xr3:uid="{00000000-0010-0000-0600-000025000000}" name="ausgewiesenes Pot. pos. MW (falls abweichend)" dataDxfId="2215"/>
    <tableColumn id="73" xr3:uid="{00000000-0010-0000-0600-000049000000}" name="Potenzial neg. Lastverschiebung MW" dataDxfId="2214"/>
    <tableColumn id="50" xr3:uid="{00000000-0010-0000-0600-000032000000}" name="Potenzial neg. min MW" dataDxfId="2213"/>
    <tableColumn id="78" xr3:uid="{00000000-0010-0000-0600-00004E000000}" name="Potenzial neg. Sommer MW" dataDxfId="2212"/>
    <tableColumn id="77" xr3:uid="{00000000-0010-0000-0600-00004D000000}" name="Potenzial neg. Winter MW" dataDxfId="2211"/>
    <tableColumn id="41" xr3:uid="{00000000-0010-0000-0600-000029000000}" name="Potenzial neg. MW Durchschnitt" dataDxfId="2210"/>
    <tableColumn id="74" xr3:uid="{00000000-0010-0000-0600-00004A000000}" name="Potenzial neg. Literatur MW" dataDxfId="2209"/>
    <tableColumn id="6" xr3:uid="{00000000-0010-0000-0600-000006000000}" name="Potenzial neg. max MW" dataDxfId="2208"/>
    <tableColumn id="7" xr3:uid="{00000000-0010-0000-0600-000007000000}" name="Mindestleistung MW" dataDxfId="2207"/>
    <tableColumn id="8" xr3:uid="{00000000-0010-0000-0600-000008000000}" name="Mindestauslastung" dataDxfId="2206" dataCellStyle="Prozent"/>
    <tableColumn id="36" xr3:uid="{00000000-0010-0000-0600-000024000000}" name="flexibilisierbarer Anteil an Durchschnittslast" dataDxfId="2205" dataCellStyle="Prozent"/>
    <tableColumn id="86" xr3:uid="{51E77986-45AB-4F86-B8F7-3619215F5E7B}" name="Vollbenutzungsstunden h/a" dataDxfId="2204" dataCellStyle="Prozent"/>
    <tableColumn id="65" xr3:uid="{00000000-0010-0000-0600-000041000000}" name="Durchschnittsauslastung" dataDxfId="2203" dataCellStyle="Prozent"/>
    <tableColumn id="90" xr3:uid="{55ED8CB6-95BF-4607-9513-32CC667B409B}" name="Durchschnittsauslastung im Betriebszeitraum" dataDxfId="2202" dataCellStyle="Prozent"/>
    <tableColumn id="44" xr3:uid="{00000000-0010-0000-0600-00002C000000}" name="Durchschnittliche Leistung MW" dataDxfId="2201" dataCellStyle="Prozent">
      <calculatedColumnFormula>IF(Tabelle589711[[#This Row],[installierte Leistung MW]]&lt;&gt;"",Tabelle589711[[#This Row],[Durchschnittsauslastung]]*Tabelle589711[[#This Row],[installierte Leistung MW]],"")</calculatedColumnFormula>
    </tableColumn>
    <tableColumn id="9" xr3:uid="{00000000-0010-0000-0600-000009000000}" name="Maximalleistung MW" dataDxfId="2200">
      <calculatedColumnFormula>IF(Tabelle589711[[#This Row],[installierte Leistung MW]]&lt;&gt;"",Tabelle589711[[#This Row],[installierte Leistung MW]],"")</calculatedColumnFormula>
    </tableColumn>
    <tableColumn id="46" xr3:uid="{00000000-0010-0000-0600-00002E000000}" name="Maximalauslastung" dataDxfId="2199" dataCellStyle="Prozent"/>
    <tableColumn id="10" xr3:uid="{00000000-0010-0000-0600-00000A000000}" name="installierte Leistung MW" dataDxfId="2198"/>
    <tableColumn id="92" xr3:uid="{ED84D14C-0AAC-4396-98E3-612BB7B8063E}" name="installierte Leistung MW min" dataDxfId="2197"/>
    <tableColumn id="91" xr3:uid="{4CCEE92F-967B-4215-8454-3B960F4FA6FB}" name="installierte Leistung MW max" dataDxfId="2196"/>
    <tableColumn id="68" xr3:uid="{00000000-0010-0000-0600-000044000000}" name="Aktivierungsdauer min (h)" dataDxfId="2195">
      <calculatedColumnFormula>0.01/60</calculatedColumnFormula>
    </tableColumn>
    <tableColumn id="67" xr3:uid="{00000000-0010-0000-0600-000043000000}" name="Aktivierungsdauer max (h)" dataDxfId="2194"/>
    <tableColumn id="11" xr3:uid="{00000000-0010-0000-0600-00000B000000}" name="Aktivierungsdauer (h)" dataDxfId="2193">
      <calculatedColumnFormula>0.1/60</calculatedColumnFormula>
    </tableColumn>
    <tableColumn id="61" xr3:uid="{00000000-0010-0000-0600-00003D000000}" name="Schaltdauer pos. min (h)" dataDxfId="2192"/>
    <tableColumn id="60" xr3:uid="{00000000-0010-0000-0600-00003C000000}" name="Schaltdauer pos. max (h)" dataDxfId="2191"/>
    <tableColumn id="12" xr3:uid="{00000000-0010-0000-0600-00000C000000}" name="Schaltdauer pos. (h)" dataDxfId="2190"/>
    <tableColumn id="63" xr3:uid="{00000000-0010-0000-0600-00003F000000}" name="Schaltdauer neg min (h)" dataDxfId="2189"/>
    <tableColumn id="62" xr3:uid="{00000000-0010-0000-0600-00003E000000}" name="Schaltdauer neg. max (h)" dataDxfId="2188"/>
    <tableColumn id="51" xr3:uid="{00000000-0010-0000-0600-000033000000}" name="Schaltdauer neg. (h)" dataDxfId="2187"/>
    <tableColumn id="42" xr3:uid="{00000000-0010-0000-0600-00002A000000}" name="Verschiebedauer min. (h)" dataDxfId="2186"/>
    <tableColumn id="4" xr3:uid="{00000000-0010-0000-0600-000004000000}" name="Verschiebedauer max (h)" dataDxfId="2185"/>
    <tableColumn id="13" xr3:uid="{00000000-0010-0000-0600-00000D000000}" name="Verschiebedauer (h)" dataDxfId="2184"/>
    <tableColumn id="14" xr3:uid="{00000000-0010-0000-0600-00000E000000}" name="Regenerationsdauer (h)" dataDxfId="2183"/>
    <tableColumn id="15" xr3:uid="{00000000-0010-0000-0600-00000F000000}" name="Zeitverfügbarkeit?" dataDxfId="2182"/>
    <tableColumn id="16" xr3:uid="{00000000-0010-0000-0600-000010000000}" name="max. Abrufhäufigkeit pro Woche" dataDxfId="2181"/>
    <tableColumn id="40" xr3:uid="{00000000-0010-0000-0600-000028000000}" name="max. Abrufhäufigkeit pro Jahr Lastverschiebung" dataDxfId="2180"/>
    <tableColumn id="89" xr3:uid="{181B7AEA-F0FD-4284-AA00-65D9D8BA6197}" name="max. Abrufhäufigkeit pro Jahr Lastverzicht" dataDxfId="2179">
      <calculatedColumnFormula>Tabelle589711[[#This Row],[max. Abrufhäufigkeit pro Jahr Lastverschiebung]]/3</calculatedColumnFormula>
    </tableColumn>
    <tableColumn id="57" xr3:uid="{00000000-0010-0000-0600-000039000000}" name="min. Investitionsausgaben €_2018/kW" dataDxfId="2178"/>
    <tableColumn id="56" xr3:uid="{00000000-0010-0000-0600-000038000000}" name="max. Investitionsausgaben €_2018/kW" dataDxfId="2177"/>
    <tableColumn id="17" xr3:uid="{00000000-0010-0000-0600-000011000000}" name="Investitionsausgaben €_2018/kW" dataDxfId="2176"/>
    <tableColumn id="59" xr3:uid="{00000000-0010-0000-0600-00003B000000}" name="var. Kosten min. €_2018/MWh" dataDxfId="2175"/>
    <tableColumn id="58" xr3:uid="{00000000-0010-0000-0600-00003A000000}" name="var. Kosten max. €_2018/MWh" dataDxfId="2174"/>
    <tableColumn id="18" xr3:uid="{00000000-0010-0000-0600-000012000000}" name="variable Kosten €_2018/MWh" dataDxfId="2173"/>
    <tableColumn id="64" xr3:uid="{00000000-0010-0000-0600-000040000000}" name="fixe Kosten min. €_2018/kW*a" dataDxfId="2172"/>
    <tableColumn id="19" xr3:uid="{00000000-0010-0000-0600-000013000000}" name="fixe Kosten €_2018/kW*a" dataDxfId="2171"/>
    <tableColumn id="48" xr3:uid="{00000000-0010-0000-0600-000030000000}" name="Investitionsausgaben je Anschlusspunkt (€_2018)" dataDxfId="2170"/>
    <tableColumn id="20" xr3:uid="{00000000-0010-0000-0600-000014000000}" name="Bemerkungen" dataDxfId="2169"/>
    <tableColumn id="55" xr3:uid="{00000000-0010-0000-0600-000037000000}" name="Fundstelle Lastverschiebung" dataDxfId="2168"/>
    <tableColumn id="54" xr3:uid="{00000000-0010-0000-0600-000036000000}" name="Fundstelle Lastverzicht" dataDxfId="2167"/>
    <tableColumn id="81" xr3:uid="{BFFF0E9D-5762-4501-9AED-3BE243495168}" name="Fundstelle Produktion" dataDxfId="2166"/>
    <tableColumn id="83" xr3:uid="{7C89B8C1-6B07-4858-BE2D-E0BB2B86EB93}" name="Fundstelle Stromverbrauch" dataDxfId="2165"/>
    <tableColumn id="21" xr3:uid="{00000000-0010-0000-0600-000015000000}" name="Fundstelle Potenzial pos." dataDxfId="2164"/>
    <tableColumn id="22" xr3:uid="{00000000-0010-0000-0600-000016000000}" name="Fundstelle Potenzial neg." dataDxfId="2163"/>
    <tableColumn id="23" xr3:uid="{00000000-0010-0000-0600-000017000000}" name="Fundstelle Mindestleistung" dataDxfId="2162"/>
    <tableColumn id="43" xr3:uid="{00000000-0010-0000-0600-00002B000000}" name="Fundstelle flexibilisierbarer Anteil" dataDxfId="2161"/>
    <tableColumn id="87" xr3:uid="{DBDEEC53-1C5F-4139-8131-941377563E46}" name="Fundstelle Vollbenutzungsstunden" dataDxfId="2160"/>
    <tableColumn id="66" xr3:uid="{00000000-0010-0000-0600-000042000000}" name="Fundstelle Durchschnittsauslastung" dataDxfId="2159"/>
    <tableColumn id="45" xr3:uid="{00000000-0010-0000-0600-00002D000000}" name="Fundstelle durchschnittliche Leistung" dataDxfId="2158"/>
    <tableColumn id="24" xr3:uid="{00000000-0010-0000-0600-000018000000}" name="Fundstelle Maximalleistung" dataDxfId="2157"/>
    <tableColumn id="25" xr3:uid="{00000000-0010-0000-0600-000019000000}" name="Fundstelle installierte Leistung" dataDxfId="2156"/>
    <tableColumn id="39" xr3:uid="{00000000-0010-0000-0600-000027000000}" name="Fundstelle Aktivierungsdauer" dataDxfId="2155"/>
    <tableColumn id="26" xr3:uid="{00000000-0010-0000-0600-00001A000000}" name="Fundstelle Schaltdauer" dataDxfId="2154"/>
    <tableColumn id="27" xr3:uid="{00000000-0010-0000-0600-00001B000000}" name="Fundstelle Verschiebedauer" dataDxfId="2153"/>
    <tableColumn id="28" xr3:uid="{00000000-0010-0000-0600-00001C000000}" name="Fundstelle Regenerationsdauer" dataDxfId="2152"/>
    <tableColumn id="29" xr3:uid="{00000000-0010-0000-0600-00001D000000}" name="Fundstelle Zeitverfügbarkeit" dataDxfId="2151"/>
    <tableColumn id="30" xr3:uid="{00000000-0010-0000-0600-00001E000000}" name="Fundstelle max. Abrufhäufigkeit" dataDxfId="2150"/>
    <tableColumn id="31" xr3:uid="{00000000-0010-0000-0600-00001F000000}" name="Fundstelle Invest" dataDxfId="2149"/>
    <tableColumn id="32" xr3:uid="{00000000-0010-0000-0600-000020000000}" name="Fundstelle var. Kosten" dataDxfId="2148"/>
    <tableColumn id="33" xr3:uid="{00000000-0010-0000-0600-000021000000}" name="Fundstelle fixe Kosten" dataDxfId="2147"/>
    <tableColumn id="49" xr3:uid="{00000000-0010-0000-0600-000031000000}" name="Fundstelle Investition je Anschlusspunkt" dataDxfId="2146"/>
    <tableColumn id="34" xr3:uid="{00000000-0010-0000-0600-000022000000}" name="Fundstelle Bemerkungen" dataDxfId="2145"/>
    <tableColumn id="35" xr3:uid="{00000000-0010-0000-0600-000023000000}" name="eigene Anmerkung" dataDxfId="214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394490D-9212-4113-B115-5667447D6819}" name="Tabelle589711172832" displayName="Tabelle589711172832" ref="A1:BY12" totalsRowShown="0" headerRowDxfId="1506" dataDxfId="1505" tableBorderDxfId="1504">
  <autoFilter ref="A1:BY12" xr:uid="{F701B2EC-E2AD-4208-957E-2645E6882D66}"/>
  <tableColumns count="77">
    <tableColumn id="1" xr3:uid="{DC6BC179-EF4B-4362-85B7-F94DCFF1400E}" name="Prozess" dataDxfId="1503"/>
    <tableColumn id="47" xr3:uid="{1E562F7D-0294-4D8A-8E3A-1A8AC50C13C5}" name="Sektorenzuordnung" dataDxfId="1502"/>
    <tableColumn id="2" xr3:uid="{557A65FD-3A5C-463A-97EE-0E6CF65B4C27}" name="Jahr" dataDxfId="1501"/>
    <tableColumn id="52" xr3:uid="{59337E75-E973-46A2-85CD-5E4C30936482}" name="Lastverschiebung" dataDxfId="1500"/>
    <tableColumn id="53" xr3:uid="{47DDB4D2-154C-4604-86E0-D2ECD974853B}" name="Lastverzicht" dataDxfId="1499"/>
    <tableColumn id="68" xr3:uid="{B5CE66E4-D69D-4D9B-BE03-A44C94AEECD6}" name="Lasterhöhung" dataDxfId="1498"/>
    <tableColumn id="76" xr3:uid="{CD72026E-AAC6-4DC5-BEBD-38776B6EC245}" name="Stromverbrauch von TWh" dataDxfId="1497"/>
    <tableColumn id="69" xr3:uid="{397FF19B-0798-4828-AE6C-0781813F0841}" name="Stromverbrauch bis TWh" dataDxfId="1496"/>
    <tableColumn id="3" xr3:uid="{D3CF2327-31C5-4C96-82FF-6A482860E650}" name="Potenzial pos. min MW" dataDxfId="1495"/>
    <tableColumn id="75" xr3:uid="{86F5F6FB-3FE5-4447-8E6F-28626C87AB9E}" name="Potenzial pos. MW Durchschnitt Winter" dataDxfId="1494"/>
    <tableColumn id="38" xr3:uid="{34B8C0F8-29BC-4993-AD7C-89E8CFEFD0DA}" name="Potenzial pos. MW Durchschnitt Sommer" dataDxfId="1493"/>
    <tableColumn id="5" xr3:uid="{C9FBA385-3319-410C-9E95-D75ADAF90F00}" name="Potenzial pos. max MW" dataDxfId="1492"/>
    <tableColumn id="37" xr3:uid="{4033412C-F990-4AD2-8E9C-A03B5ABB0545}" name="ausgewiesenes Pot. pos. MW (falls abweichend)" dataDxfId="1491"/>
    <tableColumn id="50" xr3:uid="{00A10106-9BFC-4BCD-9BF6-E5EC10846CBB}" name="Potenzial neg. min MW" dataDxfId="1490"/>
    <tableColumn id="41" xr3:uid="{F6BCC037-E74A-46E2-A7BB-951C2F3F046C}" name="Potenzial neg. MW Durchschnitt Winter" dataDxfId="1489"/>
    <tableColumn id="74" xr3:uid="{7501D560-A540-4CF0-9493-781F98A90DBE}" name="Potenzial neg. MW Durchschnitt Sommer" dataDxfId="1488"/>
    <tableColumn id="6" xr3:uid="{BA722911-42F2-4D14-915F-A100E95C2268}" name="Potenzial neg. max MW" dataDxfId="1487"/>
    <tableColumn id="7" xr3:uid="{FFD97DFC-A711-499A-BED7-5015D876FEBF}" name="Mindestleistung MW" dataDxfId="1486"/>
    <tableColumn id="8" xr3:uid="{84E64957-1E9D-48C7-A06E-E7B5457A1180}" name="Mindestauslastung" dataDxfId="1485" dataCellStyle="Prozent"/>
    <tableColumn id="36" xr3:uid="{7021F6C5-608E-4A20-9686-037C7C0EE956}" name="flexibilisierbarer Anteil pos." dataDxfId="1484" dataCellStyle="Prozent"/>
    <tableColumn id="73" xr3:uid="{116DBAF6-360B-41D4-AFF4-2B005B4105BE}" name="flexibilisierbarer Anteil neg." dataDxfId="1483" dataCellStyle="Prozent"/>
    <tableColumn id="65" xr3:uid="{9ED8E38F-9980-40B3-AEE6-D993D61DB630}" name="Durchschnittsauslastung" dataDxfId="1482" dataCellStyle="Prozent"/>
    <tableColumn id="71" xr3:uid="{6B326485-26D9-4A47-B154-914784C9A5CD}" name="Vollbenutzungsstunden h/a" dataDxfId="1481" dataCellStyle="Prozent"/>
    <tableColumn id="44" xr3:uid="{97D186C2-522E-44DF-BBEA-DDC2D8F65070}" name="Durchschnittliche Leistung MW" dataDxfId="1480" dataCellStyle="Prozent"/>
    <tableColumn id="9" xr3:uid="{F1FC41B8-1308-4099-9233-0D4F701AC58B}" name="Maximalleistung MW" dataDxfId="1479"/>
    <tableColumn id="46" xr3:uid="{20FE6C32-3BC8-4BC2-A20A-65D78A9F6081}" name="Maximalauslastung" dataDxfId="1478" dataCellStyle="Prozent"/>
    <tableColumn id="10" xr3:uid="{C7F68E8B-0C4A-48EF-90EC-2F76ED8AB457}" name="installierte Leistung MW" dataDxfId="1477"/>
    <tableColumn id="11" xr3:uid="{F67F7135-78D8-4FC1-AED5-C20212DCBE63}" name="Aktivierungsdauer (h)" dataDxfId="1476"/>
    <tableColumn id="61" xr3:uid="{5A60CEF2-953F-4BA1-820D-70D5D9D8C650}" name="Schaltdauer pos. min (h)" dataDxfId="1475"/>
    <tableColumn id="60" xr3:uid="{FA27EBC3-4CA1-408D-BE04-3E7F7EF3C069}" name="Schaltdauer pos. max (h)" dataDxfId="1474"/>
    <tableColumn id="12" xr3:uid="{931633FF-2F96-499C-AC78-95715C929F3F}" name="Schaltdauer pos. (h)" dataDxfId="1473"/>
    <tableColumn id="63" xr3:uid="{ACCC1A9A-ECD9-41FF-8110-65BE67EB2280}" name="Schaltdauer neg min (h)" dataDxfId="1472"/>
    <tableColumn id="62" xr3:uid="{2D44AE9E-C3E4-4D36-926A-DF7EED1522C3}" name="Schaltdauer neg. max (h)" dataDxfId="1471"/>
    <tableColumn id="51" xr3:uid="{A7A9328D-887B-4641-B0D6-8C5A1D24CE69}" name="Schaltdauer neg. (h)" dataDxfId="1470"/>
    <tableColumn id="42" xr3:uid="{D6E9EBCD-2921-483F-BF94-3E9FD6BF44D2}" name="Verschiebedauer min. (h)" dataDxfId="1469"/>
    <tableColumn id="4" xr3:uid="{C619249B-F12B-48AB-AF0C-D4843EF7AC0E}" name="Verschiebedauer max (h)" dataDxfId="1468"/>
    <tableColumn id="13" xr3:uid="{1BDC2835-DB25-4AAA-91D2-CFDD8C6DA7F1}" name="Verschiebedauer (h)" dataDxfId="1467"/>
    <tableColumn id="14" xr3:uid="{CF01983C-B175-4BF0-A373-3E8C677BA915}" name="Regenerationsdauer (h)" dataDxfId="1466"/>
    <tableColumn id="15" xr3:uid="{CBDEB952-3864-47D3-9D08-128D3A9AB783}" name="Zeitverfügbarkeit?" dataDxfId="1465"/>
    <tableColumn id="16" xr3:uid="{98A1B448-5BC4-4DFF-8C51-FED58CC1EB4D}" name="max. Abrufhäufigkeit pro Woche" dataDxfId="1464"/>
    <tableColumn id="40" xr3:uid="{97069CBF-9A74-4BF1-9F07-094CE005EDDD}" name="max. Abrufhäufigkeit pro Jahr" dataDxfId="1463"/>
    <tableColumn id="57" xr3:uid="{1A7341A9-0C94-4EE4-8EC3-E5DF375124B8}" name="min. Investitionsausgaben €_2018/kW" dataDxfId="1462"/>
    <tableColumn id="56" xr3:uid="{B43B3448-A734-420C-9FE9-A81167DE2850}" name="max. Investitionsausgaben €_2018/kW" dataDxfId="1461"/>
    <tableColumn id="17" xr3:uid="{E8182D62-D260-481A-9BBC-3AA9EB6D4E6C}" name="Investitionsausgaben €_2018/kW" dataDxfId="1460"/>
    <tableColumn id="70" xr3:uid="{2FE6B4A1-7D5C-423E-B5D0-6DD8C39E40FA}" name="Betriebskosten €_2018/kW*a" dataDxfId="1459">
      <calculatedColumnFormula>2.43*Umrechnungsfaktoren!$B$15/Umrechnungsfaktoren!$B$7</calculatedColumnFormula>
    </tableColumn>
    <tableColumn id="59" xr3:uid="{8A9B3736-E5CC-41D5-8F81-EDDFEDB58D7D}" name="var. Kosten min. €_2018/MWh" dataDxfId="1458"/>
    <tableColumn id="58" xr3:uid="{3BA71C54-2C2F-4DF4-9AEC-7F95B14D4D38}" name="var. Kosten max. €_2018/MWh" dataDxfId="1457"/>
    <tableColumn id="18" xr3:uid="{78092BBB-1015-49F5-84A1-143D4AD46B70}" name="variable Kosten €_2018/MWh" dataDxfId="1456"/>
    <tableColumn id="64" xr3:uid="{79089E9D-B9A3-40BA-87CB-E7AD0E35DB7D}" name="fixe Kosten min. €_2018/kW*a" dataDxfId="1455"/>
    <tableColumn id="67" xr3:uid="{87279FD6-D649-4251-9DC7-6047E647DBD9}" name="fixe Kosten max. €_2018/kW*a" dataDxfId="1454"/>
    <tableColumn id="19" xr3:uid="{C31FB313-F989-4144-B955-C1A24B700E1F}" name="fixe Kosten €_2018/kW*a" dataDxfId="1453"/>
    <tableColumn id="48" xr3:uid="{CC34402F-9188-4D59-85F9-256FD5EC6217}" name="Investitionsausgaben je Anschlusspunkt (€_2018)" dataDxfId="1452"/>
    <tableColumn id="20" xr3:uid="{A15C4103-9178-4ADD-A090-ECAC24C99A7C}" name="Bemerkungen" dataDxfId="1451"/>
    <tableColumn id="55" xr3:uid="{05676995-98E1-43CE-9A69-A14498A3B83D}" name="Fundstelle Lastverschiebung" dataDxfId="1450"/>
    <tableColumn id="54" xr3:uid="{9EBA6FFC-121B-4843-B9A7-ADC3E3BC4AE0}" name="Fundstelle Lastverzicht" dataDxfId="1449"/>
    <tableColumn id="77" xr3:uid="{B8DB8FCD-1760-4661-9C41-1B90392388F2}" name="Fundstelle Stromverbrauch" dataDxfId="1448"/>
    <tableColumn id="21" xr3:uid="{D199A964-2A23-4A9C-9953-6C8672990CBB}" name="Fundstelle Potenzial pos." dataDxfId="1447"/>
    <tableColumn id="22" xr3:uid="{DD4DA05A-F4A6-4604-9694-92DA6E401C4B}" name="Fundstelle Potenzial neg." dataDxfId="1446"/>
    <tableColumn id="23" xr3:uid="{2A48AF6A-4D58-4095-8482-BC40F69C89FD}" name="Fundstelle Mindestleistung" dataDxfId="1445"/>
    <tableColumn id="43" xr3:uid="{1E167E9E-CEFD-4CFA-B585-1E08BFEA0D2B}" name="Fundstelle flexibilisierbarer Anteil" dataDxfId="1444"/>
    <tableColumn id="66" xr3:uid="{79292C97-7591-4197-A9CE-C3156798D34D}" name="Fundstelle Durchschnittsauslastung" dataDxfId="1443"/>
    <tableColumn id="45" xr3:uid="{3708DFAF-62EC-4AD8-B086-B6483B6D3591}" name="Fundstelle durchschnittliche Leistung" dataDxfId="1442"/>
    <tableColumn id="24" xr3:uid="{4C5D21DA-3386-479F-BA98-D4AE50E16868}" name="Fundstelle Maximalleistung" dataDxfId="1441"/>
    <tableColumn id="25" xr3:uid="{6E2AE81D-F133-4AB5-895B-E22279C52740}" name="Fundstelle installierte Leistung" dataDxfId="1440"/>
    <tableColumn id="39" xr3:uid="{A27B5C99-08A7-459F-9E39-0BC5E4BA9950}" name="Fundstelle Aktivierungsdauer" dataDxfId="1439"/>
    <tableColumn id="26" xr3:uid="{B3BFBE45-058D-4393-941F-2E3D43FC56C8}" name="Fundstelle Schaltdauer" dataDxfId="1438"/>
    <tableColumn id="27" xr3:uid="{2459CC72-4FFF-4870-95F3-70B40F3A98E9}" name="Fundstelle Verschiebedauer" dataDxfId="1437"/>
    <tableColumn id="28" xr3:uid="{B97B5826-19DF-41FC-A4E4-2FCD46BEBA88}" name="Fundstelle Regenerationsdauer" dataDxfId="1436"/>
    <tableColumn id="29" xr3:uid="{71B88CE5-05EC-4F10-B8E3-ACFEAEE8C11F}" name="Fundstelle Zeitverfügbarkeit" dataDxfId="1435"/>
    <tableColumn id="30" xr3:uid="{8D8D59F6-FD90-44D6-B9DF-BC9D00A6015E}" name="Fundstelle max. Abrufhäufigkeit" dataDxfId="1434"/>
    <tableColumn id="31" xr3:uid="{9499DFE7-EED8-4FA8-8198-D43B3BB3E679}" name="Fundstelle Invest" dataDxfId="1433"/>
    <tableColumn id="72" xr3:uid="{931407FA-5243-49A1-9BD0-1031DBA7B183}" name="Fundstelle Betriebskosten" dataDxfId="1432"/>
    <tableColumn id="32" xr3:uid="{48FB4110-3DCE-466D-AFDD-614A315265FA}" name="Fundstelle var. Kosten" dataDxfId="1431"/>
    <tableColumn id="33" xr3:uid="{47120383-5A92-4E4B-BFC8-1430505D4464}" name="Fundstelle fixe Kosten" dataDxfId="1430"/>
    <tableColumn id="49" xr3:uid="{5D2BA273-43CE-461D-8BBC-CD0668A5E402}" name="Fundstelle Investition je Anschlusspunkt" dataDxfId="1429"/>
    <tableColumn id="34" xr3:uid="{5A6692FA-3568-4D46-AE38-D017E754D4B8}" name="Fundstelle Bemerkungen" dataDxfId="1428"/>
    <tableColumn id="35" xr3:uid="{C7354FD5-1239-4593-824B-1503C92C5B0C}" name="eigene Anmerkung" dataDxfId="142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70B4467-5655-4FB4-B499-7E2249628D9B}" name="Tabelle5897111728" displayName="Tabelle5897111728" ref="A1:BT7" totalsRowShown="0" headerRowDxfId="1426" dataDxfId="1425" tableBorderDxfId="1424">
  <autoFilter ref="A1:BT7" xr:uid="{AE11E327-A0B3-4E98-A3F3-1BDD32A06945}"/>
  <tableColumns count="72">
    <tableColumn id="1" xr3:uid="{1B6C1A63-9A69-45F9-8F63-0C1CCD81B33F}" name="Prozess" dataDxfId="1423"/>
    <tableColumn id="47" xr3:uid="{DD252FB6-A304-4598-9F7B-E9C47270DF1F}" name="Sektorenzuordnung" dataDxfId="1422"/>
    <tableColumn id="2" xr3:uid="{166090E1-D564-44D6-9E47-5CC8D4CAB587}" name="Jahr" dataDxfId="1421"/>
    <tableColumn id="52" xr3:uid="{78681D84-5EBB-413A-A252-15B395CF771F}" name="Lastverschiebung" dataDxfId="1420"/>
    <tableColumn id="53" xr3:uid="{F96A7A76-11EE-443F-8727-346CF40F0D46}" name="Lastverzicht" dataDxfId="1419"/>
    <tableColumn id="68" xr3:uid="{3F4677B5-D8D2-4AA4-8039-6C8F6E4D935E}" name="Lasterhöhung" dataDxfId="1418"/>
    <tableColumn id="3" xr3:uid="{877C3B6F-77AA-4EA5-85B2-85062B1CF323}" name="Potenzial pos. min MW" dataDxfId="1417"/>
    <tableColumn id="38" xr3:uid="{E9AAD5B7-DBBC-4FD7-B6F3-FD1504432ECC}" name="Potenzial pos. MW Durchschnitt" dataDxfId="1416"/>
    <tableColumn id="5" xr3:uid="{1D9C9BAF-69D5-414A-BABA-D73F3772627A}" name="Potenzial pos. max MW" dataDxfId="1415"/>
    <tableColumn id="37" xr3:uid="{7CB725C0-1C1D-4E1B-BDF0-9D7104F220AC}" name="ausgewiesenes Pot. pos. MW (falls abweichend)" dataDxfId="1414"/>
    <tableColumn id="50" xr3:uid="{F5D99896-76F4-4A11-A3B9-9DC88C55A538}" name="Potenzial neg. min MW" dataDxfId="1413"/>
    <tableColumn id="41" xr3:uid="{2445EA3E-8B4E-4F02-ADBF-A32063679126}" name="Potenzial neg. MW Durchschnitt" dataDxfId="1412"/>
    <tableColumn id="6" xr3:uid="{542E41EB-2424-468B-A6AB-A29A7ED9EF8C}" name="Potenzial neg. max MW" dataDxfId="1411"/>
    <tableColumn id="7" xr3:uid="{4EA11DD7-ADBC-4308-A572-13B6A9EEC351}" name="Mindestleistung MW" dataDxfId="1410"/>
    <tableColumn id="8" xr3:uid="{03C2C975-C5A7-445E-A280-BAE3ADDCC9C3}" name="Mindestauslastung" dataDxfId="1409" dataCellStyle="Prozent"/>
    <tableColumn id="36" xr3:uid="{8D47BB57-9BA7-40F5-AE9C-ABA5B965B156}" name="flexibilisierbarer Anteil" dataDxfId="1408" dataCellStyle="Prozent"/>
    <tableColumn id="65" xr3:uid="{0EEFB969-ECD7-40FB-B2E0-1AFDEB243AC9}" name="Durchschnittsauslastung" dataDxfId="1407" dataCellStyle="Prozent">
      <calculatedColumnFormula>Tabelle5897111728[[#This Row],[Vollbenutzungsstunden h/a]]/8760</calculatedColumnFormula>
    </tableColumn>
    <tableColumn id="71" xr3:uid="{1E26E7E8-26F0-452A-A67C-2FE0C67D697B}" name="Vollbenutzungsstunden h/a" dataDxfId="1406" dataCellStyle="Prozent"/>
    <tableColumn id="44" xr3:uid="{9D342217-0BA8-4BA0-968F-27651EB3D823}" name="Durchschnittliche Leistung MW" dataDxfId="1405" dataCellStyle="Prozent"/>
    <tableColumn id="9" xr3:uid="{83877863-389D-4EB9-809C-D57ED1124005}" name="Maximalleistung MW" dataDxfId="1404"/>
    <tableColumn id="46" xr3:uid="{0CEA1533-8914-4F58-BD65-1F13D90E67E3}" name="Maximalauslastung" dataDxfId="1403" dataCellStyle="Prozent"/>
    <tableColumn id="10" xr3:uid="{B254290B-E211-4BCD-BA8C-548AD1FAC95B}" name="installierte Leistung MW" dataDxfId="1402"/>
    <tableColumn id="11" xr3:uid="{AFE627B7-F2B2-4D99-958E-9558063501E2}" name="Aktivierungsdauer (h)" dataDxfId="1401">
      <calculatedColumnFormula>60/3600</calculatedColumnFormula>
    </tableColumn>
    <tableColumn id="61" xr3:uid="{B351A89A-B002-477B-8963-A25D4C806E67}" name="Schaltdauer pos. min (h)" dataDxfId="1400"/>
    <tableColumn id="60" xr3:uid="{08C3D0A6-3507-49DE-98D8-4D07A958074B}" name="Schaltdauer pos. max (h)" dataDxfId="1399"/>
    <tableColumn id="12" xr3:uid="{02B08055-600D-4880-811F-9841B11A82C1}" name="Schaltdauer pos. (h)" dataDxfId="1398"/>
    <tableColumn id="63" xr3:uid="{C71C8A8F-5CAC-491C-9707-39A714C9819D}" name="Schaltdauer neg min (h)" dataDxfId="1397"/>
    <tableColumn id="62" xr3:uid="{ABB7380E-1700-4531-9601-041CB137C37B}" name="Schaltdauer neg. max (h)" dataDxfId="1396"/>
    <tableColumn id="51" xr3:uid="{E1AE0EEC-4CB6-476C-B7D9-DA36AAAA6469}" name="Schaltdauer neg. (h)" dataDxfId="1395"/>
    <tableColumn id="42" xr3:uid="{846A6C6C-5E35-44DB-AC63-333F9C6ABA0F}" name="Verschiebedauer min. (h)" dataDxfId="1394"/>
    <tableColumn id="4" xr3:uid="{47B78741-D0DE-4578-84E2-17B8DE103362}" name="Verschiebedauer max (h)" dataDxfId="1393"/>
    <tableColumn id="13" xr3:uid="{6D352065-FCB4-4073-A8C1-A29BDB3DB40E}" name="Verschiebedauer (h)" dataDxfId="1392"/>
    <tableColumn id="14" xr3:uid="{175FBA07-8CA6-4668-9880-F1E39BBFB070}" name="Regenerationsdauer (h)" dataDxfId="1391"/>
    <tableColumn id="15" xr3:uid="{EDF509CA-111B-4B6A-A93A-FC9C03E66020}" name="Zeitverfügbarkeit?" dataDxfId="1390"/>
    <tableColumn id="16" xr3:uid="{E041B129-E315-4420-8E19-A0F40B389798}" name="max. Abrufhäufigkeit pro Woche" dataDxfId="1389">
      <calculatedColumnFormula>7</calculatedColumnFormula>
    </tableColumn>
    <tableColumn id="40" xr3:uid="{1319B0DF-14C3-4D9F-AB87-33F2653B99E2}" name="max. Abrufhäufigkeit pro Jahr" dataDxfId="1388"/>
    <tableColumn id="57" xr3:uid="{63811DD0-9579-4F52-B31C-DAC28FEB5628}" name="min. Investitionsausgaben €_2018/kW" dataDxfId="1387">
      <calculatedColumnFormula>0</calculatedColumnFormula>
    </tableColumn>
    <tableColumn id="56" xr3:uid="{EB322A90-3156-4958-A962-44A0D3ABE274}" name="max. Investitionsausgaben €_2018/kW" dataDxfId="1386">
      <calculatedColumnFormula>100*Umrechnungsfaktoren!$B$15/Umrechnungsfaktoren!$B$12</calculatedColumnFormula>
    </tableColumn>
    <tableColumn id="17" xr3:uid="{3D86A3FB-ABAA-4385-9010-65D5DF428636}" name="Investitionsausgaben €_2018/kW" dataDxfId="1385"/>
    <tableColumn id="70" xr3:uid="{2A27CBA6-227A-4C0E-A88C-BC7CFE0576F6}" name="zus. Betriebskosten p.a. min. (€)" dataDxfId="1384">
      <calculatedColumnFormula>10*Umrechnungsfaktoren!$B$15/Umrechnungsfaktoren!$B$12</calculatedColumnFormula>
    </tableColumn>
    <tableColumn id="69" xr3:uid="{BEE68730-C882-4535-9344-E0220DD4467C}" name="zus. Betriebskosten p.a. max. (€)" dataDxfId="1383">
      <calculatedColumnFormula>10</calculatedColumnFormula>
    </tableColumn>
    <tableColumn id="59" xr3:uid="{69166F25-A908-486C-8C84-A1D9C0EA23E4}" name="var. Kosten min. €_2018/MWh" dataDxfId="1382"/>
    <tableColumn id="58" xr3:uid="{430CA2D8-99D0-4CF8-9068-8B80935D7D4C}" name="var. Kosten max. €_2018/MWh" dataDxfId="1381"/>
    <tableColumn id="18" xr3:uid="{4B50DE49-9158-4DCB-B491-C6D2313EFF00}" name="variable Kosten €_2018/MWh" dataDxfId="1380"/>
    <tableColumn id="64" xr3:uid="{85900CE1-F0BA-4E0F-945C-9B311E1C41A8}" name="fixe Kosten min. €_2018/kW*a" dataDxfId="1379"/>
    <tableColumn id="67" xr3:uid="{8E103EC3-158E-4F5D-856D-CEB6F6C48A1D}" name="fixe Kosten max. €_2018/kW*a" dataDxfId="1378"/>
    <tableColumn id="19" xr3:uid="{8F50806E-FFB1-43D1-812E-5D7AAA75EF88}" name="fixe Kosten €_2018/kW*a" dataDxfId="1377">
      <calculatedColumnFormula>10*Umrechnungsfaktoren!$B$15/Umrechnungsfaktoren!$B$12</calculatedColumnFormula>
    </tableColumn>
    <tableColumn id="48" xr3:uid="{2F1AD5E6-80CB-498A-8D7A-636D215492C5}" name="Investitionsausgaben je Anschlusspunkt (€_2018)" dataDxfId="1376"/>
    <tableColumn id="20" xr3:uid="{A9A23859-9C4C-4963-AC72-C42422020780}" name="Bemerkungen" dataDxfId="1375"/>
    <tableColumn id="55" xr3:uid="{67896037-C30A-448B-B01F-5651610E7263}" name="Fundstelle Lastverschiebung" dataDxfId="1374"/>
    <tableColumn id="54" xr3:uid="{9112FE7D-6BB6-402E-BE80-849D23B2415C}" name="Fundstelle Lastverzicht" dataDxfId="1373"/>
    <tableColumn id="21" xr3:uid="{B2A11AAA-EF31-44EC-962D-A3EF057CC02E}" name="Fundstelle Potenzial pos." dataDxfId="1372"/>
    <tableColumn id="22" xr3:uid="{46D3FC14-1E62-4B6A-93E0-EA54A57D30C3}" name="Fundstelle Potenzial neg." dataDxfId="1371"/>
    <tableColumn id="23" xr3:uid="{7C61F400-71FD-4C79-86B9-4A00A3F55D72}" name="Fundstelle Mindestleistung" dataDxfId="1370"/>
    <tableColumn id="43" xr3:uid="{E1090F9D-05D7-4CAC-9A42-C274ABAE8535}" name="Fundstelle flexibilisierbarer Anteil" dataDxfId="1369"/>
    <tableColumn id="66" xr3:uid="{C0399ECB-FD3A-4F0E-913E-412EDA197D96}" name="Fundstelle Durchschnittsauslastung" dataDxfId="1368"/>
    <tableColumn id="45" xr3:uid="{CCAD7132-2CCC-47BE-853B-8E8CEA6B2B46}" name="Fundstelle durchschnittliche Leistung" dataDxfId="1367"/>
    <tableColumn id="24" xr3:uid="{BBD85B9D-122D-405D-B2EF-EA28AADE45DA}" name="Fundstelle Maximalleistung" dataDxfId="1366"/>
    <tableColumn id="25" xr3:uid="{AEC17427-9BEC-41B2-9657-DDB1D8791ADC}" name="Fundstelle installierte Leistung" dataDxfId="1365"/>
    <tableColumn id="39" xr3:uid="{1F0D4C5A-13F6-40B4-81C8-BC51805E38E5}" name="Fundstelle Aktivierungsdauer" dataDxfId="1364"/>
    <tableColumn id="26" xr3:uid="{FC708F43-4589-44E5-883A-A9392BA5D92F}" name="Fundstelle Schaltdauer" dataDxfId="1363"/>
    <tableColumn id="27" xr3:uid="{058434D0-4C28-446F-AE30-225302A314DD}" name="Fundstelle Verschiebedauer" dataDxfId="1362"/>
    <tableColumn id="28" xr3:uid="{115BCA12-4F84-4035-9A8D-092C95ADB82B}" name="Fundstelle Regenerationsdauer" dataDxfId="1361"/>
    <tableColumn id="29" xr3:uid="{D780BF57-2A92-475C-8DB7-638E899D80B7}" name="Fundstelle Zeitverfügbarkeit" dataDxfId="1360"/>
    <tableColumn id="30" xr3:uid="{4B166F0A-394A-4BFD-9BC2-2662AFEEEF76}" name="Fundstelle max. Abrufhäufigkeit" dataDxfId="1359"/>
    <tableColumn id="31" xr3:uid="{76303978-F198-4D18-BAB9-16C145518465}" name="Fundstelle Invest" dataDxfId="1358"/>
    <tableColumn id="72" xr3:uid="{A495F14A-EF03-4EBF-A509-5E28149924C6}" name="Fundstelle Betriebskosten" dataDxfId="1357"/>
    <tableColumn id="32" xr3:uid="{D3431C63-58A1-4DD0-9FE3-D0BC751AB544}" name="Fundstelle var. Kosten" dataDxfId="1356"/>
    <tableColumn id="33" xr3:uid="{EC86EA94-5314-4CA8-8171-76927E856A81}" name="Fundstelle fixe Kosten" dataDxfId="1355"/>
    <tableColumn id="49" xr3:uid="{DDA052CE-F7B5-4D4F-BEDC-9E031EBEC375}" name="Fundstelle Investition je Anschlusspunkt" dataDxfId="1354"/>
    <tableColumn id="34" xr3:uid="{66AFF87D-95AE-4E3D-A461-1CF02459D368}" name="Fundstelle Bemerkungen" dataDxfId="1353"/>
    <tableColumn id="35" xr3:uid="{F4451473-BE0B-40B9-AB9D-570146CB7ABD}" name="eigene Anmerkung" dataDxfId="135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5" displayName="Tabelle5" ref="A1:BD65" totalsRowShown="0" headerRowDxfId="1351" dataDxfId="1350" tableBorderDxfId="1349">
  <autoFilter ref="A1:BD65" xr:uid="{00000000-0009-0000-0100-000005000000}"/>
  <tableColumns count="56">
    <tableColumn id="1" xr3:uid="{00000000-0010-0000-0000-000001000000}" name="Prozess" dataDxfId="1348"/>
    <tableColumn id="47" xr3:uid="{00000000-0010-0000-0000-00002F000000}" name="Sektorenzuordnung" dataDxfId="1347"/>
    <tableColumn id="2" xr3:uid="{00000000-0010-0000-0000-000002000000}" name="Jahr" dataDxfId="1346"/>
    <tableColumn id="51" xr3:uid="{00000000-0010-0000-0000-000033000000}" name="Lastverschiebung" dataDxfId="1345"/>
    <tableColumn id="52" xr3:uid="{00000000-0010-0000-0000-000034000000}" name="Lastverzicht" dataDxfId="1344"/>
    <tableColumn id="4" xr3:uid="{D0856174-3D23-4F02-ADDE-B692295B8697}" name="Lasterhöhung" dataDxfId="1343"/>
    <tableColumn id="42" xr3:uid="{00000000-0010-0000-0000-00002A000000}" name="Stromverbrauch in TWh" dataDxfId="1342"/>
    <tableColumn id="3" xr3:uid="{00000000-0010-0000-0000-000003000000}" name="Potenzial pos. min MW" dataDxfId="1341"/>
    <tableColumn id="5" xr3:uid="{00000000-0010-0000-0000-000005000000}" name="Potenzial pos. MW Durchschnitt" dataDxfId="1340"/>
    <tableColumn id="56" xr3:uid="{5D8BF37C-B6DA-4DAE-85EF-97EDCAB29827}" name="Potenzial pos. max MW" dataDxfId="1339"/>
    <tableColumn id="37" xr3:uid="{00000000-0010-0000-0000-000025000000}" name="ausgewiesenes Pot. pos. MW (falls abweichend)" dataDxfId="1338"/>
    <tableColumn id="50" xr3:uid="{00000000-0010-0000-0000-000032000000}" name="Potenzial neg. min MW" dataDxfId="1337"/>
    <tableColumn id="41" xr3:uid="{00000000-0010-0000-0000-000029000000}" name="Potenzial neg. MW Durchschnitt" dataDxfId="1336">
      <calculatedColumnFormula>Tabelle5[[#This Row],[Potenzial pos. MW Durchschnitt]]</calculatedColumnFormula>
    </tableColumn>
    <tableColumn id="6" xr3:uid="{00000000-0010-0000-0000-000006000000}" name="Potenzial neg. max MW" dataDxfId="1335">
      <calculatedColumnFormula>Tabelle5[[#This Row],[Potenzial pos. max MW]]</calculatedColumnFormula>
    </tableColumn>
    <tableColumn id="7" xr3:uid="{00000000-0010-0000-0000-000007000000}" name="Mindestleistung MW" dataDxfId="1334"/>
    <tableColumn id="8" xr3:uid="{00000000-0010-0000-0000-000008000000}" name="Mindestauslastung" dataDxfId="1333" dataCellStyle="Prozent"/>
    <tableColumn id="36" xr3:uid="{00000000-0010-0000-0000-000024000000}" name="flexibilisierbarer Anteil an installierter Leistung" dataDxfId="1332" dataCellStyle="Prozent">
      <calculatedColumnFormula>(1-Tabelle5[[#This Row],[Mindestauslastung]])</calculatedColumnFormula>
    </tableColumn>
    <tableColumn id="44" xr3:uid="{00000000-0010-0000-0000-00002C000000}" name="Durchschnittliche Leistung MW" dataDxfId="1331" dataCellStyle="Prozent"/>
    <tableColumn id="9" xr3:uid="{00000000-0010-0000-0000-000009000000}" name="Maximalleistung MW" dataDxfId="1330">
      <calculatedColumnFormula>Tabelle5[[#This Row],[Potenzial pos. MW Durchschnitt]]*0.95</calculatedColumnFormula>
    </tableColumn>
    <tableColumn id="46" xr3:uid="{00000000-0010-0000-0000-00002E000000}" name="Maximalauslastung" dataDxfId="1329" dataCellStyle="Prozent">
      <calculatedColumnFormula>Tabelle5[[#This Row],[Maximalleistung MW]]/Tabelle5[[#This Row],[installierte Leistung MW]]</calculatedColumnFormula>
    </tableColumn>
    <tableColumn id="10" xr3:uid="{00000000-0010-0000-0000-00000A000000}" name="installierte Leistung MW" dataDxfId="1328"/>
    <tableColumn id="11" xr3:uid="{00000000-0010-0000-0000-00000B000000}" name="Aktivierungsdauer (h)" dataDxfId="1327"/>
    <tableColumn id="12" xr3:uid="{00000000-0010-0000-0000-00000C000000}" name="Schaltdauer pos. (h)" dataDxfId="1326"/>
    <tableColumn id="13" xr3:uid="{00000000-0010-0000-0000-00000D000000}" name="Verschiebedauer (h)" dataDxfId="1325"/>
    <tableColumn id="14" xr3:uid="{00000000-0010-0000-0000-00000E000000}" name="Regenerationsdauer (h)" dataDxfId="1324"/>
    <tableColumn id="15" xr3:uid="{00000000-0010-0000-0000-00000F000000}" name="Zeitverfügbarkeit?" dataDxfId="1323"/>
    <tableColumn id="16" xr3:uid="{00000000-0010-0000-0000-000010000000}" name="max. Abrufhäufigkeit pro Woche" dataDxfId="1322"/>
    <tableColumn id="40" xr3:uid="{00000000-0010-0000-0000-000028000000}" name="max. Abrufhäufigkeit pro Jahr" dataDxfId="1321"/>
    <tableColumn id="17" xr3:uid="{00000000-0010-0000-0000-000011000000}" name="Investitionsausgaben €_2018/kW" dataDxfId="1320"/>
    <tableColumn id="18" xr3:uid="{00000000-0010-0000-0000-000012000000}" name="variable Kosten €_2018/MWh" dataDxfId="1319"/>
    <tableColumn id="19" xr3:uid="{00000000-0010-0000-0000-000013000000}" name="fixe Kosten €_2018/a" dataDxfId="1318"/>
    <tableColumn id="48" xr3:uid="{00000000-0010-0000-0000-000030000000}" name="Investitionsausgaben je Anschlusspunkt (€_2018)" dataDxfId="1317"/>
    <tableColumn id="20" xr3:uid="{00000000-0010-0000-0000-000014000000}" name="Bemerkungen" dataDxfId="1316"/>
    <tableColumn id="38" xr3:uid="{9EAA064E-6572-4AF4-B302-841704B9BCF9}" name="Bemerkungen 2" dataDxfId="1315"/>
    <tableColumn id="54" xr3:uid="{00000000-0010-0000-0000-000036000000}" name="Fundstelle Lastverschiebung" dataDxfId="1314"/>
    <tableColumn id="53" xr3:uid="{00000000-0010-0000-0000-000035000000}" name="Fundstelle Lastverzicht" dataDxfId="1313"/>
    <tableColumn id="55" xr3:uid="{00000000-0010-0000-0000-000037000000}" name="Fundstelle Stromverbrauch" dataDxfId="1312"/>
    <tableColumn id="21" xr3:uid="{00000000-0010-0000-0000-000015000000}" name="Fundstelle Potenzial pos." dataDxfId="1311"/>
    <tableColumn id="22" xr3:uid="{00000000-0010-0000-0000-000016000000}" name="Fundstelle Potenzial neg." dataDxfId="1310"/>
    <tableColumn id="23" xr3:uid="{00000000-0010-0000-0000-000017000000}" name="Fundstelle Mindestleistung" dataDxfId="1309"/>
    <tableColumn id="43" xr3:uid="{00000000-0010-0000-0000-00002B000000}" name="Fundstelle flexibilisierbarer Anteil" dataDxfId="1308"/>
    <tableColumn id="45" xr3:uid="{00000000-0010-0000-0000-00002D000000}" name="Fundstelle durchschnittliche Leistung" dataDxfId="1307"/>
    <tableColumn id="24" xr3:uid="{00000000-0010-0000-0000-000018000000}" name="Fundstelle Maximalleistung" dataDxfId="1306"/>
    <tableColumn id="25" xr3:uid="{00000000-0010-0000-0000-000019000000}" name="Fundstelle installierte Leistung" dataDxfId="1305"/>
    <tableColumn id="39" xr3:uid="{00000000-0010-0000-0000-000027000000}" name="Fundstelle Aktivierungsdauer" dataDxfId="1304"/>
    <tableColumn id="26" xr3:uid="{00000000-0010-0000-0000-00001A000000}" name="Fundstelle Schaltdauer" dataDxfId="1303"/>
    <tableColumn id="27" xr3:uid="{00000000-0010-0000-0000-00001B000000}" name="Fundstelle Verschiebedauer" dataDxfId="1302"/>
    <tableColumn id="28" xr3:uid="{00000000-0010-0000-0000-00001C000000}" name="Fundstelle Regenerationsdauer" dataDxfId="1301"/>
    <tableColumn id="29" xr3:uid="{00000000-0010-0000-0000-00001D000000}" name="Fundstelle Zeitverfügbarkeit" dataDxfId="1300"/>
    <tableColumn id="30" xr3:uid="{00000000-0010-0000-0000-00001E000000}" name="Fundstelle max. Abrufhäufigkeit" dataDxfId="1299"/>
    <tableColumn id="31" xr3:uid="{00000000-0010-0000-0000-00001F000000}" name="Fundstelle Invest" dataDxfId="1298"/>
    <tableColumn id="32" xr3:uid="{00000000-0010-0000-0000-000020000000}" name="Fundstelle var. Kosten" dataDxfId="1297"/>
    <tableColumn id="33" xr3:uid="{00000000-0010-0000-0000-000021000000}" name="Fundstelle fixe Kosten" dataDxfId="1296"/>
    <tableColumn id="49" xr3:uid="{00000000-0010-0000-0000-000031000000}" name="Fundstelle Investition je Anschlusspunkt" dataDxfId="1295"/>
    <tableColumn id="34" xr3:uid="{00000000-0010-0000-0000-000022000000}" name="Fundstelle Bemerkungen" dataDxfId="1294"/>
    <tableColumn id="35" xr3:uid="{00000000-0010-0000-0000-000023000000}" name="eigene Anmerkung" dataDxfId="129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25" displayName="Tabelle25" ref="A1:Q13" totalsRowShown="0" headerRowDxfId="1292" dataDxfId="1291">
  <autoFilter ref="A1:Q13" xr:uid="{00000000-0009-0000-0100-000004000000}"/>
  <tableColumns count="17">
    <tableColumn id="1" xr3:uid="{00000000-0010-0000-0100-000001000000}" name="Prozess" dataDxfId="1290"/>
    <tableColumn id="8" xr3:uid="{00000000-0010-0000-0100-000008000000}" name="Verfahrenstyp" dataDxfId="1289"/>
    <tableColumn id="2" xr3:uid="{00000000-0010-0000-0100-000002000000}" name="Jahr" dataDxfId="1288"/>
    <tableColumn id="3" xr3:uid="{00000000-0010-0000-0100-000003000000}" name="Stromverbrauch (TWh)" dataDxfId="1287"/>
    <tableColumn id="4" xr3:uid="{00000000-0010-0000-0100-000004000000}" name="Vollbenutzungsstunden" dataDxfId="1286">
      <calculatedColumnFormula>Tabelle25[[#This Row],[durchschnittliche Auslastung]]*8760</calculatedColumnFormula>
    </tableColumn>
    <tableColumn id="9" xr3:uid="{00000000-0010-0000-0100-000009000000}" name="Nennleistung (MW)" dataDxfId="1285">
      <calculatedColumnFormula>Tabelle25[[#This Row],[flexible Leistung (MW)]]/Tabelle25[[#This Row],[Mindestauslastung]]</calculatedColumnFormula>
    </tableColumn>
    <tableColumn id="15" xr3:uid="{00000000-0010-0000-0100-00000F000000}" name="Nennleistung min (MW)" dataDxfId="1284"/>
    <tableColumn id="14" xr3:uid="{00000000-0010-0000-0100-00000E000000}" name="Nennleistung max (MW)" dataDxfId="1283"/>
    <tableColumn id="10" xr3:uid="{00000000-0010-0000-0100-00000A000000}" name="durchschnittliche Auslastung" dataDxfId="1282"/>
    <tableColumn id="11" xr3:uid="{00000000-0010-0000-0100-00000B000000}" name="durchschnittliche Leistung (MW)" dataDxfId="1281">
      <calculatedColumnFormula>Tabelle25[[#This Row],[Nennleistung (MW)]]*Tabelle25[[#This Row],[durchschnittliche Auslastung]]</calculatedColumnFormula>
    </tableColumn>
    <tableColumn id="5" xr3:uid="{00000000-0010-0000-0100-000005000000}" name="Mindestauslastung" dataDxfId="1280"/>
    <tableColumn id="17" xr3:uid="{00000000-0010-0000-0100-000011000000}" name="Mindestleistung" dataDxfId="1279">
      <calculatedColumnFormula>Tabelle25[[#This Row],[Mindestauslastung]]*Tabelle25[[#This Row],[Nennleistung (MW)]]</calculatedColumnFormula>
    </tableColumn>
    <tableColumn id="6" xr3:uid="{00000000-0010-0000-0100-000006000000}" name="flexible Leistung (MW)" dataDxfId="1278"/>
    <tableColumn id="13" xr3:uid="{00000000-0010-0000-0100-00000D000000}" name="flexible Leistung min (MW)" dataDxfId="1277"/>
    <tableColumn id="12" xr3:uid="{00000000-0010-0000-0100-00000C000000}" name="flexible Leistung max (MW)" dataDxfId="1276"/>
    <tableColumn id="7" xr3:uid="{00000000-0010-0000-0100-000007000000}" name="Quelle" dataDxfId="1275"/>
    <tableColumn id="18" xr3:uid="{00000000-0010-0000-0100-000012000000}" name="Kommentar" dataDxfId="1274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elle58971113" displayName="Tabelle58971113" ref="A1:BR13" totalsRowShown="0" headerRowDxfId="1273" dataDxfId="1272" tableBorderDxfId="1271">
  <autoFilter ref="A1:BR13" xr:uid="{00000000-0009-0000-0100-00000C000000}"/>
  <tableColumns count="70">
    <tableColumn id="1" xr3:uid="{00000000-0010-0000-0700-000001000000}" name="Prozess" dataDxfId="1270"/>
    <tableColumn id="47" xr3:uid="{00000000-0010-0000-0700-00002F000000}" name="Sektorenzuordnung" dataDxfId="1269"/>
    <tableColumn id="2" xr3:uid="{00000000-0010-0000-0700-000002000000}" name="Jahr" dataDxfId="1268"/>
    <tableColumn id="52" xr3:uid="{00000000-0010-0000-0700-000034000000}" name="Lastverschiebung" dataDxfId="1267"/>
    <tableColumn id="53" xr3:uid="{00000000-0010-0000-0700-000035000000}" name="Lastverzicht" dataDxfId="1266"/>
    <tableColumn id="67" xr3:uid="{7E3C871E-20C5-4135-84BD-2810B287A8FE}" name="Lasterhöhung" dataDxfId="1265"/>
    <tableColumn id="3" xr3:uid="{00000000-0010-0000-0700-000003000000}" name="Potenzial pos. min MW" dataDxfId="1264"/>
    <tableColumn id="38" xr3:uid="{00000000-0010-0000-0700-000026000000}" name="Potenzial pos. MW Durchschnitt" dataDxfId="1263"/>
    <tableColumn id="5" xr3:uid="{00000000-0010-0000-0700-000005000000}" name="Potenzial pos. max MW" dataDxfId="1262"/>
    <tableColumn id="37" xr3:uid="{00000000-0010-0000-0700-000025000000}" name="ausgewiesenes Pot. pos. MW (falls abweichend)" dataDxfId="1261"/>
    <tableColumn id="50" xr3:uid="{00000000-0010-0000-0700-000032000000}" name="Potenzial neg. min MW" dataDxfId="1260"/>
    <tableColumn id="41" xr3:uid="{00000000-0010-0000-0700-000029000000}" name="Potenzial neg. MW Durchschnitt" dataDxfId="1259"/>
    <tableColumn id="6" xr3:uid="{00000000-0010-0000-0700-000006000000}" name="Potenzial neg. max MW" dataDxfId="1258">
      <calculatedColumnFormula>IF(Tabelle58971113[[#This Row],[Potenzial pos. max MW]]&lt;&gt;"",Tabelle58971113[[#This Row],[Potenzial pos. max MW]],"")</calculatedColumnFormula>
    </tableColumn>
    <tableColumn id="7" xr3:uid="{00000000-0010-0000-0700-000007000000}" name="Mindestleistung MW" dataDxfId="1257"/>
    <tableColumn id="8" xr3:uid="{00000000-0010-0000-0700-000008000000}" name="Mindestauslastung" dataDxfId="1256" dataCellStyle="Prozent"/>
    <tableColumn id="36" xr3:uid="{00000000-0010-0000-0700-000024000000}" name="flexibilisierbarer Anteil an installierter Leistung" dataDxfId="1255" dataCellStyle="Prozent"/>
    <tableColumn id="70" xr3:uid="{A0775093-56D8-4011-AB3D-D2AA82C07830}" name="Vollbenutzungsstunden min" dataDxfId="1254" dataCellStyle="Prozent">
      <calculatedColumnFormula>IF(Tabelle58971113[[#This Row],[Durchschnittsauslastung min]]&lt;&gt;"",Tabelle58971113[[#This Row],[Durchschnittsauslastung min]]*8760,"")</calculatedColumnFormula>
    </tableColumn>
    <tableColumn id="69" xr3:uid="{EDFEC840-390B-41AA-9F46-85809F7F6B1D}" name="Vollbenutzungsstunden max" dataDxfId="1253" dataCellStyle="Prozent">
      <calculatedColumnFormula>IF(Tabelle58971113[[#This Row],[Durchschnittsauslastung max]]&lt;&gt;"",Tabelle58971113[[#This Row],[Durchschnittsauslastung max]]*8760,"")</calculatedColumnFormula>
    </tableColumn>
    <tableColumn id="68" xr3:uid="{B8087AD1-24D2-4654-92A2-375BE2B98C40}" name="Durchschnittsauslastung min" dataDxfId="1252" dataCellStyle="Prozent"/>
    <tableColumn id="65" xr3:uid="{00000000-0010-0000-0700-000041000000}" name="Durchschnittsauslastung max" dataDxfId="1251" dataCellStyle="Prozent">
      <calculatedColumnFormula>AVERAGE(5000,6000)/8760</calculatedColumnFormula>
    </tableColumn>
    <tableColumn id="44" xr3:uid="{00000000-0010-0000-0700-00002C000000}" name="Durchschnittliche Leistung MW" dataDxfId="1250" dataCellStyle="Prozent">
      <calculatedColumnFormula>IF(Tabelle58971113[[#This Row],[installierte Leistung MW]]&lt;&gt;"",Tabelle58971113[[#This Row],[Durchschnittsauslastung max]]*Tabelle58971113[[#This Row],[installierte Leistung MW]],"")</calculatedColumnFormula>
    </tableColumn>
    <tableColumn id="9" xr3:uid="{00000000-0010-0000-0700-000009000000}" name="Maximalleistung MW" dataDxfId="1249"/>
    <tableColumn id="46" xr3:uid="{00000000-0010-0000-0700-00002E000000}" name="Maximalauslastung" dataDxfId="1248" dataCellStyle="Prozent"/>
    <tableColumn id="10" xr3:uid="{00000000-0010-0000-0700-00000A000000}" name="installierte Leistung MW" dataDxfId="1247">
      <calculatedColumnFormula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calculatedColumnFormula>
    </tableColumn>
    <tableColumn id="11" xr3:uid="{00000000-0010-0000-0700-00000B000000}" name="Aktivierungsdauer (h)" dataDxfId="1246"/>
    <tableColumn id="61" xr3:uid="{00000000-0010-0000-0700-00003D000000}" name="Schaltdauer pos. min (h)" dataDxfId="1245"/>
    <tableColumn id="60" xr3:uid="{00000000-0010-0000-0700-00003C000000}" name="Schaltdauer pos. max (h)" dataDxfId="1244"/>
    <tableColumn id="12" xr3:uid="{00000000-0010-0000-0700-00000C000000}" name="Schaltdauer pos. (h)" dataDxfId="1243"/>
    <tableColumn id="63" xr3:uid="{00000000-0010-0000-0700-00003F000000}" name="Schaltdauer neg min (h)" dataDxfId="1242"/>
    <tableColumn id="62" xr3:uid="{00000000-0010-0000-0700-00003E000000}" name="Schaltdauer neg. max (h)" dataDxfId="1241"/>
    <tableColumn id="51" xr3:uid="{00000000-0010-0000-0700-000033000000}" name="Schaltdauer neg. (h)" dataDxfId="1240"/>
    <tableColumn id="42" xr3:uid="{00000000-0010-0000-0700-00002A000000}" name="Verschiebedauer min. (h)" dataDxfId="1239"/>
    <tableColumn id="4" xr3:uid="{00000000-0010-0000-0700-000004000000}" name="Verschiebedauer max (h)" dataDxfId="1238"/>
    <tableColumn id="13" xr3:uid="{00000000-0010-0000-0700-00000D000000}" name="Verschiebedauer (h)" dataDxfId="1237"/>
    <tableColumn id="14" xr3:uid="{00000000-0010-0000-0700-00000E000000}" name="Regenerationsdauer (h)" dataDxfId="1236"/>
    <tableColumn id="15" xr3:uid="{00000000-0010-0000-0700-00000F000000}" name="Zeitverfügbarkeit?" dataDxfId="1235"/>
    <tableColumn id="16" xr3:uid="{00000000-0010-0000-0700-000010000000}" name="max. Abrufhäufigkeit pro Woche" dataDxfId="1234"/>
    <tableColumn id="40" xr3:uid="{00000000-0010-0000-0700-000028000000}" name="max. Abrufhäufigkeit pro Jahr" dataDxfId="1233"/>
    <tableColumn id="57" xr3:uid="{00000000-0010-0000-0700-000039000000}" name="min. Investitionsausgaben €_2018/kW" dataDxfId="1232"/>
    <tableColumn id="56" xr3:uid="{00000000-0010-0000-0700-000038000000}" name="max. Investitionsausgaben €_2018/kW" dataDxfId="1231"/>
    <tableColumn id="17" xr3:uid="{00000000-0010-0000-0700-000011000000}" name="Investitionsausgaben €_2018/kW" dataDxfId="1230"/>
    <tableColumn id="59" xr3:uid="{00000000-0010-0000-0700-00003B000000}" name="var. Kosten min. €_2018/MWh" dataDxfId="1229">
      <calculatedColumnFormula>40/Umrechnungsfaktoren!$B$10</calculatedColumnFormula>
    </tableColumn>
    <tableColumn id="58" xr3:uid="{00000000-0010-0000-0700-00003A000000}" name="var. Kosten max. €_2018/MWh" dataDxfId="1228">
      <calculatedColumnFormula>800/Umrechnungsfaktoren!$B$10</calculatedColumnFormula>
    </tableColumn>
    <tableColumn id="18" xr3:uid="{00000000-0010-0000-0700-000012000000}" name="variable Kosten €_2018/MWh" dataDxfId="1227"/>
    <tableColumn id="64" xr3:uid="{00000000-0010-0000-0700-000040000000}" name="fixe Kosten min. €_2018/kW*a" dataDxfId="1226"/>
    <tableColumn id="19" xr3:uid="{00000000-0010-0000-0700-000013000000}" name="fixe Kosten €_2018/kW*a" dataDxfId="1225"/>
    <tableColumn id="48" xr3:uid="{00000000-0010-0000-0700-000030000000}" name="Investitionsausgaben je Anschlusspunkt (€_2018)" dataDxfId="1224"/>
    <tableColumn id="20" xr3:uid="{00000000-0010-0000-0700-000014000000}" name="Bemerkungen" dataDxfId="1223"/>
    <tableColumn id="55" xr3:uid="{00000000-0010-0000-0700-000037000000}" name="Fundstelle Lastverschiebung" dataDxfId="1222"/>
    <tableColumn id="54" xr3:uid="{00000000-0010-0000-0700-000036000000}" name="Fundstelle Lastverzicht" dataDxfId="1221"/>
    <tableColumn id="21" xr3:uid="{00000000-0010-0000-0700-000015000000}" name="Fundstelle Potenzial pos." dataDxfId="1220"/>
    <tableColumn id="22" xr3:uid="{00000000-0010-0000-0700-000016000000}" name="Fundstelle Potenzial neg." dataDxfId="1219"/>
    <tableColumn id="23" xr3:uid="{00000000-0010-0000-0700-000017000000}" name="Fundstelle Mindestleistung" dataDxfId="1218"/>
    <tableColumn id="43" xr3:uid="{00000000-0010-0000-0700-00002B000000}" name="Fundstelle flexibilisierbarer Anteil" dataDxfId="1217"/>
    <tableColumn id="66" xr3:uid="{00000000-0010-0000-0700-000042000000}" name="Fundstelle Durchschnittsauslastung" dataDxfId="1216"/>
    <tableColumn id="45" xr3:uid="{00000000-0010-0000-0700-00002D000000}" name="Fundstelle durchschnittliche Leistung" dataDxfId="1215"/>
    <tableColumn id="24" xr3:uid="{00000000-0010-0000-0700-000018000000}" name="Fundstelle Maximalleistung" dataDxfId="1214"/>
    <tableColumn id="25" xr3:uid="{00000000-0010-0000-0700-000019000000}" name="Fundstelle installierte Leistung" dataDxfId="1213"/>
    <tableColumn id="39" xr3:uid="{00000000-0010-0000-0700-000027000000}" name="Fundstelle Aktivierungsdauer" dataDxfId="1212"/>
    <tableColumn id="26" xr3:uid="{00000000-0010-0000-0700-00001A000000}" name="Fundstelle Schaltdauer" dataDxfId="1211"/>
    <tableColumn id="27" xr3:uid="{00000000-0010-0000-0700-00001B000000}" name="Fundstelle Verschiebedauer" dataDxfId="1210"/>
    <tableColumn id="28" xr3:uid="{00000000-0010-0000-0700-00001C000000}" name="Fundstelle Regenerationsdauer" dataDxfId="1209"/>
    <tableColumn id="29" xr3:uid="{00000000-0010-0000-0700-00001D000000}" name="Fundstelle Zeitverfügbarkeit" dataDxfId="1208"/>
    <tableColumn id="30" xr3:uid="{00000000-0010-0000-0700-00001E000000}" name="Fundstelle max. Abrufhäufigkeit" dataDxfId="1207"/>
    <tableColumn id="31" xr3:uid="{00000000-0010-0000-0700-00001F000000}" name="Fundstelle Invest" dataDxfId="1206"/>
    <tableColumn id="32" xr3:uid="{00000000-0010-0000-0700-000020000000}" name="Fundstelle var. Kosten" dataDxfId="1205"/>
    <tableColumn id="33" xr3:uid="{00000000-0010-0000-0700-000021000000}" name="Fundstelle fixe Kosten" dataDxfId="1204"/>
    <tableColumn id="49" xr3:uid="{00000000-0010-0000-0700-000031000000}" name="Fundstelle Investition je Anschlusspunkt" dataDxfId="1203"/>
    <tableColumn id="34" xr3:uid="{00000000-0010-0000-0700-000022000000}" name="Fundstelle Bemerkungen" dataDxfId="1202"/>
    <tableColumn id="35" xr3:uid="{00000000-0010-0000-0700-000023000000}" name="eigene Anmerkung" dataDxfId="120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le5897111429" displayName="Tabelle5897111429" ref="A1:BP8" totalsRowShown="0" headerRowDxfId="1200" dataDxfId="1199" tableBorderDxfId="1198">
  <autoFilter ref="A1:BP8" xr:uid="{00000000-0009-0000-0100-00001C000000}"/>
  <tableColumns count="68">
    <tableColumn id="1" xr3:uid="{00000000-0010-0000-1800-000001000000}" name="Prozess" dataDxfId="1197"/>
    <tableColumn id="47" xr3:uid="{00000000-0010-0000-1800-00002F000000}" name="Sektorenzuordnung" dataDxfId="1196"/>
    <tableColumn id="2" xr3:uid="{00000000-0010-0000-1800-000002000000}" name="Jahr" dataDxfId="1195"/>
    <tableColumn id="52" xr3:uid="{00000000-0010-0000-1800-000034000000}" name="Lastverschiebung" dataDxfId="1194"/>
    <tableColumn id="53" xr3:uid="{00000000-0010-0000-1800-000035000000}" name="Lastverzicht" dataDxfId="1193"/>
    <tableColumn id="68" xr3:uid="{BFD80C3E-C998-4C98-87FB-0CEC1922FF68}" name="Lasterhöhung" dataDxfId="1192"/>
    <tableColumn id="3" xr3:uid="{00000000-0010-0000-1800-000003000000}" name="Potenzial pos. min MW" dataDxfId="1191"/>
    <tableColumn id="38" xr3:uid="{00000000-0010-0000-1800-000026000000}" name="Potenzial pos. MW Durchschnitt" dataDxfId="1190"/>
    <tableColumn id="5" xr3:uid="{00000000-0010-0000-1800-000005000000}" name="Potenzial pos. max MW" dataDxfId="1189"/>
    <tableColumn id="37" xr3:uid="{00000000-0010-0000-1800-000025000000}" name="ausgewiesenes Pot. pos. MW (falls abweichend)" dataDxfId="1188"/>
    <tableColumn id="50" xr3:uid="{00000000-0010-0000-1800-000032000000}" name="Potenzial neg. min MW" dataDxfId="1187"/>
    <tableColumn id="41" xr3:uid="{00000000-0010-0000-1800-000029000000}" name="Potenzial neg. MW Durchschnitt" dataDxfId="1186"/>
    <tableColumn id="6" xr3:uid="{00000000-0010-0000-1800-000006000000}" name="Potenzial neg. max MW" dataDxfId="1185"/>
    <tableColumn id="7" xr3:uid="{00000000-0010-0000-1800-000007000000}" name="Mindestleistung MW" dataDxfId="1184"/>
    <tableColumn id="8" xr3:uid="{00000000-0010-0000-1800-000008000000}" name="Mindestauslastung" dataDxfId="1183" dataCellStyle="Prozent"/>
    <tableColumn id="36" xr3:uid="{00000000-0010-0000-1800-000024000000}" name="flexibilisierbarer Anteil" dataDxfId="1182" dataCellStyle="Prozent"/>
    <tableColumn id="67" xr3:uid="{00000000-0010-0000-1800-000043000000}" name="flexibilisierbarer Anteil an Durchschnittslast" dataDxfId="1181" dataCellStyle="Prozent"/>
    <tableColumn id="65" xr3:uid="{00000000-0010-0000-1800-000041000000}" name="Durchschnittsauslastung" dataDxfId="1180" dataCellStyle="Prozent"/>
    <tableColumn id="44" xr3:uid="{00000000-0010-0000-1800-00002C000000}" name="Durchschnittliche Leistung MW" dataDxfId="1179" dataCellStyle="Prozent"/>
    <tableColumn id="9" xr3:uid="{00000000-0010-0000-1800-000009000000}" name="Maximalleistung MW" dataDxfId="1178"/>
    <tableColumn id="46" xr3:uid="{00000000-0010-0000-1800-00002E000000}" name="Maximalauslastung" dataDxfId="1177" dataCellStyle="Prozent"/>
    <tableColumn id="10" xr3:uid="{00000000-0010-0000-1800-00000A000000}" name="installierte Leistung MW" dataDxfId="1176"/>
    <tableColumn id="11" xr3:uid="{00000000-0010-0000-1800-00000B000000}" name="Aktivierungsdauer (h)" dataDxfId="1175"/>
    <tableColumn id="61" xr3:uid="{00000000-0010-0000-1800-00003D000000}" name="Schaltdauer pos. min (h)" dataDxfId="1174"/>
    <tableColumn id="60" xr3:uid="{00000000-0010-0000-1800-00003C000000}" name="Schaltdauer pos. max (h)" dataDxfId="1173"/>
    <tableColumn id="12" xr3:uid="{00000000-0010-0000-1800-00000C000000}" name="Schaltdauer pos. (h)" dataDxfId="1172"/>
    <tableColumn id="63" xr3:uid="{00000000-0010-0000-1800-00003F000000}" name="Schaltdauer neg min (h)" dataDxfId="1171"/>
    <tableColumn id="62" xr3:uid="{00000000-0010-0000-1800-00003E000000}" name="Schaltdauer neg. max (h)" dataDxfId="1170"/>
    <tableColumn id="51" xr3:uid="{00000000-0010-0000-1800-000033000000}" name="Schaltdauer neg. (h)" dataDxfId="1169"/>
    <tableColumn id="42" xr3:uid="{00000000-0010-0000-1800-00002A000000}" name="Verschiebedauer min. (h)" dataDxfId="1168"/>
    <tableColumn id="4" xr3:uid="{00000000-0010-0000-1800-000004000000}" name="Verschiebedauer max (h)" dataDxfId="1167"/>
    <tableColumn id="13" xr3:uid="{00000000-0010-0000-1800-00000D000000}" name="Verschiebedauer (h)" dataDxfId="1166"/>
    <tableColumn id="14" xr3:uid="{00000000-0010-0000-1800-00000E000000}" name="Regenerationsdauer (h)" dataDxfId="1165"/>
    <tableColumn id="15" xr3:uid="{00000000-0010-0000-1800-00000F000000}" name="Zeitverfügbarkeit?" dataDxfId="1164"/>
    <tableColumn id="16" xr3:uid="{00000000-0010-0000-1800-000010000000}" name="max. Abrufhäufigkeit pro Woche" dataDxfId="1163">
      <calculatedColumnFormula>3*7</calculatedColumnFormula>
    </tableColumn>
    <tableColumn id="40" xr3:uid="{00000000-0010-0000-1800-000028000000}" name="max. Abrufhäufigkeit pro Jahr" dataDxfId="1162"/>
    <tableColumn id="57" xr3:uid="{00000000-0010-0000-1800-000039000000}" name="min. Investitionsausgaben €_2018/kW" dataDxfId="1161"/>
    <tableColumn id="56" xr3:uid="{00000000-0010-0000-1800-000038000000}" name="max. Investitionsausgaben €_2018/kW" dataDxfId="1160"/>
    <tableColumn id="17" xr3:uid="{00000000-0010-0000-1800-000011000000}" name="Investitionsausgaben €_2018/kW" dataDxfId="1159"/>
    <tableColumn id="59" xr3:uid="{00000000-0010-0000-1800-00003B000000}" name="var. Kosten min. €_2018/MWh" dataDxfId="1158"/>
    <tableColumn id="58" xr3:uid="{00000000-0010-0000-1800-00003A000000}" name="var. Kosten max. €_2018/MWh" dataDxfId="1157"/>
    <tableColumn id="18" xr3:uid="{00000000-0010-0000-1800-000012000000}" name="variable Kosten €_2018/MWh" dataDxfId="1156"/>
    <tableColumn id="64" xr3:uid="{00000000-0010-0000-1800-000040000000}" name="fixe Kosten min. €_2018/kW*a" dataDxfId="1155"/>
    <tableColumn id="19" xr3:uid="{00000000-0010-0000-1800-000013000000}" name="fixe Kosten €_2018/kW*a" dataDxfId="1154"/>
    <tableColumn id="48" xr3:uid="{00000000-0010-0000-1800-000030000000}" name="Investitionsausgaben je Anschlusspunkt (€_2018)" dataDxfId="1153"/>
    <tableColumn id="20" xr3:uid="{00000000-0010-0000-1800-000014000000}" name="Bemerkungen" dataDxfId="1152"/>
    <tableColumn id="55" xr3:uid="{00000000-0010-0000-1800-000037000000}" name="Fundstelle Lastverschiebung" dataDxfId="1151"/>
    <tableColumn id="54" xr3:uid="{00000000-0010-0000-1800-000036000000}" name="Fundstelle Lastverzicht" dataDxfId="1150"/>
    <tableColumn id="21" xr3:uid="{00000000-0010-0000-1800-000015000000}" name="Fundstelle Potenzial pos." dataDxfId="1149"/>
    <tableColumn id="22" xr3:uid="{00000000-0010-0000-1800-000016000000}" name="Fundstelle Potenzial neg." dataDxfId="1148"/>
    <tableColumn id="23" xr3:uid="{00000000-0010-0000-1800-000017000000}" name="Fundstelle Mindestleistung" dataDxfId="1147"/>
    <tableColumn id="43" xr3:uid="{00000000-0010-0000-1800-00002B000000}" name="Fundstelle flexibilisierbarer Anteil" dataDxfId="1146"/>
    <tableColumn id="66" xr3:uid="{00000000-0010-0000-1800-000042000000}" name="Fundstelle Durchschnittsauslastung" dataDxfId="1145"/>
    <tableColumn id="45" xr3:uid="{00000000-0010-0000-1800-00002D000000}" name="Fundstelle durchschnittliche Leistung" dataDxfId="1144"/>
    <tableColumn id="24" xr3:uid="{00000000-0010-0000-1800-000018000000}" name="Fundstelle Maximalleistung" dataDxfId="1143"/>
    <tableColumn id="25" xr3:uid="{00000000-0010-0000-1800-000019000000}" name="Fundstelle installierte Leistung" dataDxfId="1142"/>
    <tableColumn id="39" xr3:uid="{00000000-0010-0000-1800-000027000000}" name="Fundstelle Aktivierungsdauer" dataDxfId="1141"/>
    <tableColumn id="26" xr3:uid="{00000000-0010-0000-1800-00001A000000}" name="Fundstelle Schaltdauer" dataDxfId="1140"/>
    <tableColumn id="27" xr3:uid="{00000000-0010-0000-1800-00001B000000}" name="Fundstelle Verschiebedauer" dataDxfId="1139"/>
    <tableColumn id="28" xr3:uid="{00000000-0010-0000-1800-00001C000000}" name="Fundstelle Regenerationsdauer" dataDxfId="1138"/>
    <tableColumn id="29" xr3:uid="{00000000-0010-0000-1800-00001D000000}" name="Fundstelle Zeitverfügbarkeit" dataDxfId="1137"/>
    <tableColumn id="30" xr3:uid="{00000000-0010-0000-1800-00001E000000}" name="Fundstelle max. Abrufhäufigkeit" dataDxfId="1136"/>
    <tableColumn id="31" xr3:uid="{00000000-0010-0000-1800-00001F000000}" name="Fundstelle Invest" dataDxfId="1135"/>
    <tableColumn id="32" xr3:uid="{00000000-0010-0000-1800-000020000000}" name="Fundstelle var. Kosten" dataDxfId="1134"/>
    <tableColumn id="33" xr3:uid="{00000000-0010-0000-1800-000021000000}" name="Fundstelle fixe Kosten" dataDxfId="1133"/>
    <tableColumn id="49" xr3:uid="{00000000-0010-0000-1800-000031000000}" name="Fundstelle Investition je Anschlusspunkt" dataDxfId="1132"/>
    <tableColumn id="34" xr3:uid="{00000000-0010-0000-1800-000022000000}" name="Fundstelle Bemerkungen" dataDxfId="1131"/>
    <tableColumn id="35" xr3:uid="{00000000-0010-0000-1800-000023000000}" name="eigene Anmerkung" dataDxfId="113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9562394-A13B-45C0-97EE-8E9E60864B79}" name="Tabelle589711143136" displayName="Tabelle589711143136" ref="A1:CP40" totalsRowShown="0" headerRowDxfId="1129" dataDxfId="1128" tableBorderDxfId="1127">
  <autoFilter ref="A1:CP40" xr:uid="{11FA0E04-AD3F-4F3C-A80A-B460C250FC3A}"/>
  <tableColumns count="94">
    <tableColumn id="1" xr3:uid="{330BD996-3DF4-4A90-922D-88C6272D7578}" name="Prozess" dataDxfId="1126"/>
    <tableColumn id="47" xr3:uid="{7360FF1C-B3C8-480F-8FD4-DFB7A94415A1}" name="Sektorenzuordnung" dataDxfId="1125"/>
    <tableColumn id="2" xr3:uid="{9C47BB46-2B80-4A5B-8257-A95D74B26F32}" name="Jahr" dataDxfId="1124"/>
    <tableColumn id="52" xr3:uid="{C2E33395-9EE1-4F9A-8D21-534EEA8C98F2}" name="Lastverschiebung" dataDxfId="1123"/>
    <tableColumn id="53" xr3:uid="{1620E2EE-1E95-49BE-A2DC-1FD5744882DD}" name="Lastverzicht" dataDxfId="1122"/>
    <tableColumn id="71" xr3:uid="{A1AC92C0-5609-421B-BF17-6BE89143EF85}" name="Lasterhöhung" dataDxfId="1121"/>
    <tableColumn id="81" xr3:uid="{1CA549A9-64B3-4D35-81DC-BB393DDE4A4F}" name="jährliche Produktion kt MIN" dataDxfId="1120"/>
    <tableColumn id="75" xr3:uid="{01E9973C-341E-4E28-AC50-AC916F939C0C}" name="jährliche Produktion kt REF" dataDxfId="1119"/>
    <tableColumn id="82" xr3:uid="{2D1CE77F-06AB-4ECA-BD87-3CE2BDE290E1}" name="jährliche Produktion kt MAX" dataDxfId="1118"/>
    <tableColumn id="74" xr3:uid="{55CEDEF4-BB34-4E76-93DD-93CC0C389D3E}" name="spez. StV kWh/t" dataDxfId="1117"/>
    <tableColumn id="87" xr3:uid="{D7C5D6DF-3E9E-4479-AE88-9588C57C6231}" name="Anzahl Anlangen MIN (Tsd.)" dataDxfId="1116"/>
    <tableColumn id="86" xr3:uid="{FC0A952F-5E70-46DE-B339-31233B0DDD14}" name="Anzahl Anlangen REF (Tsd.)" dataDxfId="1115"/>
    <tableColumn id="85" xr3:uid="{DC8F1F72-5249-4FDF-82ED-9E1B7E71C55B}" name="Anzahl Anlangen MAX (Tsd.)" dataDxfId="1114"/>
    <tableColumn id="90" xr3:uid="{A146E8DE-84B9-41DC-AEF9-9B0B48737AE8}" name="Entwicklungsfaktor MIN (1)" dataDxfId="1113"/>
    <tableColumn id="89" xr3:uid="{44BAAD1C-A667-4129-8405-3B4848FB7D09}" name="Entwicklungsfaktor REF (1)" dataDxfId="1112"/>
    <tableColumn id="88" xr3:uid="{5098B4A4-1052-4817-BA27-162C98BC0B77}" name="Entwicklungsfaktor MAX (1)" dataDxfId="1111"/>
    <tableColumn id="83" xr3:uid="{00C18B6E-39C9-456E-AAB4-D592F9DC8E0F}" name="Stromverbrauch in TWh MIN" dataDxfId="1110">
      <calculatedColumnFormula>Tabelle589711143136[[#This Row],[jährliche Produktion kt MIN]]*Tabelle589711143136[[#This Row],[spez. StV kWh/t]]/10^6</calculatedColumnFormula>
    </tableColumn>
    <tableColumn id="77" xr3:uid="{2E763342-32F3-4298-A69C-A272A2704578}" name="Stromverbrauch in TWh REF" dataDxfId="1109">
      <calculatedColumnFormula>Tabelle589711143136[[#This Row],[jährliche Produktion kt REF]]*Tabelle589711143136[[#This Row],[spez. StV kWh/t]]/10^6</calculatedColumnFormula>
    </tableColumn>
    <tableColumn id="84" xr3:uid="{A0450CD8-9E35-44CD-9382-DA01DC2F45A7}" name="Stromverbrauch in TWh MAX" dataDxfId="1108">
      <calculatedColumnFormula>Tabelle589711143136[[#This Row],[jährliche Produktion kt MAX]]*Tabelle589711143136[[#This Row],[spez. StV kWh/t]]/10^6</calculatedColumnFormula>
    </tableColumn>
    <tableColumn id="3" xr3:uid="{B3948369-59F1-4721-8F1C-E73FD950E030}" name="Potenzial pos. min MW" dataDxfId="1107"/>
    <tableColumn id="38" xr3:uid="{30F94A31-97C9-4179-8B51-5DC510EC1E83}" name="Potenzial pos. MW Durchschnitt" dataDxfId="1106"/>
    <tableColumn id="5" xr3:uid="{A3112E28-FC7D-4D58-B71E-6E6AD8E17C59}" name="Potenzial pos. max MW" dataDxfId="1105"/>
    <tableColumn id="68" xr3:uid="{168F1843-DF2D-45B6-A266-672ED486FD4F}" name="Potenzial pos. Winter MW" dataDxfId="1104"/>
    <tableColumn id="70" xr3:uid="{383DCB5C-E7B2-4986-864D-E88493433A25}" name="Potenzial neg. Sommer MW" dataDxfId="1103"/>
    <tableColumn id="69" xr3:uid="{1F079745-6536-4054-A84B-2429EC1A4C06}" name="Potenzial neg. Winter MW" dataDxfId="1102"/>
    <tableColumn id="37" xr3:uid="{4E9AE63F-2B90-4AE0-941C-9DCAA11AEE5A}" name="Pot. pos. MW errechnet" dataDxfId="1101">
      <calculatedColumnFormula>Tabelle589711143136[[#This Row],[Stromverbrauch in TWh REF]]/Tabelle589711143136[[#This Row],[Vollbenutzungsstunden h/a]]*10^6</calculatedColumnFormula>
    </tableColumn>
    <tableColumn id="50" xr3:uid="{C2E6CEE8-FA17-4FF8-8A7C-558B2744BFFB}" name="Potenzial neg. min MW" dataDxfId="1100">
      <calculatedColumnFormula>IF(AND(Tabelle589711143136[[#This Row],[Lastverschiebung]]=1,Tabelle589711143136[[#This Row],[Potenzial pos. min MW]]&lt;&gt;""),Tabelle589711143136[[#This Row],[Potenzial pos. min MW]],"")</calculatedColumnFormula>
    </tableColumn>
    <tableColumn id="41" xr3:uid="{B309ED0D-CBC1-4B6F-B78A-13686CCFE96A}" name="Potenzial neg. MW Durchschnitt" dataDxfId="1099">
      <calculatedColumnFormula>IF(AND(Tabelle589711143136[[#This Row],[Lastverschiebung]]=1,Tabelle589711143136[[#This Row],[Potenzial pos. MW Durchschnitt]]&lt;&gt;""),Tabelle589711143136[[#This Row],[Potenzial pos. MW Durchschnitt]],"")</calculatedColumnFormula>
    </tableColumn>
    <tableColumn id="6" xr3:uid="{4A460A5E-6EB9-43FD-9BC7-807842E9431F}" name="Potenzial neg. max MW" dataDxfId="1098">
      <calculatedColumnFormula>IF(AND(Tabelle589711143136[[#This Row],[Lastverschiebung]]=1,Tabelle589711143136[[#This Row],[Potenzial pos. max MW]]&lt;&gt;""),Tabelle589711143136[[#This Row],[Potenzial pos. max MW]],"")</calculatedColumnFormula>
    </tableColumn>
    <tableColumn id="7" xr3:uid="{92C246C1-0EA2-4B3A-924F-DF50B1F1C3AC}" name="Mindestleistung MW" dataDxfId="1097"/>
    <tableColumn id="8" xr3:uid="{84C577C6-DD02-409F-815F-B95A11A8D523}" name="Mindestauslastung" dataDxfId="1096" dataCellStyle="Prozent"/>
    <tableColumn id="36" xr3:uid="{9C946CF5-66F9-4633-BF74-225B42FB82D1}" name="flexibilisierbarer Anteil" dataDxfId="1095" dataCellStyle="Prozent"/>
    <tableColumn id="67" xr3:uid="{92266AA0-8F3E-45BF-B50E-FC2C1C212D48}" name="flexibilisierbarer Anteil an Durchschnittslast" dataDxfId="1094" dataCellStyle="Prozent"/>
    <tableColumn id="76" xr3:uid="{4E37DE7E-9E87-40A0-80CF-1C549DD9856F}" name="Vollbenutzungsstunden h/a" dataDxfId="1093" dataCellStyle="Prozent"/>
    <tableColumn id="65" xr3:uid="{5C620EF5-72FC-4224-9697-807212E3DD22}" name="Durchschnittsauslastung" dataDxfId="1092" dataCellStyle="Prozent"/>
    <tableColumn id="44" xr3:uid="{0F626CD0-07E4-4B2D-A692-F5951CF6EAC0}" name="Durchschnittliche Leistung MW" dataDxfId="1091" dataCellStyle="Prozent">
      <calculatedColumnFormula>Tabelle589711143136[[#This Row],[Durchschnittsauslastung]]*Tabelle589711143136[[#This Row],[installierte Leistung MW]]</calculatedColumnFormula>
    </tableColumn>
    <tableColumn id="9" xr3:uid="{2E28AEBD-CAC0-4980-B289-52F79813EE04}" name="Maximalleistung MW" dataDxfId="1090"/>
    <tableColumn id="46" xr3:uid="{D09B128A-1C88-4939-A0EB-39E83FBA1D6B}" name="Maximalauslastung" dataDxfId="1089" dataCellStyle="Prozent"/>
    <tableColumn id="10" xr3:uid="{90EED58D-F2D9-481F-A4FE-C2DEEA3DEAD4}" name="installierte Leistung MW" dataDxfId="1088"/>
    <tableColumn id="11" xr3:uid="{0ED408D6-9095-43F4-9193-E37A79484CF8}" name="Aktivierungsdauer (h)" dataDxfId="1087"/>
    <tableColumn id="61" xr3:uid="{7CA43059-8B98-4F64-8F27-25DB86B6BB15}" name="Schaltdauer pos. min (h)" dataDxfId="1086"/>
    <tableColumn id="60" xr3:uid="{340FE5B7-B05A-44B8-AA99-7BB09A19CE75}" name="Schaltdauer pos. max (h)" dataDxfId="1085"/>
    <tableColumn id="12" xr3:uid="{023FE4D3-AEC6-42FE-BD6B-F64C1D0AEB7B}" name="Schaltdauer pos. (h)" dataDxfId="1084"/>
    <tableColumn id="63" xr3:uid="{BEF46D48-AFBA-42CF-8960-F0DCA8840585}" name="Schaltdauer neg min (h)" dataDxfId="1083"/>
    <tableColumn id="62" xr3:uid="{8BBCD41A-7E0A-41A6-AF88-5D05A787ED17}" name="Schaltdauer neg. max (h)" dataDxfId="1082"/>
    <tableColumn id="51" xr3:uid="{AB3BF90C-AD4E-4291-A1B5-004B897A3651}" name="Schaltdauer neg. (h)" dataDxfId="1081"/>
    <tableColumn id="42" xr3:uid="{4A2927C3-5ACF-482C-A8C2-BA6F581524F4}" name="Verschiebedauer min. (h)" dataDxfId="1080"/>
    <tableColumn id="4" xr3:uid="{62D13CF1-2FE9-4EB0-AFD7-98162A357F8B}" name="Verschiebedauer max (h)" dataDxfId="1079"/>
    <tableColumn id="13" xr3:uid="{A5BF1C84-409B-4FC0-AA7B-2C2599DD973B}" name="Verschiebedauer (h)" dataDxfId="1078"/>
    <tableColumn id="14" xr3:uid="{FF12146A-F2AC-405A-B080-E609424F5ABF}" name="Regenerationsdauer (h)" dataDxfId="1077"/>
    <tableColumn id="15" xr3:uid="{D073107E-FE3B-4D1D-8ED2-7683F3868CBD}" name="Zeitverfügbarkeit?" dataDxfId="1076"/>
    <tableColumn id="16" xr3:uid="{4C30F895-B88F-40AA-86B8-9A3671A3E510}" name="max. Abrufhäufigkeit pro Woche" dataDxfId="1075">
      <calculatedColumnFormula>8*7</calculatedColumnFormula>
    </tableColumn>
    <tableColumn id="40" xr3:uid="{AE8EDB87-710C-462E-B560-0B1FC869E928}" name="max. Abrufhäufigkeit pro Jahr" dataDxfId="1074"/>
    <tableColumn id="57" xr3:uid="{7255E844-506A-4911-A4CF-29AF358AA7E8}" name="min. Investitionsausgaben €_2018/kW" dataDxfId="1073"/>
    <tableColumn id="56" xr3:uid="{EBCAB75B-49A2-4012-8BBE-124F8713F461}" name="max. Investitionsausgaben €_2018/kW" dataDxfId="1072"/>
    <tableColumn id="17" xr3:uid="{1C22044F-2F99-40DF-B420-9D8FAD3ED793}" name="Investitionsausgaben €_2018/kW" dataDxfId="1071"/>
    <tableColumn id="59" xr3:uid="{9E5364FB-AF84-4E36-889E-99B58E409873}" name="var. Kosten min. €_2018/MWh" dataDxfId="1070"/>
    <tableColumn id="58" xr3:uid="{B584FA5A-49D9-4B48-8247-83E6017A85B8}" name="var. Kosten max. €_2018/MWh" dataDxfId="1069"/>
    <tableColumn id="18" xr3:uid="{0D473CFF-FA0E-4F05-8472-22E7FDB1863E}" name="variable Kosten €_2018/MWh" dataDxfId="1068"/>
    <tableColumn id="64" xr3:uid="{F28FF53E-B758-4473-8A9B-D5EBA19E2393}" name="fixe Kosten min. €_2018/kW*a" dataDxfId="1067"/>
    <tableColumn id="72" xr3:uid="{4F6D732C-A17D-43D6-8AE3-BD5784A7F882}" name="fixe Kosten max. €_2018/kW*a" dataDxfId="1066"/>
    <tableColumn id="19" xr3:uid="{3198D0E6-5EFF-4D63-A06E-614C4447DFE9}" name="fixe Kosten €_2018/kW*a" dataDxfId="1065"/>
    <tableColumn id="48" xr3:uid="{BF7F605F-2E9A-414E-A2D8-2B99FFB023FA}" name="Investitionsausgaben je Anschlusspunkt (€_2018)" dataDxfId="1064"/>
    <tableColumn id="93" xr3:uid="{DCA6D5C7-4FE9-4DC2-8F7C-11F9B66B4A4D}" name="Aktivierungskosten [€_2018/MW(h)]" dataDxfId="1063"/>
    <tableColumn id="20" xr3:uid="{898AD356-3433-4464-B6E7-CD6DF0315DCA}" name="Bemerkungen" dataDxfId="1062"/>
    <tableColumn id="95" xr3:uid="{7A9946D4-103B-45EE-B129-30040DCE29C6}" name="Bemerkungen 2" dataDxfId="1061"/>
    <tableColumn id="55" xr3:uid="{5FF7CAB9-793F-443F-9144-5EAFA4780A33}" name="Fundstelle Lastverschiebung" dataDxfId="1060"/>
    <tableColumn id="54" xr3:uid="{40F2E025-66CF-4961-B144-1B44200CEE27}" name="Fundstelle Lastverzicht" dataDxfId="1059"/>
    <tableColumn id="80" xr3:uid="{3DB32C26-F864-4EBB-997D-EF0E68C0FE8C}" name="Fundstelle Produktion" dataDxfId="1058"/>
    <tableColumn id="91" xr3:uid="{AD943CC5-E12F-4792-BD74-638B106FBA0A}" name="Fundstelle Anzahl Anlagen" dataDxfId="1057"/>
    <tableColumn id="92" xr3:uid="{2B7422F7-15B5-4254-986E-64861FDBB9C7}" name="Fundstelle Entwicklungsfaktor" dataDxfId="1056"/>
    <tableColumn id="79" xr3:uid="{A93366D9-A263-4DB9-9EAB-81C8F373AB16}" name="Fundstelle Stromverbrauch" dataDxfId="1055"/>
    <tableColumn id="78" xr3:uid="{A85675BA-DD41-4588-8EEF-2D0E2D911A73}" name="Fundstelle Vollbenutzungsstunden" dataDxfId="1054"/>
    <tableColumn id="21" xr3:uid="{60D31C67-6CE1-4C1C-88C2-896BD904BF58}" name="Fundstelle Potenzial pos." dataDxfId="1053"/>
    <tableColumn id="22" xr3:uid="{9B99FC63-9BB2-4228-8AC9-D03F0FB37EF9}" name="Fundstelle Potenzial neg." dataDxfId="1052"/>
    <tableColumn id="23" xr3:uid="{4679FC11-5617-4729-A517-0487987FE2B9}" name="Fundstelle Mindestleistung" dataDxfId="1051"/>
    <tableColumn id="43" xr3:uid="{27EF346A-70E2-44AE-94EF-21F7B5D68E5C}" name="Fundstelle flexibilisierbarer Anteil" dataDxfId="1050"/>
    <tableColumn id="66" xr3:uid="{DFD4A929-8238-4107-9C2C-116B549F6A03}" name="Fundstelle Durchschnittsauslastung" dataDxfId="1049"/>
    <tableColumn id="45" xr3:uid="{862810CF-1C14-472E-BF28-E029A2273015}" name="Fundstelle durchschnittliche Leistung" dataDxfId="1048"/>
    <tableColumn id="24" xr3:uid="{5E4FCD47-9B64-4C0B-8DC3-6C9A938F51D2}" name="Fundstelle Maximalleistung" dataDxfId="1047"/>
    <tableColumn id="25" xr3:uid="{646BAD38-AEBF-42EB-A927-3871230D5C7B}" name="Fundstelle installierte Leistung" dataDxfId="1046"/>
    <tableColumn id="39" xr3:uid="{58C4690C-AE72-4A88-9FDB-C33F4733BD86}" name="Fundstelle Aktivierungsdauer" dataDxfId="1045"/>
    <tableColumn id="26" xr3:uid="{7EC7FF35-8998-4DE4-BF25-BFB8853E7EC9}" name="Fundstelle Schaltdauer" dataDxfId="1044"/>
    <tableColumn id="27" xr3:uid="{90448203-67FE-4708-A39E-E327B75983DA}" name="Fundstelle Verschiebedauer" dataDxfId="1043"/>
    <tableColumn id="28" xr3:uid="{66B4D80B-72C5-42A3-8CC0-83D0D63F1E55}" name="Fundstelle Regenerationsdauer" dataDxfId="1042"/>
    <tableColumn id="29" xr3:uid="{157EA1CE-B55A-4445-9713-74F2210BAA65}" name="Fundstelle Zeitverfügbarkeit" dataDxfId="1041"/>
    <tableColumn id="30" xr3:uid="{A7C248FD-A3D3-48D8-B20B-9542C876489E}" name="Fundstelle max. Abrufhäufigkeit" dataDxfId="1040"/>
    <tableColumn id="31" xr3:uid="{AEBF4069-855E-48D8-9498-FB5BB0B32F77}" name="Fundstelle Invest" dataDxfId="1039"/>
    <tableColumn id="32" xr3:uid="{FBD5F82E-ED1F-4889-BB90-248DEEFA1DF2}" name="Fundstelle var. Kosten" dataDxfId="1038"/>
    <tableColumn id="33" xr3:uid="{A76B44E7-4AC7-41C3-BADF-9BA66793E795}" name="Fundstelle fixe Kosten" dataDxfId="1037"/>
    <tableColumn id="49" xr3:uid="{0E39A479-2FF9-4ECF-AF59-8C51F6F22DEF}" name="Fundstelle Investition je Anschlusspunkt" dataDxfId="1036"/>
    <tableColumn id="94" xr3:uid="{8877AA02-6EAE-483F-A3F0-BC3B7D057B66}" name="Fundstelle Aktivierungskosten" dataDxfId="1035"/>
    <tableColumn id="34" xr3:uid="{4BAEB2EE-B816-46B4-96C9-77A60E3A7D64}" name="Fundstelle Bemerkungen" dataDxfId="1034"/>
    <tableColumn id="35" xr3:uid="{8D4642B4-A675-4F7C-9CC7-0148D1FCB4C1}" name="eigene Anmerkung" dataDxfId="1033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elle58971116" displayName="Tabelle58971116" ref="A1:CB6" totalsRowShown="0" headerRowDxfId="1032" dataDxfId="1031" tableBorderDxfId="1030">
  <autoFilter ref="A1:CB6" xr:uid="{00000000-0009-0000-0100-00000F000000}"/>
  <tableColumns count="80">
    <tableColumn id="1" xr3:uid="{00000000-0010-0000-0D00-000001000000}" name="Prozess" dataDxfId="1029"/>
    <tableColumn id="47" xr3:uid="{00000000-0010-0000-0D00-00002F000000}" name="Sektorenzuordnung" dataDxfId="1028"/>
    <tableColumn id="2" xr3:uid="{00000000-0010-0000-0D00-000002000000}" name="Jahr" dataDxfId="1027"/>
    <tableColumn id="52" xr3:uid="{00000000-0010-0000-0D00-000034000000}" name="Lastverschiebung" dataDxfId="1026"/>
    <tableColumn id="53" xr3:uid="{00000000-0010-0000-0D00-000035000000}" name="Lastverzicht" dataDxfId="1025"/>
    <tableColumn id="77" xr3:uid="{8AE41C03-1F02-4151-B136-B78FAAFF4B94}" name="Lasterhöhung" dataDxfId="1024"/>
    <tableColumn id="71" xr3:uid="{00000000-0010-0000-0D00-000047000000}" name="soziotech. Pot. pos. min (MW)" dataDxfId="1023"/>
    <tableColumn id="70" xr3:uid="{00000000-0010-0000-0D00-000046000000}" name="soziotech. Pot. pos. max (MW)" dataDxfId="1022"/>
    <tableColumn id="3" xr3:uid="{00000000-0010-0000-0D00-000003000000}" name="Potenzial pos. min MW" dataDxfId="1021"/>
    <tableColumn id="38" xr3:uid="{00000000-0010-0000-0D00-000026000000}" name="Potenzial pos. MW Durchschnitt" dataDxfId="1020"/>
    <tableColumn id="5" xr3:uid="{00000000-0010-0000-0D00-000005000000}" name="Potenzial pos. max MW" dataDxfId="1019"/>
    <tableColumn id="37" xr3:uid="{00000000-0010-0000-0D00-000025000000}" name="ausgewiesenes Pot. pos. MW (falls abweichend)" dataDxfId="1018"/>
    <tableColumn id="50" xr3:uid="{00000000-0010-0000-0D00-000032000000}" name="Potenzial neg. min MW" dataDxfId="1017"/>
    <tableColumn id="74" xr3:uid="{00000000-0010-0000-0D00-00004A000000}" name="soziotech. Pot. neg. min (MW)" dataDxfId="1016"/>
    <tableColumn id="73" xr3:uid="{00000000-0010-0000-0D00-000049000000}" name="soziotech. Pot. neg. max (MW)" dataDxfId="1015"/>
    <tableColumn id="72" xr3:uid="{00000000-0010-0000-0D00-000048000000}" name="soziotech. Pot. neg. (MW)" dataDxfId="1014"/>
    <tableColumn id="41" xr3:uid="{00000000-0010-0000-0D00-000029000000}" name="Potenzial neg. MW Durchschnitt" dataDxfId="1013"/>
    <tableColumn id="6" xr3:uid="{00000000-0010-0000-0D00-000006000000}" name="Potenzial neg. max MW" dataDxfId="1012"/>
    <tableColumn id="7" xr3:uid="{00000000-0010-0000-0D00-000007000000}" name="Mindestleistung MW" dataDxfId="1011">
      <calculatedColumnFormula>Tabelle58971116[[#This Row],[Mindestauslastung]]*Tabelle58971116[[#This Row],[installierte Leistung MW]]</calculatedColumnFormula>
    </tableColumn>
    <tableColumn id="8" xr3:uid="{00000000-0010-0000-0D00-000008000000}" name="Mindestauslastung" dataDxfId="1010" dataCellStyle="Prozent"/>
    <tableColumn id="36" xr3:uid="{00000000-0010-0000-0D00-000024000000}" name="flexibilisierbarer Anteil" dataDxfId="1009" dataCellStyle="Prozent"/>
    <tableColumn id="78" xr3:uid="{9FD20C5E-D9A9-45D0-84F6-9044D7CB8E47}" name="Vollbenutzungsstunden h/a" dataDxfId="1008" dataCellStyle="Prozent"/>
    <tableColumn id="79" xr3:uid="{925F433D-FBD9-4C70-880C-A02398A38F90}" name="Betriebsstunden p.a." dataDxfId="1007" dataCellStyle="Prozent"/>
    <tableColumn id="80" xr3:uid="{87D06D7F-2CE1-45A6-8DA5-7A2F6E035F47}" name="Durchschnittsauslastung im Betriebszeitraum" dataDxfId="1006" dataCellStyle="Prozent">
      <calculatedColumnFormula>Tabelle58971116[[#This Row],[Vollbenutzungsstunden h/a]]/8760</calculatedColumnFormula>
    </tableColumn>
    <tableColumn id="65" xr3:uid="{00000000-0010-0000-0D00-000041000000}" name="Durchschnittsauslastung" dataDxfId="1005" dataCellStyle="Prozent">
      <calculatedColumnFormula>Tabelle58971116[[#This Row],[Vollbenutzungsstunden h/a]]/Tabelle58971116[[#This Row],[Betriebsstunden p.a.]]</calculatedColumnFormula>
    </tableColumn>
    <tableColumn id="44" xr3:uid="{00000000-0010-0000-0D00-00002C000000}" name="Durchschnittliche Leistung MW" dataDxfId="1004" dataCellStyle="Prozent">
      <calculatedColumnFormula>Tabelle58971116[[#This Row],[Durchschnittsauslastung]]*Tabelle58971116[[#This Row],[installierte Leistung MW]]</calculatedColumnFormula>
    </tableColumn>
    <tableColumn id="9" xr3:uid="{00000000-0010-0000-0D00-000009000000}" name="Maximalleistung MW" dataDxfId="1003"/>
    <tableColumn id="46" xr3:uid="{00000000-0010-0000-0D00-00002E000000}" name="Maximalauslastung" dataDxfId="1002" dataCellStyle="Prozent"/>
    <tableColumn id="10" xr3:uid="{00000000-0010-0000-0D00-00000A000000}" name="installierte Leistung MW" dataDxfId="1001"/>
    <tableColumn id="68" xr3:uid="{00000000-0010-0000-0D00-000044000000}" name="Aktivierungsdauer min (h)" dataDxfId="1000"/>
    <tableColumn id="67" xr3:uid="{00000000-0010-0000-0D00-000043000000}" name="Aktivierungsdauer max (h)" dataDxfId="999"/>
    <tableColumn id="11" xr3:uid="{00000000-0010-0000-0D00-00000B000000}" name="Aktivierungsdauer (h)" dataDxfId="998"/>
    <tableColumn id="61" xr3:uid="{00000000-0010-0000-0D00-00003D000000}" name="Schaltdauer pos. min (h)" dataDxfId="997"/>
    <tableColumn id="60" xr3:uid="{00000000-0010-0000-0D00-00003C000000}" name="Schaltdauer pos. max (h)" dataDxfId="996"/>
    <tableColumn id="12" xr3:uid="{00000000-0010-0000-0D00-00000C000000}" name="Schaltdauer pos. (h)" dataDxfId="995"/>
    <tableColumn id="63" xr3:uid="{00000000-0010-0000-0D00-00003F000000}" name="Schaltdauer neg min (h)" dataDxfId="994"/>
    <tableColumn id="62" xr3:uid="{00000000-0010-0000-0D00-00003E000000}" name="Schaltdauer neg. max (h)" dataDxfId="993"/>
    <tableColumn id="51" xr3:uid="{00000000-0010-0000-0D00-000033000000}" name="Schaltdauer neg. (h)" dataDxfId="992"/>
    <tableColumn id="42" xr3:uid="{00000000-0010-0000-0D00-00002A000000}" name="Verschiebedauer min. (h)" dataDxfId="991"/>
    <tableColumn id="4" xr3:uid="{00000000-0010-0000-0D00-000004000000}" name="Verschiebedauer max (h)" dataDxfId="990"/>
    <tableColumn id="13" xr3:uid="{00000000-0010-0000-0D00-00000D000000}" name="Verschiebedauer (h)" dataDxfId="989"/>
    <tableColumn id="14" xr3:uid="{00000000-0010-0000-0D00-00000E000000}" name="Regenerationsdauer (h)" dataDxfId="988"/>
    <tableColumn id="15" xr3:uid="{00000000-0010-0000-0D00-00000F000000}" name="Zeitverfügbarkeit?" dataDxfId="987"/>
    <tableColumn id="16" xr3:uid="{00000000-0010-0000-0D00-000010000000}" name="max. Abrufhäufigkeit pro Woche" dataDxfId="986"/>
    <tableColumn id="40" xr3:uid="{00000000-0010-0000-0D00-000028000000}" name="max. Abrufhäufigkeit pro Jahr" dataDxfId="985"/>
    <tableColumn id="57" xr3:uid="{00000000-0010-0000-0D00-000039000000}" name="min. Investitionsausgaben €_2018/kW" dataDxfId="984"/>
    <tableColumn id="56" xr3:uid="{00000000-0010-0000-0D00-000038000000}" name="max. Investitionsausgaben €_2018/kW" dataDxfId="983">
      <calculatedColumnFormula>10101/10^3*Umrechnungsfaktoren!$B$15/Umrechnungsfaktoren!$B$12</calculatedColumnFormula>
    </tableColumn>
    <tableColumn id="17" xr3:uid="{00000000-0010-0000-0D00-000011000000}" name="Investitionsausgaben €_2018/kW" dataDxfId="982">
      <calculatedColumnFormula>4387/10^3*Umrechnungsfaktoren!$B$15/Umrechnungsfaktoren!$B$12</calculatedColumnFormula>
    </tableColumn>
    <tableColumn id="59" xr3:uid="{00000000-0010-0000-0D00-00003B000000}" name="var. Kosten min. €_2018/MWh" dataDxfId="981"/>
    <tableColumn id="58" xr3:uid="{00000000-0010-0000-0D00-00003A000000}" name="var. Kosten max. €_2018/MWh" dataDxfId="980">
      <calculatedColumnFormula>2000*Umrechnungsfaktoren!$B$15/Umrechnungsfaktoren!$B$12</calculatedColumnFormula>
    </tableColumn>
    <tableColumn id="18" xr3:uid="{00000000-0010-0000-0D00-000012000000}" name="variable Kosten €_2018/MWh" dataDxfId="979">
      <calculatedColumnFormula>48*Umrechnungsfaktoren!$B$15/Umrechnungsfaktoren!$B$12</calculatedColumnFormula>
    </tableColumn>
    <tableColumn id="64" xr3:uid="{00000000-0010-0000-0D00-000040000000}" name="fixe Kosten min. €_2018/kW*a" dataDxfId="978">
      <calculatedColumnFormula>0/10^3*Umrechnungsfaktoren!$B$15/Umrechnungsfaktoren!$B$12</calculatedColumnFormula>
    </tableColumn>
    <tableColumn id="75" xr3:uid="{00000000-0010-0000-0D00-00004B000000}" name="fixe Kosten max €_2018/kW*a" dataDxfId="977"/>
    <tableColumn id="19" xr3:uid="{00000000-0010-0000-0D00-000013000000}" name="fixe Kosten €_2018/kW*a" dataDxfId="976">
      <calculatedColumnFormula>869/10^3*Umrechnungsfaktoren!$B$15/Umrechnungsfaktoren!$B$12</calculatedColumnFormula>
    </tableColumn>
    <tableColumn id="48" xr3:uid="{00000000-0010-0000-0D00-000030000000}" name="Investitionsausgaben je Anschlusspunkt (€_2018)" dataDxfId="975">
      <calculatedColumnFormula>104/10^3*Umrechnungsfaktoren!$B$15/Umrechnungsfaktoren!$B$12</calculatedColumnFormula>
    </tableColumn>
    <tableColumn id="20" xr3:uid="{00000000-0010-0000-0D00-000014000000}" name="Bemerkungen" dataDxfId="974"/>
    <tableColumn id="69" xr3:uid="{00000000-0010-0000-0D00-000045000000}" name="Ausblick Zukunft" dataDxfId="973"/>
    <tableColumn id="55" xr3:uid="{00000000-0010-0000-0D00-000037000000}" name="Fundstelle Lastverschiebung" dataDxfId="972"/>
    <tableColumn id="54" xr3:uid="{00000000-0010-0000-0D00-000036000000}" name="Fundstelle Lastverzicht" dataDxfId="971"/>
    <tableColumn id="21" xr3:uid="{00000000-0010-0000-0D00-000015000000}" name="Fundstelle Potenzial pos." dataDxfId="970"/>
    <tableColumn id="22" xr3:uid="{00000000-0010-0000-0D00-000016000000}" name="Fundstelle Potenzial neg." dataDxfId="969"/>
    <tableColumn id="23" xr3:uid="{00000000-0010-0000-0D00-000017000000}" name="Fundstelle Mindestleistung" dataDxfId="968"/>
    <tableColumn id="43" xr3:uid="{00000000-0010-0000-0D00-00002B000000}" name="Fundstelle flexibilisierbarer Anteil" dataDxfId="967"/>
    <tableColumn id="66" xr3:uid="{00000000-0010-0000-0D00-000042000000}" name="Fundstelle Durchschnittsauslastung" dataDxfId="966"/>
    <tableColumn id="45" xr3:uid="{00000000-0010-0000-0D00-00002D000000}" name="Fundstelle durchschnittliche Leistung" dataDxfId="965"/>
    <tableColumn id="24" xr3:uid="{00000000-0010-0000-0D00-000018000000}" name="Fundstelle Maximalleistung" dataDxfId="964"/>
    <tableColumn id="25" xr3:uid="{00000000-0010-0000-0D00-000019000000}" name="Fundstelle installierte Leistung" dataDxfId="963"/>
    <tableColumn id="39" xr3:uid="{00000000-0010-0000-0D00-000027000000}" name="Fundstelle Aktivierungsdauer" dataDxfId="962"/>
    <tableColumn id="26" xr3:uid="{00000000-0010-0000-0D00-00001A000000}" name="Fundstelle Schaltdauer" dataDxfId="961"/>
    <tableColumn id="27" xr3:uid="{00000000-0010-0000-0D00-00001B000000}" name="Fundstelle Verschiebedauer" dataDxfId="960"/>
    <tableColumn id="28" xr3:uid="{00000000-0010-0000-0D00-00001C000000}" name="Fundstelle Regenerationsdauer" dataDxfId="959"/>
    <tableColumn id="29" xr3:uid="{00000000-0010-0000-0D00-00001D000000}" name="Fundstelle Zeitverfügbarkeit" dataDxfId="958"/>
    <tableColumn id="30" xr3:uid="{00000000-0010-0000-0D00-00001E000000}" name="Fundstelle max. Abrufhäufigkeit" dataDxfId="957"/>
    <tableColumn id="31" xr3:uid="{00000000-0010-0000-0D00-00001F000000}" name="Fundstelle Invest" dataDxfId="956"/>
    <tableColumn id="32" xr3:uid="{00000000-0010-0000-0D00-000020000000}" name="Fundstelle var. Kosten" dataDxfId="955"/>
    <tableColumn id="33" xr3:uid="{00000000-0010-0000-0D00-000021000000}" name="Fundstelle fixe Kosten" dataDxfId="954"/>
    <tableColumn id="49" xr3:uid="{00000000-0010-0000-0D00-000031000000}" name="Fundstelle Investition je Anschlusspunkt" dataDxfId="953"/>
    <tableColumn id="34" xr3:uid="{00000000-0010-0000-0D00-000022000000}" name="Fundstelle Bemerkungen" dataDxfId="952"/>
    <tableColumn id="76" xr3:uid="{00000000-0010-0000-0D00-00004C000000}" name="Fundstelle Ausblick" dataDxfId="951"/>
    <tableColumn id="35" xr3:uid="{00000000-0010-0000-0D00-000023000000}" name="eigene Anmerkung" dataDxfId="950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le5897111430" displayName="Tabelle5897111430" ref="A1:BQ7" totalsRowShown="0" headerRowDxfId="949" dataDxfId="948" tableBorderDxfId="947">
  <autoFilter ref="A1:BQ7" xr:uid="{00000000-0009-0000-0100-00001D000000}"/>
  <tableColumns count="69">
    <tableColumn id="1" xr3:uid="{00000000-0010-0000-1900-000001000000}" name="Prozess" dataDxfId="946"/>
    <tableColumn id="47" xr3:uid="{00000000-0010-0000-1900-00002F000000}" name="Sektorenzuordnung" dataDxfId="945"/>
    <tableColumn id="2" xr3:uid="{00000000-0010-0000-1900-000002000000}" name="Jahr" dataDxfId="944"/>
    <tableColumn id="52" xr3:uid="{00000000-0010-0000-1900-000034000000}" name="Lastverschiebung" dataDxfId="943"/>
    <tableColumn id="53" xr3:uid="{00000000-0010-0000-1900-000035000000}" name="Lastverzicht" dataDxfId="942"/>
    <tableColumn id="69" xr3:uid="{5699CFC7-3A38-4AF2-B262-AFAF175FCD49}" name="Lasterhöhung" dataDxfId="941"/>
    <tableColumn id="68" xr3:uid="{C3310578-7DCB-41E8-ADBB-B2A6C2FC6147}" name="Stromverbrauch in TWh" dataDxfId="940"/>
    <tableColumn id="3" xr3:uid="{00000000-0010-0000-1900-000003000000}" name="Potenzial pos. min MW" dataDxfId="939"/>
    <tableColumn id="38" xr3:uid="{00000000-0010-0000-1900-000026000000}" name="Potenzial pos. MW Durchschnitt" dataDxfId="938"/>
    <tableColumn id="5" xr3:uid="{00000000-0010-0000-1900-000005000000}" name="Potenzial pos. max MW" dataDxfId="937"/>
    <tableColumn id="37" xr3:uid="{00000000-0010-0000-1900-000025000000}" name="ausgewiesenes Pot. pos. MW (falls abweichend)" dataDxfId="936"/>
    <tableColumn id="50" xr3:uid="{00000000-0010-0000-1900-000032000000}" name="Potenzial neg. min MW" dataDxfId="935">
      <calculatedColumnFormula>44+29</calculatedColumnFormula>
    </tableColumn>
    <tableColumn id="41" xr3:uid="{00000000-0010-0000-1900-000029000000}" name="Potenzial neg. MW Durchschnitt" dataDxfId="934"/>
    <tableColumn id="6" xr3:uid="{00000000-0010-0000-1900-000006000000}" name="Potenzial neg. max MW" dataDxfId="933">
      <calculatedColumnFormula>197+190</calculatedColumnFormula>
    </tableColumn>
    <tableColumn id="7" xr3:uid="{00000000-0010-0000-1900-000007000000}" name="Mindestleistung MW" dataDxfId="932"/>
    <tableColumn id="8" xr3:uid="{00000000-0010-0000-1900-000008000000}" name="Mindestauslastung" dataDxfId="931" dataCellStyle="Prozent"/>
    <tableColumn id="36" xr3:uid="{00000000-0010-0000-1900-000024000000}" name="flexibilisierbarer Anteil" dataDxfId="930" dataCellStyle="Prozent"/>
    <tableColumn id="67" xr3:uid="{00000000-0010-0000-1900-000043000000}" name="flexibilisierbarer Anteil an Durchschnittslast" dataDxfId="929" dataCellStyle="Prozent"/>
    <tableColumn id="65" xr3:uid="{00000000-0010-0000-1900-000041000000}" name="Durchschnittsauslastung" dataDxfId="928" dataCellStyle="Prozent"/>
    <tableColumn id="44" xr3:uid="{00000000-0010-0000-1900-00002C000000}" name="Durchschnittliche Leistung MW" dataDxfId="927" dataCellStyle="Prozent"/>
    <tableColumn id="9" xr3:uid="{00000000-0010-0000-1900-000009000000}" name="Maximalleistung MW" dataDxfId="926"/>
    <tableColumn id="46" xr3:uid="{00000000-0010-0000-1900-00002E000000}" name="Maximalauslastung" dataDxfId="925" dataCellStyle="Prozent"/>
    <tableColumn id="10" xr3:uid="{00000000-0010-0000-1900-00000A000000}" name="installierte Leistung MW" dataDxfId="924"/>
    <tableColumn id="11" xr3:uid="{00000000-0010-0000-1900-00000B000000}" name="Aktivierungsdauer (h)" dataDxfId="923"/>
    <tableColumn id="61" xr3:uid="{00000000-0010-0000-1900-00003D000000}" name="Schaltdauer pos. min (h)" dataDxfId="922"/>
    <tableColumn id="60" xr3:uid="{00000000-0010-0000-1900-00003C000000}" name="Schaltdauer pos. max (h)" dataDxfId="921"/>
    <tableColumn id="12" xr3:uid="{00000000-0010-0000-1900-00000C000000}" name="Schaltdauer pos. (h)" dataDxfId="920"/>
    <tableColumn id="63" xr3:uid="{00000000-0010-0000-1900-00003F000000}" name="Schaltdauer neg min (h)" dataDxfId="919"/>
    <tableColumn id="62" xr3:uid="{00000000-0010-0000-1900-00003E000000}" name="Schaltdauer neg. max (h)" dataDxfId="918"/>
    <tableColumn id="51" xr3:uid="{00000000-0010-0000-1900-000033000000}" name="Schaltdauer neg. (h)" dataDxfId="917"/>
    <tableColumn id="42" xr3:uid="{00000000-0010-0000-1900-00002A000000}" name="Verschiebedauer min. (h)" dataDxfId="916"/>
    <tableColumn id="4" xr3:uid="{00000000-0010-0000-1900-000004000000}" name="Verschiebedauer max (h)" dataDxfId="915"/>
    <tableColumn id="13" xr3:uid="{00000000-0010-0000-1900-00000D000000}" name="Verschiebedauer (h)" dataDxfId="914"/>
    <tableColumn id="14" xr3:uid="{00000000-0010-0000-1900-00000E000000}" name="Regenerationsdauer (h)" dataDxfId="913"/>
    <tableColumn id="15" xr3:uid="{00000000-0010-0000-1900-00000F000000}" name="Zeitverfügbarkeit?" dataDxfId="912"/>
    <tableColumn id="16" xr3:uid="{00000000-0010-0000-1900-000010000000}" name="max. Abrufhäufigkeit pro Woche" dataDxfId="911"/>
    <tableColumn id="40" xr3:uid="{00000000-0010-0000-1900-000028000000}" name="max. Abrufhäufigkeit pro Jahr" dataDxfId="910"/>
    <tableColumn id="57" xr3:uid="{00000000-0010-0000-1900-000039000000}" name="min. Investitionsausgaben €_2018/kW" dataDxfId="909"/>
    <tableColumn id="56" xr3:uid="{00000000-0010-0000-1900-000038000000}" name="max. Investitionsausgaben €_2018/kW" dataDxfId="908"/>
    <tableColumn id="17" xr3:uid="{00000000-0010-0000-1900-000011000000}" name="Investitionsausgaben €_2018/kW" dataDxfId="907"/>
    <tableColumn id="59" xr3:uid="{00000000-0010-0000-1900-00003B000000}" name="var. Kosten min. €_2018/MWh" dataDxfId="906"/>
    <tableColumn id="58" xr3:uid="{00000000-0010-0000-1900-00003A000000}" name="var. Kosten max. €_2018/MWh" dataDxfId="905"/>
    <tableColumn id="18" xr3:uid="{00000000-0010-0000-1900-000012000000}" name="variable Kosten €_2018/MWh" dataDxfId="904"/>
    <tableColumn id="64" xr3:uid="{00000000-0010-0000-1900-000040000000}" name="fixe Kosten min. €_2018/kW*a" dataDxfId="903"/>
    <tableColumn id="19" xr3:uid="{00000000-0010-0000-1900-000013000000}" name="fixe Kosten €_2018/kW*a" dataDxfId="902"/>
    <tableColumn id="48" xr3:uid="{00000000-0010-0000-1900-000030000000}" name="Investitionsausgaben je Anschlusspunkt (€_2018)" dataDxfId="901"/>
    <tableColumn id="20" xr3:uid="{00000000-0010-0000-1900-000014000000}" name="Bemerkungen" dataDxfId="900"/>
    <tableColumn id="55" xr3:uid="{00000000-0010-0000-1900-000037000000}" name="Fundstelle Lastverschiebung" dataDxfId="899"/>
    <tableColumn id="54" xr3:uid="{00000000-0010-0000-1900-000036000000}" name="Fundstelle Lastverzicht" dataDxfId="898"/>
    <tableColumn id="21" xr3:uid="{00000000-0010-0000-1900-000015000000}" name="Fundstelle Potenzial pos." dataDxfId="897"/>
    <tableColumn id="22" xr3:uid="{00000000-0010-0000-1900-000016000000}" name="Fundstelle Potenzial neg." dataDxfId="896"/>
    <tableColumn id="23" xr3:uid="{00000000-0010-0000-1900-000017000000}" name="Fundstelle Mindestleistung" dataDxfId="895"/>
    <tableColumn id="43" xr3:uid="{00000000-0010-0000-1900-00002B000000}" name="Fundstelle flexibilisierbarer Anteil" dataDxfId="894"/>
    <tableColumn id="66" xr3:uid="{00000000-0010-0000-1900-000042000000}" name="Fundstelle Durchschnittsauslastung" dataDxfId="893"/>
    <tableColumn id="45" xr3:uid="{00000000-0010-0000-1900-00002D000000}" name="Fundstelle durchschnittliche Leistung" dataDxfId="892"/>
    <tableColumn id="24" xr3:uid="{00000000-0010-0000-1900-000018000000}" name="Fundstelle Maximalleistung" dataDxfId="891"/>
    <tableColumn id="25" xr3:uid="{00000000-0010-0000-1900-000019000000}" name="Fundstelle installierte Leistung" dataDxfId="890"/>
    <tableColumn id="39" xr3:uid="{00000000-0010-0000-1900-000027000000}" name="Fundstelle Aktivierungsdauer" dataDxfId="889"/>
    <tableColumn id="26" xr3:uid="{00000000-0010-0000-1900-00001A000000}" name="Fundstelle Schaltdauer" dataDxfId="888"/>
    <tableColumn id="27" xr3:uid="{00000000-0010-0000-1900-00001B000000}" name="Fundstelle Verschiebedauer" dataDxfId="887"/>
    <tableColumn id="28" xr3:uid="{00000000-0010-0000-1900-00001C000000}" name="Fundstelle Regenerationsdauer" dataDxfId="886"/>
    <tableColumn id="29" xr3:uid="{00000000-0010-0000-1900-00001D000000}" name="Fundstelle Zeitverfügbarkeit" dataDxfId="885"/>
    <tableColumn id="30" xr3:uid="{00000000-0010-0000-1900-00001E000000}" name="Fundstelle max. Abrufhäufigkeit" dataDxfId="884"/>
    <tableColumn id="31" xr3:uid="{00000000-0010-0000-1900-00001F000000}" name="Fundstelle Invest" dataDxfId="883"/>
    <tableColumn id="32" xr3:uid="{00000000-0010-0000-1900-000020000000}" name="Fundstelle var. Kosten" dataDxfId="882"/>
    <tableColumn id="33" xr3:uid="{00000000-0010-0000-1900-000021000000}" name="Fundstelle fixe Kosten" dataDxfId="881"/>
    <tableColumn id="49" xr3:uid="{00000000-0010-0000-1900-000031000000}" name="Fundstelle Investition je Anschlusspunkt" dataDxfId="880"/>
    <tableColumn id="34" xr3:uid="{00000000-0010-0000-1900-000022000000}" name="Fundstelle Bemerkungen" dataDxfId="879"/>
    <tableColumn id="35" xr3:uid="{00000000-0010-0000-1900-000023000000}" name="eigene Anmerkung" dataDxfId="878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e589" displayName="Tabelle589" ref="A1:BN45" totalsRowShown="0" headerRowDxfId="877" dataDxfId="876" tableBorderDxfId="875">
  <autoFilter ref="A1:BN45" xr:uid="{00000000-0009-0000-0100-000008000000}"/>
  <tableColumns count="66">
    <tableColumn id="1" xr3:uid="{00000000-0010-0000-0200-000001000000}" name="Prozess" dataDxfId="874"/>
    <tableColumn id="47" xr3:uid="{00000000-0010-0000-0200-00002F000000}" name="Sektorenzuordnung" dataDxfId="873"/>
    <tableColumn id="2" xr3:uid="{00000000-0010-0000-0200-000002000000}" name="Jahr" dataDxfId="872"/>
    <tableColumn id="52" xr3:uid="{00000000-0010-0000-0200-000034000000}" name="Lastverschiebung" dataDxfId="871"/>
    <tableColumn id="53" xr3:uid="{00000000-0010-0000-0200-000035000000}" name="Lastverzicht" dataDxfId="870"/>
    <tableColumn id="65" xr3:uid="{01A49C9E-5CCD-4A95-B6BA-9289767BCF33}" name="Lasterhöhung" dataDxfId="869"/>
    <tableColumn id="3" xr3:uid="{00000000-0010-0000-0200-000003000000}" name="Potenzial pos. min MW" dataDxfId="868"/>
    <tableColumn id="38" xr3:uid="{00000000-0010-0000-0200-000026000000}" name="Potenzial pos. MW Durchschnitt" dataDxfId="867"/>
    <tableColumn id="5" xr3:uid="{00000000-0010-0000-0200-000005000000}" name="Potenzial pos. max MW" dataDxfId="866"/>
    <tableColumn id="37" xr3:uid="{00000000-0010-0000-0200-000025000000}" name="ausgewiesenes Pot. pos. MW (falls abweichend)" dataDxfId="865"/>
    <tableColumn id="50" xr3:uid="{00000000-0010-0000-0200-000032000000}" name="Potenzial neg. min MW" dataDxfId="864"/>
    <tableColumn id="41" xr3:uid="{00000000-0010-0000-0200-000029000000}" name="Potenzial neg. MW Durchschnitt" dataDxfId="863"/>
    <tableColumn id="6" xr3:uid="{00000000-0010-0000-0200-000006000000}" name="Potenzial neg. max MW" dataDxfId="862"/>
    <tableColumn id="7" xr3:uid="{00000000-0010-0000-0200-000007000000}" name="Mindestleistung MW" dataDxfId="861"/>
    <tableColumn id="8" xr3:uid="{00000000-0010-0000-0200-000008000000}" name="Mindestauslastung" dataDxfId="860" dataCellStyle="Prozent"/>
    <tableColumn id="66" xr3:uid="{27719410-D0A9-4C52-BFB6-CDC339A61A1E}" name="flexibilisierbarer Anteil min" dataDxfId="859" dataCellStyle="Prozent"/>
    <tableColumn id="36" xr3:uid="{00000000-0010-0000-0200-000024000000}" name="flexibilisierbarer Anteil an installierter Leistung" dataDxfId="858" dataCellStyle="Prozent"/>
    <tableColumn id="44" xr3:uid="{00000000-0010-0000-0200-00002C000000}" name="Durchschnittliche Leistung MW" dataDxfId="857" dataCellStyle="Prozent"/>
    <tableColumn id="9" xr3:uid="{00000000-0010-0000-0200-000009000000}" name="Maximalleistung MW" dataDxfId="856"/>
    <tableColumn id="46" xr3:uid="{00000000-0010-0000-0200-00002E000000}" name="Maximalauslastung" dataDxfId="855" dataCellStyle="Prozent"/>
    <tableColumn id="10" xr3:uid="{00000000-0010-0000-0200-00000A000000}" name="installierte Leistung MW" dataDxfId="854"/>
    <tableColumn id="11" xr3:uid="{00000000-0010-0000-0200-00000B000000}" name="Aktivierungsdauer (h)" dataDxfId="853">
      <calculatedColumnFormula>7.5/60</calculatedColumnFormula>
    </tableColumn>
    <tableColumn id="61" xr3:uid="{00000000-0010-0000-0200-00003D000000}" name="Schaltdauer pos. min (h)" dataDxfId="852"/>
    <tableColumn id="60" xr3:uid="{00000000-0010-0000-0200-00003C000000}" name="Schaltdauer pos. max (h)" dataDxfId="851"/>
    <tableColumn id="12" xr3:uid="{00000000-0010-0000-0200-00000C000000}" name="Schaltdauer pos. (h)" dataDxfId="850"/>
    <tableColumn id="63" xr3:uid="{00000000-0010-0000-0200-00003F000000}" name="Schaltdauer neg min (h)" dataDxfId="849"/>
    <tableColumn id="62" xr3:uid="{00000000-0010-0000-0200-00003E000000}" name="Schaltdauer neg. max (h)" dataDxfId="848"/>
    <tableColumn id="51" xr3:uid="{00000000-0010-0000-0200-000033000000}" name="Schaltdauer neg. (h)" dataDxfId="847"/>
    <tableColumn id="42" xr3:uid="{00000000-0010-0000-0200-00002A000000}" name="Verschiebedauer min. (h)" dataDxfId="846"/>
    <tableColumn id="4" xr3:uid="{00000000-0010-0000-0200-000004000000}" name="Verschiebedauer max (h)" dataDxfId="845"/>
    <tableColumn id="13" xr3:uid="{00000000-0010-0000-0200-00000D000000}" name="Verschiebedauer (h)" dataDxfId="844"/>
    <tableColumn id="14" xr3:uid="{00000000-0010-0000-0200-00000E000000}" name="Regenerationsdauer (h)" dataDxfId="843"/>
    <tableColumn id="15" xr3:uid="{00000000-0010-0000-0200-00000F000000}" name="Zeitverfügbarkeit?" dataDxfId="842"/>
    <tableColumn id="16" xr3:uid="{00000000-0010-0000-0200-000010000000}" name="max. Abrufhäufigkeit pro Woche" dataDxfId="841"/>
    <tableColumn id="40" xr3:uid="{00000000-0010-0000-0200-000028000000}" name="max. Abrufhäufigkeit pro Jahr" dataDxfId="840"/>
    <tableColumn id="57" xr3:uid="{00000000-0010-0000-0200-000039000000}" name="min. Investitionsausgaben €_2018/kW" dataDxfId="839"/>
    <tableColumn id="56" xr3:uid="{00000000-0010-0000-0200-000038000000}" name="max. Investitionsausgaben €_2018/kW" dataDxfId="838"/>
    <tableColumn id="17" xr3:uid="{00000000-0010-0000-0200-000011000000}" name="Investitionsausgaben €_2018/kW" dataDxfId="837">
      <calculatedColumnFormula>AVERAGE(Tabelle589[[#This Row],[min. Investitionsausgaben €_2018/kW]:[max. Investitionsausgaben €_2018/kW]])</calculatedColumnFormula>
    </tableColumn>
    <tableColumn id="59" xr3:uid="{00000000-0010-0000-0200-00003B000000}" name="var. Kosten min. €_2018/MWh" dataDxfId="836"/>
    <tableColumn id="58" xr3:uid="{00000000-0010-0000-0200-00003A000000}" name="var. Kosten max. €_2018/MWh" dataDxfId="835"/>
    <tableColumn id="18" xr3:uid="{00000000-0010-0000-0200-000012000000}" name="variable Kosten €_2018/MWh" dataDxfId="834">
      <calculatedColumnFormula>1*Umrechnungsfaktoren!$B$15/Umrechnungsfaktoren!$B$7</calculatedColumnFormula>
    </tableColumn>
    <tableColumn id="64" xr3:uid="{00000000-0010-0000-0200-000040000000}" name="fixe Kosten min. €_2018/kW*a" dataDxfId="833"/>
    <tableColumn id="19" xr3:uid="{00000000-0010-0000-0200-000013000000}" name="fixe Kosten €_2018/kW*a" dataDxfId="832">
      <calculatedColumnFormula>1*Umrechnungsfaktoren!$B$15/Umrechnungsfaktoren!$B$7</calculatedColumnFormula>
    </tableColumn>
    <tableColumn id="48" xr3:uid="{00000000-0010-0000-0200-000030000000}" name="Investitionsausgaben je Anschlusspunkt (€_2018)" dataDxfId="831"/>
    <tableColumn id="20" xr3:uid="{00000000-0010-0000-0200-000014000000}" name="Bemerkungen" dataDxfId="830"/>
    <tableColumn id="55" xr3:uid="{00000000-0010-0000-0200-000037000000}" name="Fundstelle Lastverschiebung" dataDxfId="829"/>
    <tableColumn id="54" xr3:uid="{00000000-0010-0000-0200-000036000000}" name="Fundstelle Lastverzicht" dataDxfId="828"/>
    <tableColumn id="21" xr3:uid="{00000000-0010-0000-0200-000015000000}" name="Fundstelle Potenzial pos." dataDxfId="827"/>
    <tableColumn id="22" xr3:uid="{00000000-0010-0000-0200-000016000000}" name="Fundstelle Potenzial neg." dataDxfId="826"/>
    <tableColumn id="23" xr3:uid="{00000000-0010-0000-0200-000017000000}" name="Fundstelle Mindestleistung" dataDxfId="825"/>
    <tableColumn id="43" xr3:uid="{00000000-0010-0000-0200-00002B000000}" name="Fundstelle flexibilisierbarer Anteil" dataDxfId="824"/>
    <tableColumn id="45" xr3:uid="{00000000-0010-0000-0200-00002D000000}" name="Fundstelle durchschnittliche Leistung" dataDxfId="823"/>
    <tableColumn id="24" xr3:uid="{00000000-0010-0000-0200-000018000000}" name="Fundstelle Maximalleistung" dataDxfId="822"/>
    <tableColumn id="25" xr3:uid="{00000000-0010-0000-0200-000019000000}" name="Fundstelle installierte Leistung" dataDxfId="821"/>
    <tableColumn id="39" xr3:uid="{00000000-0010-0000-0200-000027000000}" name="Fundstelle Aktivierungsdauer" dataDxfId="820"/>
    <tableColumn id="26" xr3:uid="{00000000-0010-0000-0200-00001A000000}" name="Fundstelle Schaltdauer" dataDxfId="819"/>
    <tableColumn id="27" xr3:uid="{00000000-0010-0000-0200-00001B000000}" name="Fundstelle Verschiebedauer" dataDxfId="818"/>
    <tableColumn id="28" xr3:uid="{00000000-0010-0000-0200-00001C000000}" name="Fundstelle Regenerationsdauer" dataDxfId="817"/>
    <tableColumn id="29" xr3:uid="{00000000-0010-0000-0200-00001D000000}" name="Fundstelle Zeitverfügbarkeit" dataDxfId="816"/>
    <tableColumn id="30" xr3:uid="{00000000-0010-0000-0200-00001E000000}" name="Fundstelle max. Abrufhäufigkeit" dataDxfId="815"/>
    <tableColumn id="31" xr3:uid="{00000000-0010-0000-0200-00001F000000}" name="Fundstelle Invest" dataDxfId="814"/>
    <tableColumn id="32" xr3:uid="{00000000-0010-0000-0200-000020000000}" name="Fundstelle var. Kosten" dataDxfId="813"/>
    <tableColumn id="33" xr3:uid="{00000000-0010-0000-0200-000021000000}" name="Fundstelle fixe Kosten" dataDxfId="812"/>
    <tableColumn id="49" xr3:uid="{00000000-0010-0000-0200-000031000000}" name="Fundstelle Investition je Anschlusspunkt" dataDxfId="811"/>
    <tableColumn id="34" xr3:uid="{00000000-0010-0000-0200-000022000000}" name="Fundstelle Bemerkungen" dataDxfId="810"/>
    <tableColumn id="35" xr3:uid="{00000000-0010-0000-0200-000023000000}" name="eigene Anmerkung" dataDxfId="80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80ECD34-38D7-4B89-8311-9FF4F431766F}" name="Tabelle58971114313638" displayName="Tabelle58971114313638" ref="A1:CH26" totalsRowShown="0" headerRowDxfId="2143" dataDxfId="2142" tableBorderDxfId="2141">
  <autoFilter ref="A1:CH26" xr:uid="{D9595355-F35D-476F-88E0-DDF6666BAFEC}"/>
  <tableColumns count="86">
    <tableColumn id="1" xr3:uid="{1DB65BD7-C349-4313-8114-97CF50D2120B}" name="Prozess" dataDxfId="2140"/>
    <tableColumn id="47" xr3:uid="{C673D246-BEEC-4DBF-B6C8-0AEDAF4B0374}" name="Sektorenzuordnung" dataDxfId="2139"/>
    <tableColumn id="73" xr3:uid="{9900630D-917D-4E8C-87D8-DC913EEE5229}" name="Verfahren" dataDxfId="2138"/>
    <tableColumn id="2" xr3:uid="{391D2FEF-8D39-4945-B643-AA03A27D3450}" name="Jahr" dataDxfId="2137"/>
    <tableColumn id="52" xr3:uid="{9038B23F-3082-4414-9F6A-4F82BFFB7F37}" name="Lastverschiebung" dataDxfId="2136"/>
    <tableColumn id="53" xr3:uid="{44A744D5-52D4-40F8-81E1-AED7DF94401E}" name="Lastverzicht" dataDxfId="2135"/>
    <tableColumn id="71" xr3:uid="{FC8E7E95-DF08-4B31-934D-448233AC6B12}" name="Lasterhöhung" dataDxfId="2134"/>
    <tableColumn id="81" xr3:uid="{2D17C478-95F9-45CA-AEBE-F7440FD3EFAD}" name="jährliche Produktion kt" dataDxfId="2133"/>
    <tableColumn id="74" xr3:uid="{BE60CF16-0D28-46B4-92CF-624DC9FD6C89}" name="spez. StV kWh/t" dataDxfId="2132"/>
    <tableColumn id="83" xr3:uid="{207EA23E-EF17-4906-A72B-BAABC08705DA}" name="Stromverbrauch in TWh" dataDxfId="2131"/>
    <tableColumn id="3" xr3:uid="{30465E82-9625-4C88-8EC8-618E04A008EA}" name="Potenzial pos. min MW" dataDxfId="2130"/>
    <tableColumn id="38" xr3:uid="{99BFAC1E-CB21-4298-A073-DC5BDF422AE3}" name="Potenzial pos. MW Durchschnitt" dataDxfId="2129"/>
    <tableColumn id="5" xr3:uid="{2BA8AB08-85B1-4458-A61E-E291788A251D}" name="Potenzial pos. max MW" dataDxfId="2128"/>
    <tableColumn id="68" xr3:uid="{AB4035FB-1129-4A1B-BD1C-3387A8C675F6}" name="Potenzial pos. Winter MW" dataDxfId="2127"/>
    <tableColumn id="70" xr3:uid="{C771949A-F335-4269-B0D4-C2F944F6BB58}" name="Potenzial neg. Sommer MW" dataDxfId="2126"/>
    <tableColumn id="69" xr3:uid="{36E5C8DB-3F54-45D8-A041-6DE00E06EEA1}" name="Potenzial neg. Winter MW" dataDxfId="2125"/>
    <tableColumn id="37" xr3:uid="{42744CF1-DA3D-4953-8D92-8873C32F9714}" name="Pot. pos. MW errechnet" dataDxfId="2124"/>
    <tableColumn id="50" xr3:uid="{C197D857-42B2-425A-B48A-95B81A42912C}" name="Potenzial neg. min MW" dataDxfId="2123"/>
    <tableColumn id="41" xr3:uid="{DEEFBA07-1AC2-430C-B62E-15F45AE83FC9}" name="Potenzial neg. MW Durchschnitt" dataDxfId="2122"/>
    <tableColumn id="6" xr3:uid="{E831DC37-31C9-4735-83B8-E3E1E2AA872C}" name="Potenzial neg. max MW" dataDxfId="2121"/>
    <tableColumn id="7" xr3:uid="{93729FE6-F528-4F96-BC2B-1675904D01E1}" name="Mindestleistung MW" dataDxfId="2120"/>
    <tableColumn id="8" xr3:uid="{11A9589B-04EA-48C0-A86D-315BAFC4809E}" name="Mindestauslastung" dataDxfId="2119" dataCellStyle="Prozent"/>
    <tableColumn id="36" xr3:uid="{CFD732D3-9733-426B-9471-8512DCB99E68}" name="flexibilisierbarer Anteil" dataDxfId="2118" dataCellStyle="Prozent"/>
    <tableColumn id="67" xr3:uid="{932B8C62-5DCA-4AC0-A233-3C983C963F8F}" name="flexibilisierbarer Anteil an Durchschnittslast" dataDxfId="2117" dataCellStyle="Prozent"/>
    <tableColumn id="76" xr3:uid="{22EEFDBA-EC99-41A4-B74D-8872DDF7C0C4}" name="Vollbenutzungsstunden h/a" dataDxfId="2116" dataCellStyle="Prozent"/>
    <tableColumn id="65" xr3:uid="{1D6AEE37-F1FA-466E-8FD2-522E9E5E7317}" name="Durchschnittsauslastung" dataDxfId="2115" dataCellStyle="Prozent"/>
    <tableColumn id="44" xr3:uid="{482F66E0-32C8-4815-8053-D1D761FC8DA0}" name="Durchschnittliche Leistung MW" dataDxfId="2114" dataCellStyle="Prozent"/>
    <tableColumn id="9" xr3:uid="{44F3974A-AAD5-4595-95EB-BC8A969C0A76}" name="Maximalleistung MW" dataDxfId="2113"/>
    <tableColumn id="46" xr3:uid="{2757F9DD-9BB5-488E-B7C2-67A235F2A714}" name="Maximalauslastung" dataDxfId="2112" dataCellStyle="Prozent"/>
    <tableColumn id="10" xr3:uid="{437C09AE-AE72-4574-8FAD-27726E2C44CA}" name="installierte Leistung MW" dataDxfId="2111"/>
    <tableColumn id="11" xr3:uid="{14FE614F-0924-475C-8C46-ED3F140ED73B}" name="Aktivierungsdauer (h)" dataDxfId="2110"/>
    <tableColumn id="61" xr3:uid="{8BDFA817-8081-4510-B146-63602F07B678}" name="Schaltdauer pos. min (h)" dataDxfId="2109"/>
    <tableColumn id="60" xr3:uid="{F7FD3BD4-9DF4-44F1-9425-065969CC923F}" name="Schaltdauer pos. max (h)" dataDxfId="2108"/>
    <tableColumn id="12" xr3:uid="{7D284B89-E821-4F6E-8D96-39D034A118E2}" name="Schaltdauer pos. (h)" dataDxfId="2107"/>
    <tableColumn id="63" xr3:uid="{4EE27B66-A445-4822-8904-2CC6AFE954E0}" name="Schaltdauer neg min (h)" dataDxfId="2106"/>
    <tableColumn id="62" xr3:uid="{B6A0A9AB-F66D-4FC4-A26C-EB5161A16C56}" name="Schaltdauer neg. max (h)" dataDxfId="2105"/>
    <tableColumn id="51" xr3:uid="{B1EBA4BF-EF04-4AD5-8DAC-44991ADABAC0}" name="Schaltdauer neg. (h)" dataDxfId="2104"/>
    <tableColumn id="42" xr3:uid="{B0AE1147-D6EC-4D70-BA97-BDF6FF39D293}" name="Verschiebedauer min. (h)" dataDxfId="2103"/>
    <tableColumn id="75" xr3:uid="{54746B05-5114-4818-9A4F-40E0D20D0391}" name="Verschiebedauer max bei Vorankündigung (h)" dataDxfId="2102"/>
    <tableColumn id="4" xr3:uid="{F4DEB5FD-5A13-48A2-9CE7-E56C8E64C9C9}" name="Verschiebedauer max sofortig (h)" dataDxfId="2101"/>
    <tableColumn id="13" xr3:uid="{47F07E65-1D67-4B41-99F3-D80D15A583C2}" name="Verschiebedauer (h)" dataDxfId="2100"/>
    <tableColumn id="14" xr3:uid="{FA7E14F4-90D7-4995-A384-C5A36AE3C559}" name="Regenerationsdauer (h)" dataDxfId="2099"/>
    <tableColumn id="15" xr3:uid="{B0509062-078D-4808-8A03-EAAAA3549218}" name="Zeitverfügbarkeit?" dataDxfId="2098"/>
    <tableColumn id="16" xr3:uid="{7EB7012B-0CF1-44B3-A6D6-F57938E09179}" name="max. Abrufhäufigkeit pro Woche" dataDxfId="2097"/>
    <tableColumn id="40" xr3:uid="{FB0BBF58-F69C-4B76-A43F-A4770FB93DDF}" name="max. Abrufhäufigkeit pro Jahr" dataDxfId="2096"/>
    <tableColumn id="57" xr3:uid="{62497B06-8310-489C-83EF-6943578A11F9}" name="min. Investitionsausgaben €_2018/kW" dataDxfId="2095"/>
    <tableColumn id="56" xr3:uid="{93E9C5AF-060E-42C3-9748-6DC0169A2C3B}" name="max. Investitionsausgaben €_2018/kW" dataDxfId="2094"/>
    <tableColumn id="17" xr3:uid="{635B3892-B11B-4E16-B14A-40FAB7A9923F}" name="Investitionsausgaben €_2018/kW" dataDxfId="2093"/>
    <tableColumn id="59" xr3:uid="{5AFEAFEA-B18E-4AD9-A615-2BBB928AA53C}" name="var. Kosten min. €_2018/MWh" dataDxfId="2092"/>
    <tableColumn id="58" xr3:uid="{56B29DCE-3A39-449C-A215-996212E33722}" name="var. Kosten max. €_2018/MWh" dataDxfId="2091"/>
    <tableColumn id="18" xr3:uid="{33E0FFEE-C7CB-4E49-A6FE-CFE356973022}" name="variable Kosten €_2018/MWh" dataDxfId="2090"/>
    <tableColumn id="64" xr3:uid="{4FCC2680-148D-4803-84C2-BD90215585F4}" name="fixe Kosten min. €_2018/kW*a" dataDxfId="2089"/>
    <tableColumn id="72" xr3:uid="{C025F731-6DF8-4941-B531-2165CED04B7F}" name="fixe Kosten max. €_2018/kW*a" dataDxfId="2088"/>
    <tableColumn id="19" xr3:uid="{DC8988C2-E2F9-4212-93A2-F61E436D680C}" name="fixe Kosten €_2018/kW*a" dataDxfId="2087"/>
    <tableColumn id="48" xr3:uid="{AE992859-873C-4BA8-935F-8A64F4711496}" name="Investitionsausgaben je Anschlusspunkt (€_2018)" dataDxfId="2086"/>
    <tableColumn id="93" xr3:uid="{C6521E37-291E-41D6-95A2-E2434B57A65C}" name="Aktivierungskosten [€_2018/kW]" dataDxfId="2085"/>
    <tableColumn id="20" xr3:uid="{D354AAFB-CCCA-46BE-A63F-D9934766476B}" name="Bemerkungen" dataDxfId="2084"/>
    <tableColumn id="95" xr3:uid="{98383C52-807C-4D03-B9E1-2245605849CC}" name="Bemerkungen 2" dataDxfId="2083"/>
    <tableColumn id="55" xr3:uid="{736DBAE7-2A67-4282-84F1-12BE12545909}" name="Fundstelle Lastverschiebung" dataDxfId="2082"/>
    <tableColumn id="54" xr3:uid="{5A2D18D6-3C9B-45A5-9379-8768500DA6B6}" name="Fundstelle Lastverzicht" dataDxfId="2081"/>
    <tableColumn id="80" xr3:uid="{A284A8DE-B393-40D4-9438-542251485099}" name="Fundstelle Produktion" dataDxfId="2080"/>
    <tableColumn id="91" xr3:uid="{BAF946FF-22CD-49AA-B365-08B568ABE0BB}" name="Fundstelle Anzahl Anlagen" dataDxfId="2079"/>
    <tableColumn id="92" xr3:uid="{D43C56C8-E325-4BAF-BC6A-1B7BED456FBE}" name="Fundstelle Entwicklungsfaktor" dataDxfId="2078"/>
    <tableColumn id="79" xr3:uid="{6ED5E930-B960-4ABE-9067-89DDB3B0BCEF}" name="Fundstelle Stromverbrauch" dataDxfId="2077"/>
    <tableColumn id="78" xr3:uid="{960313FA-8583-48D8-BF9D-03DF10EDF07B}" name="Fundstelle Vollbenutzungsstunden" dataDxfId="2076"/>
    <tableColumn id="21" xr3:uid="{445A9FD7-7BE0-4B50-AC33-08DE90D5D14E}" name="Fundstelle Potenzial pos." dataDxfId="2075"/>
    <tableColumn id="22" xr3:uid="{58976710-F602-46D3-8955-E1529B4C0C99}" name="Fundstelle Potenzial neg." dataDxfId="2074"/>
    <tableColumn id="23" xr3:uid="{A7590934-54E4-4935-8CDC-66A1DACF2B92}" name="Fundstelle Mindestleistung" dataDxfId="2073"/>
    <tableColumn id="43" xr3:uid="{623C2C61-0156-40E5-A1A0-AC04BD25A9A3}" name="Fundstelle flexibilisierbarer Anteil" dataDxfId="2072"/>
    <tableColumn id="66" xr3:uid="{C3ACCA92-A837-4E0D-8080-972562785AF0}" name="Fundstelle Durchschnittsauslastung" dataDxfId="2071"/>
    <tableColumn id="45" xr3:uid="{9BC3DA70-FF3B-43A5-B3ED-79DD9F72EF4C}" name="Fundstelle durchschnittliche Leistung" dataDxfId="2070"/>
    <tableColumn id="24" xr3:uid="{4016346D-9789-470E-9135-2555A96FF94F}" name="Fundstelle Maximalleistung" dataDxfId="2069"/>
    <tableColumn id="25" xr3:uid="{ACEBFF38-D508-4C01-B4B3-F087FCA2A1ED}" name="Fundstelle installierte Leistung" dataDxfId="2068"/>
    <tableColumn id="39" xr3:uid="{56CBB419-7980-4C28-9683-5A07A83CC505}" name="Fundstelle Aktivierungsdauer" dataDxfId="2067"/>
    <tableColumn id="26" xr3:uid="{61C790F5-A3B0-48FE-9CCB-0DBD26510CD6}" name="Fundstelle Schaltdauer" dataDxfId="2066"/>
    <tableColumn id="27" xr3:uid="{2CC7CB04-D5F4-4B8C-A026-413DC67956B0}" name="Fundstelle Verschiebedauer" dataDxfId="2065"/>
    <tableColumn id="28" xr3:uid="{C4367393-243D-4600-9F41-0404F8BCE112}" name="Fundstelle Regenerationsdauer" dataDxfId="2064"/>
    <tableColumn id="29" xr3:uid="{0B10B9E8-F476-4081-A24D-124976CD0F3D}" name="Fundstelle Zeitverfügbarkeit" dataDxfId="2063"/>
    <tableColumn id="30" xr3:uid="{F6D253A0-3803-4979-85A9-6ABEB241CFFF}" name="Fundstelle max. Abrufhäufigkeit" dataDxfId="2062"/>
    <tableColumn id="31" xr3:uid="{951A3A48-C263-4545-863F-4D40DD5D7439}" name="Fundstelle Invest" dataDxfId="2061"/>
    <tableColumn id="32" xr3:uid="{DF7552C3-102B-4649-AFEC-EDD16CEB3219}" name="Fundstelle var. Kosten" dataDxfId="2060"/>
    <tableColumn id="33" xr3:uid="{EA11337C-8534-4986-8CFC-8009F8EE82E5}" name="Fundstelle fixe Kosten" dataDxfId="2059"/>
    <tableColumn id="49" xr3:uid="{26C5E71A-938B-4E08-9BA9-233AF71724CC}" name="Fundstelle Investition je Anschlusspunkt" dataDxfId="2058"/>
    <tableColumn id="94" xr3:uid="{CD015CA2-5DCE-49FE-AFB5-70CF78624EA0}" name="Fundstelle Aktivierungskosten" dataDxfId="2057"/>
    <tableColumn id="34" xr3:uid="{F43CF312-8B65-4542-B517-B09B8916C535}" name="Fundstelle Bemerkungen" dataDxfId="2056"/>
    <tableColumn id="35" xr3:uid="{3ADCAEC0-4A9F-4C6A-B782-7B9F32AF8B8E}" name="eigene Anmerkung" dataDxfId="2055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D9" totalsRowCount="1" headerRowDxfId="808" dataDxfId="807">
  <autoFilter ref="A1:D8" xr:uid="{00000000-0009-0000-0100-000003000000}"/>
  <tableColumns count="4">
    <tableColumn id="1" xr3:uid="{00000000-0010-0000-0300-000001000000}" name="Industrieprozess" totalsRowLabel="Summe" dataDxfId="806" totalsRowDxfId="805"/>
    <tableColumn id="3" xr3:uid="{00000000-0010-0000-0300-000003000000}" name="Spezifizierung" dataDxfId="804" totalsRowDxfId="803"/>
    <tableColumn id="2" xr3:uid="{00000000-0010-0000-0300-000002000000}" name="Werte pos. Potenzial aus Tabelle (S. 425) in MW" totalsRowFunction="sum" dataDxfId="802" totalsRowDxfId="801"/>
    <tableColumn id="4" xr3:uid="{00000000-0010-0000-0300-000004000000}" name="Werte pos. Potenzial aus Tabelle (S. 525) in MW" totalsRowFunction="sum" dataDxfId="800" totalsRowDxfId="799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5897" displayName="Tabelle5897" ref="A1:BO11" totalsRowShown="0" headerRowDxfId="798" dataDxfId="797" tableBorderDxfId="796">
  <autoFilter ref="A1:BO11" xr:uid="{00000000-0009-0000-0100-000006000000}"/>
  <tableColumns count="67">
    <tableColumn id="1" xr3:uid="{00000000-0010-0000-0500-000001000000}" name="Prozess" dataDxfId="795"/>
    <tableColumn id="47" xr3:uid="{00000000-0010-0000-0500-00002F000000}" name="Sektorenzuordnung" dataDxfId="794"/>
    <tableColumn id="2" xr3:uid="{00000000-0010-0000-0500-000002000000}" name="Jahr" dataDxfId="793"/>
    <tableColumn id="52" xr3:uid="{00000000-0010-0000-0500-000034000000}" name="Lastverschiebung" dataDxfId="792"/>
    <tableColumn id="53" xr3:uid="{00000000-0010-0000-0500-000035000000}" name="Lastverzicht" dataDxfId="791"/>
    <tableColumn id="67" xr3:uid="{FA08C4CE-FFC8-41A5-870D-C7D7670D735C}" name="Lasterhöhung" dataDxfId="790"/>
    <tableColumn id="3" xr3:uid="{00000000-0010-0000-0500-000003000000}" name="Potenzial pos. min MW" dataDxfId="789"/>
    <tableColumn id="38" xr3:uid="{00000000-0010-0000-0500-000026000000}" name="Potenzial pos. MW Durchschnitt" dataDxfId="788"/>
    <tableColumn id="5" xr3:uid="{00000000-0010-0000-0500-000005000000}" name="Potenzial pos. max MW" dataDxfId="787"/>
    <tableColumn id="37" xr3:uid="{00000000-0010-0000-0500-000025000000}" name="ausgewiesenes Pot. pos. MW (falls abweichend)" dataDxfId="786"/>
    <tableColumn id="50" xr3:uid="{00000000-0010-0000-0500-000032000000}" name="Potenzial neg. min MW" dataDxfId="785"/>
    <tableColumn id="41" xr3:uid="{00000000-0010-0000-0500-000029000000}" name="Potenzial neg. MW Durchschnitt" dataDxfId="784"/>
    <tableColumn id="6" xr3:uid="{00000000-0010-0000-0500-000006000000}" name="Potenzial neg. max MW" dataDxfId="783"/>
    <tableColumn id="7" xr3:uid="{00000000-0010-0000-0500-000007000000}" name="Mindestleistung MW" dataDxfId="782"/>
    <tableColumn id="8" xr3:uid="{00000000-0010-0000-0500-000008000000}" name="Mindestauslastung" dataDxfId="781" dataCellStyle="Prozent"/>
    <tableColumn id="36" xr3:uid="{00000000-0010-0000-0500-000024000000}" name="flexibilisierbarer Anteil an installierter Leistung" dataDxfId="780" dataCellStyle="Prozent"/>
    <tableColumn id="65" xr3:uid="{00000000-0010-0000-0500-000041000000}" name="Durchschnittsauslastung" dataDxfId="779" dataCellStyle="Prozent"/>
    <tableColumn id="44" xr3:uid="{00000000-0010-0000-0500-00002C000000}" name="Durchschnittliche Leistung MW" dataDxfId="778" dataCellStyle="Prozent"/>
    <tableColumn id="9" xr3:uid="{00000000-0010-0000-0500-000009000000}" name="Maximalleistung MW" dataDxfId="777"/>
    <tableColumn id="46" xr3:uid="{00000000-0010-0000-0500-00002E000000}" name="Maximalauslastung" dataDxfId="776" dataCellStyle="Prozent"/>
    <tableColumn id="10" xr3:uid="{00000000-0010-0000-0500-00000A000000}" name="installierte Leistung MW" dataDxfId="775"/>
    <tableColumn id="11" xr3:uid="{00000000-0010-0000-0500-00000B000000}" name="Aktivierungsdauer (h)" dataDxfId="774">
      <calculatedColumnFormula>7.5/60</calculatedColumnFormula>
    </tableColumn>
    <tableColumn id="61" xr3:uid="{00000000-0010-0000-0500-00003D000000}" name="Schaltdauer pos. min (h)" dataDxfId="773"/>
    <tableColumn id="60" xr3:uid="{00000000-0010-0000-0500-00003C000000}" name="Schaltdauer pos. max (h)" dataDxfId="772"/>
    <tableColumn id="12" xr3:uid="{00000000-0010-0000-0500-00000C000000}" name="Schaltdauer pos. (h)" dataDxfId="771"/>
    <tableColumn id="63" xr3:uid="{00000000-0010-0000-0500-00003F000000}" name="Schaltdauer neg min (h)" dataDxfId="770"/>
    <tableColumn id="62" xr3:uid="{00000000-0010-0000-0500-00003E000000}" name="Schaltdauer neg. max (h)" dataDxfId="769"/>
    <tableColumn id="51" xr3:uid="{00000000-0010-0000-0500-000033000000}" name="Schaltdauer neg. (h)" dataDxfId="768"/>
    <tableColumn id="42" xr3:uid="{00000000-0010-0000-0500-00002A000000}" name="Verschiebedauer min. (h)" dataDxfId="767"/>
    <tableColumn id="4" xr3:uid="{00000000-0010-0000-0500-000004000000}" name="Verschiebedauer max (h)" dataDxfId="766"/>
    <tableColumn id="13" xr3:uid="{00000000-0010-0000-0500-00000D000000}" name="Verschiebedauer (h)" dataDxfId="765"/>
    <tableColumn id="14" xr3:uid="{00000000-0010-0000-0500-00000E000000}" name="Regenerationsdauer (h)" dataDxfId="764"/>
    <tableColumn id="15" xr3:uid="{00000000-0010-0000-0500-00000F000000}" name="Zeitverfügbarkeit?" dataDxfId="763"/>
    <tableColumn id="16" xr3:uid="{00000000-0010-0000-0500-000010000000}" name="max. Abrufhäufigkeit pro Woche" dataDxfId="762"/>
    <tableColumn id="40" xr3:uid="{00000000-0010-0000-0500-000028000000}" name="max. Abrufhäufigkeit pro Jahr" dataDxfId="761"/>
    <tableColumn id="57" xr3:uid="{00000000-0010-0000-0500-000039000000}" name="min. Investitionsausgaben €_2018/kW" dataDxfId="760">
      <calculatedColumnFormula>15*Umrechnungsfaktoren!$B$15/Umrechnungsfaktoren!$B$7</calculatedColumnFormula>
    </tableColumn>
    <tableColumn id="56" xr3:uid="{00000000-0010-0000-0500-000038000000}" name="max. Investitionsausgaben €_2018/kW" dataDxfId="759">
      <calculatedColumnFormula>18*Umrechnungsfaktoren!$B$15/Umrechnungsfaktoren!$B$7</calculatedColumnFormula>
    </tableColumn>
    <tableColumn id="17" xr3:uid="{00000000-0010-0000-0500-000011000000}" name="Investitionsausgaben €_2018/kW" dataDxfId="758">
      <calculatedColumnFormula>1*Umrechnungsfaktoren!$B$15/Umrechnungsfaktoren!$B$7</calculatedColumnFormula>
    </tableColumn>
    <tableColumn id="59" xr3:uid="{00000000-0010-0000-0500-00003B000000}" name="var. Kosten min. €_2018/MWh" dataDxfId="757">
      <calculatedColumnFormula>500*Umrechnungsfaktoren!$B$15/Umrechnungsfaktoren!$B$7</calculatedColumnFormula>
    </tableColumn>
    <tableColumn id="58" xr3:uid="{00000000-0010-0000-0500-00003A000000}" name="var. Kosten max. €_2018/MWh" dataDxfId="756">
      <calculatedColumnFormula>1500*Umrechnungsfaktoren!$B$15/Umrechnungsfaktoren!$B$7</calculatedColumnFormula>
    </tableColumn>
    <tableColumn id="18" xr3:uid="{00000000-0010-0000-0500-000012000000}" name="variable Kosten €_2018/MWh" dataDxfId="755">
      <calculatedColumnFormula>100*Umrechnungsfaktoren!$B$15/Umrechnungsfaktoren!$B$7</calculatedColumnFormula>
    </tableColumn>
    <tableColumn id="64" xr3:uid="{00000000-0010-0000-0500-000040000000}" name="fixe Kosten min. €_2018/kW*a" dataDxfId="754">
      <calculatedColumnFormula>0*Umrechnungsfaktoren!$B$15/Umrechnungsfaktoren!$B$7</calculatedColumnFormula>
    </tableColumn>
    <tableColumn id="19" xr3:uid="{00000000-0010-0000-0500-000013000000}" name="fixe Kosten €_2018/kW*a" dataDxfId="753">
      <calculatedColumnFormula>1*Umrechnungsfaktoren!$B$15/Umrechnungsfaktoren!$B$7</calculatedColumnFormula>
    </tableColumn>
    <tableColumn id="48" xr3:uid="{00000000-0010-0000-0500-000030000000}" name="Investitionsausgaben je Anschlusspunkt (€_2018)" dataDxfId="752"/>
    <tableColumn id="20" xr3:uid="{00000000-0010-0000-0500-000014000000}" name="Bemerkungen" dataDxfId="751"/>
    <tableColumn id="55" xr3:uid="{00000000-0010-0000-0500-000037000000}" name="Fundstelle Lastverschiebung" dataDxfId="750"/>
    <tableColumn id="54" xr3:uid="{00000000-0010-0000-0500-000036000000}" name="Fundstelle Lastverzicht" dataDxfId="749"/>
    <tableColumn id="21" xr3:uid="{00000000-0010-0000-0500-000015000000}" name="Fundstelle Potenzial pos." dataDxfId="748"/>
    <tableColumn id="22" xr3:uid="{00000000-0010-0000-0500-000016000000}" name="Fundstelle Potenzial neg." dataDxfId="747"/>
    <tableColumn id="23" xr3:uid="{00000000-0010-0000-0500-000017000000}" name="Fundstelle Mindestleistung" dataDxfId="746"/>
    <tableColumn id="43" xr3:uid="{00000000-0010-0000-0500-00002B000000}" name="Fundstelle flexibilisierbarer Anteil" dataDxfId="745"/>
    <tableColumn id="66" xr3:uid="{00000000-0010-0000-0500-000042000000}" name="Fundstelle Durchschnittsauslastung" dataDxfId="744"/>
    <tableColumn id="45" xr3:uid="{00000000-0010-0000-0500-00002D000000}" name="Fundstelle durchschnittliche Leistung" dataDxfId="743"/>
    <tableColumn id="24" xr3:uid="{00000000-0010-0000-0500-000018000000}" name="Fundstelle Maximalleistung" dataDxfId="742"/>
    <tableColumn id="25" xr3:uid="{00000000-0010-0000-0500-000019000000}" name="Fundstelle installierte Leistung" dataDxfId="741"/>
    <tableColumn id="39" xr3:uid="{00000000-0010-0000-0500-000027000000}" name="Fundstelle Aktivierungsdauer" dataDxfId="740"/>
    <tableColumn id="26" xr3:uid="{00000000-0010-0000-0500-00001A000000}" name="Fundstelle Schaltdauer" dataDxfId="739"/>
    <tableColumn id="27" xr3:uid="{00000000-0010-0000-0500-00001B000000}" name="Fundstelle Verschiebedauer" dataDxfId="738"/>
    <tableColumn id="28" xr3:uid="{00000000-0010-0000-0500-00001C000000}" name="Fundstelle Regenerationsdauer" dataDxfId="737"/>
    <tableColumn id="29" xr3:uid="{00000000-0010-0000-0500-00001D000000}" name="Fundstelle Zeitverfügbarkeit" dataDxfId="736"/>
    <tableColumn id="30" xr3:uid="{00000000-0010-0000-0500-00001E000000}" name="Fundstelle max. Abrufhäufigkeit" dataDxfId="735"/>
    <tableColumn id="31" xr3:uid="{00000000-0010-0000-0500-00001F000000}" name="Fundstelle Invest" dataDxfId="734"/>
    <tableColumn id="32" xr3:uid="{00000000-0010-0000-0500-000020000000}" name="Fundstelle var. Kosten" dataDxfId="733"/>
    <tableColumn id="33" xr3:uid="{00000000-0010-0000-0500-000021000000}" name="Fundstelle fixe Kosten" dataDxfId="732"/>
    <tableColumn id="49" xr3:uid="{00000000-0010-0000-0500-000031000000}" name="Fundstelle Investition je Anschlusspunkt" dataDxfId="731"/>
    <tableColumn id="34" xr3:uid="{00000000-0010-0000-0500-000022000000}" name="Fundstelle Bemerkungen" dataDxfId="730"/>
    <tableColumn id="35" xr3:uid="{00000000-0010-0000-0500-000023000000}" name="eigene Anmerkung" dataDxfId="729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abelle58971119" displayName="Tabelle58971119" ref="A1:CE64" totalsRowShown="0" headerRowDxfId="728" dataDxfId="727" tableBorderDxfId="726">
  <autoFilter ref="A1:CE64" xr:uid="{00000000-0009-0000-0100-000012000000}"/>
  <tableColumns count="83">
    <tableColumn id="1" xr3:uid="{00000000-0010-0000-0F00-000001000000}" name="Prozess" dataDxfId="725"/>
    <tableColumn id="47" xr3:uid="{00000000-0010-0000-0F00-00002F000000}" name="Sektorenzuordnung" dataDxfId="724"/>
    <tableColumn id="2" xr3:uid="{00000000-0010-0000-0F00-000002000000}" name="Jahr" dataDxfId="723"/>
    <tableColumn id="52" xr3:uid="{00000000-0010-0000-0F00-000034000000}" name="Lastverschiebung" dataDxfId="722"/>
    <tableColumn id="53" xr3:uid="{00000000-0010-0000-0F00-000035000000}" name="Lastverzicht" dataDxfId="721"/>
    <tableColumn id="73" xr3:uid="{366B448B-5578-4AD3-946A-78C89BAD4435}" name="Lasterhöhung" dataDxfId="720"/>
    <tableColumn id="69" xr3:uid="{00000000-0010-0000-0F00-000045000000}" name="Stromverbrauch von TWh" dataDxfId="719"/>
    <tableColumn id="68" xr3:uid="{00000000-0010-0000-0F00-000044000000}" name="Stromverbrauch bis TWh" dataDxfId="718"/>
    <tableColumn id="67" xr3:uid="{00000000-0010-0000-0F00-000043000000}" name="Stromverbrauch in TWh" dataDxfId="717"/>
    <tableColumn id="3" xr3:uid="{00000000-0010-0000-0F00-000003000000}" name="Potenzial pos. min MW" dataDxfId="716"/>
    <tableColumn id="72" xr3:uid="{00000000-0010-0000-0F00-000048000000}" name="Potenzial pos. min wärmster Tag MW" dataDxfId="715"/>
    <tableColumn id="38" xr3:uid="{00000000-0010-0000-0F00-000026000000}" name="Potenzial pos. MW Durchschnitt" dataDxfId="714"/>
    <tableColumn id="5" xr3:uid="{00000000-0010-0000-0F00-000005000000}" name="Potenzial pos. max MW" dataDxfId="713"/>
    <tableColumn id="83" xr3:uid="{00000000-0010-0000-0F00-000053000000}" name="Potenzial pos. max MW Lastverzicht" dataDxfId="712"/>
    <tableColumn id="74" xr3:uid="{00000000-0010-0000-0F00-00004A000000}" name="Potenzial pos. max wärmster Tag MW" dataDxfId="711"/>
    <tableColumn id="37" xr3:uid="{00000000-0010-0000-0F00-000025000000}" name="ausgewiesenes Pot. pos. MW (falls abweichend)" dataDxfId="710"/>
    <tableColumn id="50" xr3:uid="{00000000-0010-0000-0F00-000032000000}" name="Potenzial neg. min MW" dataDxfId="709"/>
    <tableColumn id="75" xr3:uid="{00000000-0010-0000-0F00-00004B000000}" name="Potenzial neg. min wärmster Tag MW" dataDxfId="708"/>
    <tableColumn id="41" xr3:uid="{00000000-0010-0000-0F00-000029000000}" name="Potenzial neg. MW Durchschnitt" dataDxfId="707"/>
    <tableColumn id="6" xr3:uid="{00000000-0010-0000-0F00-000006000000}" name="Potenzial neg. max MW" dataDxfId="706"/>
    <tableColumn id="76" xr3:uid="{00000000-0010-0000-0F00-00004C000000}" name="Potenzial neg. max wärmster Tag MW" dataDxfId="705"/>
    <tableColumn id="7" xr3:uid="{00000000-0010-0000-0F00-000007000000}" name="Mindestleistung MW" dataDxfId="704"/>
    <tableColumn id="8" xr3:uid="{00000000-0010-0000-0F00-000008000000}" name="Mindestauslastung" dataDxfId="703" dataCellStyle="Prozent"/>
    <tableColumn id="36" xr3:uid="{00000000-0010-0000-0F00-000024000000}" name="flexibilisierbarer Anteil" dataDxfId="702" dataCellStyle="Prozent"/>
    <tableColumn id="65" xr3:uid="{00000000-0010-0000-0F00-000041000000}" name="Durchschnittsauslastung" dataDxfId="701" dataCellStyle="Prozent">
      <calculatedColumnFormula>600/8760</calculatedColumnFormula>
    </tableColumn>
    <tableColumn id="79" xr3:uid="{00000000-0010-0000-0F00-00004F000000}" name="Betriebsstunden p.a." dataDxfId="700" dataCellStyle="Prozent"/>
    <tableColumn id="44" xr3:uid="{00000000-0010-0000-0F00-00002C000000}" name="Durchschnittliche Leistung MW" dataDxfId="699" dataCellStyle="Prozent"/>
    <tableColumn id="9" xr3:uid="{00000000-0010-0000-0F00-000009000000}" name="Maximalleistung MW" dataDxfId="698"/>
    <tableColumn id="46" xr3:uid="{00000000-0010-0000-0F00-00002E000000}" name="Maximalauslastung" dataDxfId="697" dataCellStyle="Prozent"/>
    <tableColumn id="10" xr3:uid="{00000000-0010-0000-0F00-00000A000000}" name="installierte Leistung MW" dataDxfId="696"/>
    <tableColumn id="77" xr3:uid="{00000000-0010-0000-0F00-00004D000000}" name="Wirkungsgrad (%)" dataDxfId="695" dataCellStyle="Prozent"/>
    <tableColumn id="11" xr3:uid="{00000000-0010-0000-0F00-00000B000000}" name="Aktivierungsdauer (h)" dataDxfId="694">
      <calculatedColumnFormula>5/60</calculatedColumnFormula>
    </tableColumn>
    <tableColumn id="61" xr3:uid="{00000000-0010-0000-0F00-00003D000000}" name="Schaltdauer pos. min (h)" dataDxfId="693"/>
    <tableColumn id="60" xr3:uid="{00000000-0010-0000-0F00-00003C000000}" name="Schaltdauer pos. max (h)" dataDxfId="692"/>
    <tableColumn id="12" xr3:uid="{00000000-0010-0000-0F00-00000C000000}" name="Schaltdauer pos. (h)" dataDxfId="691"/>
    <tableColumn id="63" xr3:uid="{00000000-0010-0000-0F00-00003F000000}" name="Schaltdauer neg min (h)" dataDxfId="690"/>
    <tableColumn id="62" xr3:uid="{00000000-0010-0000-0F00-00003E000000}" name="Schaltdauer neg. max (h)" dataDxfId="689"/>
    <tableColumn id="51" xr3:uid="{00000000-0010-0000-0F00-000033000000}" name="Schaltdauer neg. (h)" dataDxfId="688"/>
    <tableColumn id="42" xr3:uid="{00000000-0010-0000-0F00-00002A000000}" name="Verschiebedauer min. (h)" dataDxfId="687"/>
    <tableColumn id="4" xr3:uid="{00000000-0010-0000-0F00-000004000000}" name="Verschiebedauer max (h)" dataDxfId="686"/>
    <tableColumn id="13" xr3:uid="{00000000-0010-0000-0F00-00000D000000}" name="Verschiebedauer (h)" dataDxfId="685"/>
    <tableColumn id="14" xr3:uid="{00000000-0010-0000-0F00-00000E000000}" name="Regenerationsdauer (h)" dataDxfId="684"/>
    <tableColumn id="15" xr3:uid="{00000000-0010-0000-0F00-00000F000000}" name="Zeitverfügbarkeit?" dataDxfId="683"/>
    <tableColumn id="16" xr3:uid="{00000000-0010-0000-0F00-000010000000}" name="max. Abrufhäufigkeit pro Woche" dataDxfId="682"/>
    <tableColumn id="82" xr3:uid="{00000000-0010-0000-0F00-000052000000}" name="max. Abrufhäufigkeit min. pro Jahr" dataDxfId="681"/>
    <tableColumn id="81" xr3:uid="{00000000-0010-0000-0F00-000051000000}" name="max. Abrufhäufigkeit max. pro Jahr" dataDxfId="680"/>
    <tableColumn id="40" xr3:uid="{00000000-0010-0000-0F00-000028000000}" name="max. Abrufhäufigkeit pro Jahr" dataDxfId="679"/>
    <tableColumn id="57" xr3:uid="{00000000-0010-0000-0F00-000039000000}" name="min. Investitionsausgaben €_2018/kW" dataDxfId="678"/>
    <tableColumn id="56" xr3:uid="{00000000-0010-0000-0F00-000038000000}" name="max. Investitionsausgaben €_2018/kW" dataDxfId="677"/>
    <tableColumn id="17" xr3:uid="{00000000-0010-0000-0F00-000011000000}" name="Investitionsausgaben €_2018/kW" dataDxfId="676">
      <calculatedColumnFormula>0.05*Umrechnungsfaktoren!$B$15/Umrechnungsfaktoren!$B$13</calculatedColumnFormula>
    </tableColumn>
    <tableColumn id="59" xr3:uid="{00000000-0010-0000-0F00-00003B000000}" name="var. Kosten min. €_2018/MWh" dataDxfId="675"/>
    <tableColumn id="58" xr3:uid="{00000000-0010-0000-0F00-00003A000000}" name="var. Kosten max. €_2018/MWh" dataDxfId="674">
      <calculatedColumnFormula>164*Umrechnungsfaktoren!$B$15/Umrechnungsfaktoren!$B$13</calculatedColumnFormula>
    </tableColumn>
    <tableColumn id="18" xr3:uid="{00000000-0010-0000-0F00-000012000000}" name="variable Kosten €_2018/MWh" dataDxfId="673"/>
    <tableColumn id="64" xr3:uid="{00000000-0010-0000-0F00-000040000000}" name="fixe Kosten min. €_2018/kW*a" dataDxfId="672"/>
    <tableColumn id="19" xr3:uid="{00000000-0010-0000-0F00-000013000000}" name="fixe Kosten €_2018/kW*a" dataDxfId="671">
      <calculatedColumnFormula>0.05*Umrechnungsfaktoren!$B$15/Umrechnungsfaktoren!$B$13</calculatedColumnFormula>
    </tableColumn>
    <tableColumn id="71" xr3:uid="{00000000-0010-0000-0F00-000047000000}" name="fixe Kosten €_2018/a" dataDxfId="670">
      <calculatedColumnFormula>220*Umrechnungsfaktoren!$B$15/Umrechnungsfaktoren!$B$13</calculatedColumnFormula>
    </tableColumn>
    <tableColumn id="48" xr3:uid="{00000000-0010-0000-0F00-000030000000}" name="Investitionsausgaben je Anschlusspunkt (€_2018)" dataDxfId="669">
      <calculatedColumnFormula>220*Umrechnungsfaktoren!$B$15/Umrechnungsfaktoren!$B$13</calculatedColumnFormula>
    </tableColumn>
    <tableColumn id="20" xr3:uid="{00000000-0010-0000-0F00-000014000000}" name="Bemerkungen" dataDxfId="668"/>
    <tableColumn id="55" xr3:uid="{00000000-0010-0000-0F00-000037000000}" name="Fundstelle Lastverschiebung" dataDxfId="667"/>
    <tableColumn id="54" xr3:uid="{00000000-0010-0000-0F00-000036000000}" name="Fundstelle Lastverzicht" dataDxfId="666"/>
    <tableColumn id="70" xr3:uid="{00000000-0010-0000-0F00-000046000000}" name="Fundstelle Stromverbrauch" dataDxfId="665"/>
    <tableColumn id="21" xr3:uid="{00000000-0010-0000-0F00-000015000000}" name="Fundstelle Potenzial pos." dataDxfId="664"/>
    <tableColumn id="22" xr3:uid="{00000000-0010-0000-0F00-000016000000}" name="Fundstelle Potenzial neg." dataDxfId="663"/>
    <tableColumn id="23" xr3:uid="{00000000-0010-0000-0F00-000017000000}" name="Fundstelle Mindestleistung" dataDxfId="662"/>
    <tableColumn id="43" xr3:uid="{00000000-0010-0000-0F00-00002B000000}" name="Fundstelle flexibilisierbarer Anteil" dataDxfId="661"/>
    <tableColumn id="66" xr3:uid="{00000000-0010-0000-0F00-000042000000}" name="Fundstelle Durchschnittsauslastung" dataDxfId="660"/>
    <tableColumn id="80" xr3:uid="{00000000-0010-0000-0F00-000050000000}" name="Fundstelle Betriebsstunden" dataDxfId="659"/>
    <tableColumn id="45" xr3:uid="{00000000-0010-0000-0F00-00002D000000}" name="Fundstelle durchschnittliche Leistung" dataDxfId="658"/>
    <tableColumn id="24" xr3:uid="{00000000-0010-0000-0F00-000018000000}" name="Fundstelle Maximalleistung" dataDxfId="657"/>
    <tableColumn id="25" xr3:uid="{00000000-0010-0000-0F00-000019000000}" name="Fundstelle installierte Leistung" dataDxfId="656"/>
    <tableColumn id="78" xr3:uid="{00000000-0010-0000-0F00-00004E000000}" name="Fundstelle Wirkungsgrad" dataDxfId="655"/>
    <tableColumn id="39" xr3:uid="{00000000-0010-0000-0F00-000027000000}" name="Fundstelle Aktivierungsdauer" dataDxfId="654"/>
    <tableColumn id="26" xr3:uid="{00000000-0010-0000-0F00-00001A000000}" name="Fundstelle Schaltdauer" dataDxfId="653"/>
    <tableColumn id="27" xr3:uid="{00000000-0010-0000-0F00-00001B000000}" name="Fundstelle Verschiebedauer" dataDxfId="652"/>
    <tableColumn id="28" xr3:uid="{00000000-0010-0000-0F00-00001C000000}" name="Fundstelle Regenerationsdauer" dataDxfId="651"/>
    <tableColumn id="29" xr3:uid="{00000000-0010-0000-0F00-00001D000000}" name="Fundstelle Zeitverfügbarkeit" dataDxfId="650"/>
    <tableColumn id="30" xr3:uid="{00000000-0010-0000-0F00-00001E000000}" name="Fundstelle max. Abrufhäufigkeit" dataDxfId="649"/>
    <tableColumn id="31" xr3:uid="{00000000-0010-0000-0F00-00001F000000}" name="Fundstelle Invest" dataDxfId="648"/>
    <tableColumn id="32" xr3:uid="{00000000-0010-0000-0F00-000020000000}" name="Fundstelle var. Kosten" dataDxfId="647"/>
    <tableColumn id="33" xr3:uid="{00000000-0010-0000-0F00-000021000000}" name="Fundstelle fixe Kosten" dataDxfId="646"/>
    <tableColumn id="49" xr3:uid="{00000000-0010-0000-0F00-000031000000}" name="Fundstelle Investition je Anschlusspunkt" dataDxfId="645"/>
    <tableColumn id="34" xr3:uid="{00000000-0010-0000-0F00-000022000000}" name="Fundstelle Bemerkungen" dataDxfId="644"/>
    <tableColumn id="35" xr3:uid="{00000000-0010-0000-0F00-000023000000}" name="eigene Anmerkung" dataDxfId="643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elle58971114" displayName="Tabelle58971114" ref="A1:BO6" totalsRowShown="0" headerRowDxfId="642" dataDxfId="641" tableBorderDxfId="640">
  <autoFilter ref="A1:BO6" xr:uid="{00000000-0009-0000-0100-00000D000000}"/>
  <tableColumns count="67">
    <tableColumn id="1" xr3:uid="{00000000-0010-0000-0800-000001000000}" name="Prozess" dataDxfId="639"/>
    <tableColumn id="47" xr3:uid="{00000000-0010-0000-0800-00002F000000}" name="Sektorenzuordnung" dataDxfId="638"/>
    <tableColumn id="2" xr3:uid="{00000000-0010-0000-0800-000002000000}" name="Jahr" dataDxfId="637"/>
    <tableColumn id="52" xr3:uid="{00000000-0010-0000-0800-000034000000}" name="Lastverschiebung" dataDxfId="636"/>
    <tableColumn id="53" xr3:uid="{00000000-0010-0000-0800-000035000000}" name="Lastverzicht" dataDxfId="635"/>
    <tableColumn id="36" xr3:uid="{D0502EC0-C6B2-43EE-B675-33E4B2F87D80}" name="Lasterhöhung" dataDxfId="634"/>
    <tableColumn id="3" xr3:uid="{00000000-0010-0000-0800-000003000000}" name="Potenzial pos. min MW" dataDxfId="633"/>
    <tableColumn id="38" xr3:uid="{00000000-0010-0000-0800-000026000000}" name="Potenzial pos. MW Durchschnitt" dataDxfId="632"/>
    <tableColumn id="5" xr3:uid="{00000000-0010-0000-0800-000005000000}" name="Potenzial pos. max MW" dataDxfId="631"/>
    <tableColumn id="37" xr3:uid="{00000000-0010-0000-0800-000025000000}" name="ausgewiesenes Pot. pos. MW (falls abweichend)" dataDxfId="630"/>
    <tableColumn id="50" xr3:uid="{00000000-0010-0000-0800-000032000000}" name="Potenzial neg. min MW" dataDxfId="629"/>
    <tableColumn id="41" xr3:uid="{00000000-0010-0000-0800-000029000000}" name="Potenzial neg. MW Durchschnitt" dataDxfId="628"/>
    <tableColumn id="6" xr3:uid="{00000000-0010-0000-0800-000006000000}" name="Potenzial neg. max MW" dataDxfId="627"/>
    <tableColumn id="7" xr3:uid="{00000000-0010-0000-0800-000007000000}" name="Mindestleistung MW" dataDxfId="626"/>
    <tableColumn id="8" xr3:uid="{00000000-0010-0000-0800-000008000000}" name="Mindestauslastung" dataDxfId="625" dataCellStyle="Prozent"/>
    <tableColumn id="67" xr3:uid="{00000000-0010-0000-0800-000043000000}" name="flexibilisierbarer Anteil an Durchschnittslast" dataDxfId="624" dataCellStyle="Prozent"/>
    <tableColumn id="65" xr3:uid="{00000000-0010-0000-0800-000041000000}" name="Durchschnittsauslastung" dataDxfId="623" dataCellStyle="Prozent"/>
    <tableColumn id="44" xr3:uid="{00000000-0010-0000-0800-00002C000000}" name="Durchschnittliche Leistung MW" dataDxfId="622" dataCellStyle="Prozent"/>
    <tableColumn id="9" xr3:uid="{00000000-0010-0000-0800-000009000000}" name="Maximalleistung MW" dataDxfId="621"/>
    <tableColumn id="46" xr3:uid="{00000000-0010-0000-0800-00002E000000}" name="Maximalauslastung" dataDxfId="620" dataCellStyle="Prozent"/>
    <tableColumn id="10" xr3:uid="{00000000-0010-0000-0800-00000A000000}" name="installierte Leistung MW" dataDxfId="619"/>
    <tableColumn id="11" xr3:uid="{00000000-0010-0000-0800-00000B000000}" name="Aktivierungsdauer (h)" dataDxfId="618"/>
    <tableColumn id="61" xr3:uid="{00000000-0010-0000-0800-00003D000000}" name="Schaltdauer pos. min (h)" dataDxfId="617"/>
    <tableColumn id="60" xr3:uid="{00000000-0010-0000-0800-00003C000000}" name="Schaltdauer pos. max (h)" dataDxfId="616"/>
    <tableColumn id="12" xr3:uid="{00000000-0010-0000-0800-00000C000000}" name="Schaltdauer pos. (h)" dataDxfId="615"/>
    <tableColumn id="63" xr3:uid="{00000000-0010-0000-0800-00003F000000}" name="Schaltdauer neg min (h)" dataDxfId="614"/>
    <tableColumn id="62" xr3:uid="{00000000-0010-0000-0800-00003E000000}" name="Schaltdauer neg. max (h)" dataDxfId="613"/>
    <tableColumn id="51" xr3:uid="{00000000-0010-0000-0800-000033000000}" name="Schaltdauer neg. (h)" dataDxfId="612"/>
    <tableColumn id="42" xr3:uid="{00000000-0010-0000-0800-00002A000000}" name="Verschiebedauer min. (h)" dataDxfId="611"/>
    <tableColumn id="4" xr3:uid="{00000000-0010-0000-0800-000004000000}" name="Verschiebedauer max (h)" dataDxfId="610"/>
    <tableColumn id="13" xr3:uid="{00000000-0010-0000-0800-00000D000000}" name="Verschiebedauer (h)" dataDxfId="609"/>
    <tableColumn id="14" xr3:uid="{00000000-0010-0000-0800-00000E000000}" name="Regenerationsdauer (h)" dataDxfId="608"/>
    <tableColumn id="15" xr3:uid="{00000000-0010-0000-0800-00000F000000}" name="Zeitverfügbarkeit?" dataDxfId="607"/>
    <tableColumn id="16" xr3:uid="{00000000-0010-0000-0800-000010000000}" name="max. Abrufhäufigkeit pro Woche" dataDxfId="606"/>
    <tableColumn id="40" xr3:uid="{00000000-0010-0000-0800-000028000000}" name="max. Abrufhäufigkeit pro Jahr" dataDxfId="605"/>
    <tableColumn id="57" xr3:uid="{00000000-0010-0000-0800-000039000000}" name="min. Investitionsausgaben €_2018/kW" dataDxfId="604"/>
    <tableColumn id="56" xr3:uid="{00000000-0010-0000-0800-000038000000}" name="max. Investitionsausgaben €_2018/kW" dataDxfId="603"/>
    <tableColumn id="17" xr3:uid="{00000000-0010-0000-0800-000011000000}" name="Investitionsausgaben €_2018/kW" dataDxfId="602"/>
    <tableColumn id="59" xr3:uid="{00000000-0010-0000-0800-00003B000000}" name="var. Kosten min. €_2018/MWh" dataDxfId="601"/>
    <tableColumn id="58" xr3:uid="{00000000-0010-0000-0800-00003A000000}" name="var. Kosten max. €_2018/MWh" dataDxfId="600"/>
    <tableColumn id="18" xr3:uid="{00000000-0010-0000-0800-000012000000}" name="variable Kosten €_2018/MWh" dataDxfId="599"/>
    <tableColumn id="64" xr3:uid="{00000000-0010-0000-0800-000040000000}" name="fixe Kosten min. €_2018/kW*a" dataDxfId="598"/>
    <tableColumn id="19" xr3:uid="{00000000-0010-0000-0800-000013000000}" name="fixe Kosten €_2018/kW*a" dataDxfId="597"/>
    <tableColumn id="48" xr3:uid="{00000000-0010-0000-0800-000030000000}" name="Investitionsausgaben je Anschlusspunkt (€_2018)" dataDxfId="596"/>
    <tableColumn id="20" xr3:uid="{00000000-0010-0000-0800-000014000000}" name="Bemerkungen" dataDxfId="595"/>
    <tableColumn id="55" xr3:uid="{00000000-0010-0000-0800-000037000000}" name="Fundstelle Lastverschiebung" dataDxfId="594"/>
    <tableColumn id="54" xr3:uid="{00000000-0010-0000-0800-000036000000}" name="Fundstelle Lastverzicht" dataDxfId="593"/>
    <tableColumn id="21" xr3:uid="{00000000-0010-0000-0800-000015000000}" name="Fundstelle Potenzial pos." dataDxfId="592"/>
    <tableColumn id="22" xr3:uid="{00000000-0010-0000-0800-000016000000}" name="Fundstelle Potenzial neg." dataDxfId="591"/>
    <tableColumn id="23" xr3:uid="{00000000-0010-0000-0800-000017000000}" name="Fundstelle Mindestleistung" dataDxfId="590"/>
    <tableColumn id="43" xr3:uid="{00000000-0010-0000-0800-00002B000000}" name="Fundstelle flexibilisierbarer Anteil" dataDxfId="589"/>
    <tableColumn id="66" xr3:uid="{00000000-0010-0000-0800-000042000000}" name="Fundstelle Durchschnittsauslastung" dataDxfId="588"/>
    <tableColumn id="45" xr3:uid="{00000000-0010-0000-0800-00002D000000}" name="Fundstelle durchschnittliche Leistung" dataDxfId="587"/>
    <tableColumn id="24" xr3:uid="{00000000-0010-0000-0800-000018000000}" name="Fundstelle Maximalleistung" dataDxfId="586"/>
    <tableColumn id="25" xr3:uid="{00000000-0010-0000-0800-000019000000}" name="Fundstelle installierte Leistung" dataDxfId="585"/>
    <tableColumn id="39" xr3:uid="{00000000-0010-0000-0800-000027000000}" name="Fundstelle Aktivierungsdauer" dataDxfId="584"/>
    <tableColumn id="26" xr3:uid="{00000000-0010-0000-0800-00001A000000}" name="Fundstelle Schaltdauer" dataDxfId="583"/>
    <tableColumn id="27" xr3:uid="{00000000-0010-0000-0800-00001B000000}" name="Fundstelle Verschiebedauer" dataDxfId="582"/>
    <tableColumn id="28" xr3:uid="{00000000-0010-0000-0800-00001C000000}" name="Fundstelle Regenerationsdauer" dataDxfId="581"/>
    <tableColumn id="29" xr3:uid="{00000000-0010-0000-0800-00001D000000}" name="Fundstelle Zeitverfügbarkeit" dataDxfId="580"/>
    <tableColumn id="30" xr3:uid="{00000000-0010-0000-0800-00001E000000}" name="Fundstelle max. Abrufhäufigkeit" dataDxfId="579"/>
    <tableColumn id="31" xr3:uid="{00000000-0010-0000-0800-00001F000000}" name="Fundstelle Invest" dataDxfId="578"/>
    <tableColumn id="32" xr3:uid="{00000000-0010-0000-0800-000020000000}" name="Fundstelle var. Kosten" dataDxfId="577"/>
    <tableColumn id="33" xr3:uid="{00000000-0010-0000-0800-000021000000}" name="Fundstelle fixe Kosten" dataDxfId="576"/>
    <tableColumn id="49" xr3:uid="{00000000-0010-0000-0800-000031000000}" name="Fundstelle Investition je Anschlusspunkt" dataDxfId="575"/>
    <tableColumn id="34" xr3:uid="{00000000-0010-0000-0800-000022000000}" name="Fundstelle Bemerkungen" dataDxfId="574"/>
    <tableColumn id="35" xr3:uid="{00000000-0010-0000-0800-000023000000}" name="eigene Anmerkung" dataDxfId="573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elle5892" displayName="Tabelle5892" ref="A1:BF9" totalsRowShown="0" headerRowDxfId="572" dataDxfId="571" tableBorderDxfId="570">
  <autoFilter ref="A1:BF9" xr:uid="{00000000-0009-0000-0100-000001000000}"/>
  <tableColumns count="58">
    <tableColumn id="1" xr3:uid="{00000000-0010-0000-0400-000001000000}" name="Prozess" dataDxfId="569"/>
    <tableColumn id="47" xr3:uid="{00000000-0010-0000-0400-00002F000000}" name="Sektorenzuordnung" dataDxfId="568"/>
    <tableColumn id="2" xr3:uid="{00000000-0010-0000-0400-000002000000}" name="Jahr" dataDxfId="567"/>
    <tableColumn id="52" xr3:uid="{00000000-0010-0000-0400-000034000000}" name="Lastverschiebung" dataDxfId="566"/>
    <tableColumn id="53" xr3:uid="{00000000-0010-0000-0400-000035000000}" name="Lastverzicht" dataDxfId="565"/>
    <tableColumn id="4" xr3:uid="{BB3E4F2A-1D63-40E4-B0CE-BA0238116541}" name="Lasterhöhung" dataDxfId="564"/>
    <tableColumn id="3" xr3:uid="{00000000-0010-0000-0400-000003000000}" name="Potenzial pos. min MW" dataDxfId="563"/>
    <tableColumn id="38" xr3:uid="{00000000-0010-0000-0400-000026000000}" name="Potenzial pos. MW Durchschnitt" dataDxfId="562"/>
    <tableColumn id="5" xr3:uid="{00000000-0010-0000-0400-000005000000}" name="Potenzial pos. max MW" dataDxfId="561"/>
    <tableColumn id="37" xr3:uid="{00000000-0010-0000-0400-000025000000}" name="ausgewiesenes Pot. pos. MW (falls abweichend)" dataDxfId="560"/>
    <tableColumn id="50" xr3:uid="{00000000-0010-0000-0400-000032000000}" name="Potenzial neg. min MW" dataDxfId="559"/>
    <tableColumn id="41" xr3:uid="{00000000-0010-0000-0400-000029000000}" name="Potenzial neg. MW Durchschnitt" dataDxfId="558"/>
    <tableColumn id="6" xr3:uid="{00000000-0010-0000-0400-000006000000}" name="Potenzial neg. max MW" dataDxfId="557"/>
    <tableColumn id="7" xr3:uid="{00000000-0010-0000-0400-000007000000}" name="Mindestleistung MW" dataDxfId="556"/>
    <tableColumn id="8" xr3:uid="{00000000-0010-0000-0400-000008000000}" name="Mindestauslastung" dataDxfId="555" dataCellStyle="Prozent"/>
    <tableColumn id="36" xr3:uid="{00000000-0010-0000-0400-000024000000}" name="flexibilisierbarer Anteil" dataDxfId="554" dataCellStyle="Prozent"/>
    <tableColumn id="44" xr3:uid="{00000000-0010-0000-0400-00002C000000}" name="Durchschnittliche Leistung MW" dataDxfId="553" dataCellStyle="Prozent"/>
    <tableColumn id="9" xr3:uid="{00000000-0010-0000-0400-000009000000}" name="Maximalleistung MW" dataDxfId="552"/>
    <tableColumn id="46" xr3:uid="{00000000-0010-0000-0400-00002E000000}" name="Maximalauslastung" dataDxfId="551" dataCellStyle="Prozent"/>
    <tableColumn id="10" xr3:uid="{00000000-0010-0000-0400-00000A000000}" name="installierte Leistung MW" dataDxfId="550"/>
    <tableColumn id="11" xr3:uid="{00000000-0010-0000-0400-00000B000000}" name="Aktivierungsdauer (h)" dataDxfId="549"/>
    <tableColumn id="12" xr3:uid="{00000000-0010-0000-0400-00000C000000}" name="Schaltdauer pos. (h)" dataDxfId="548"/>
    <tableColumn id="51" xr3:uid="{00000000-0010-0000-0400-000033000000}" name="Schaltdauer neg. (h)" dataDxfId="547"/>
    <tableColumn id="13" xr3:uid="{00000000-0010-0000-0400-00000D000000}" name="Verschiebedauer (h)" dataDxfId="546"/>
    <tableColumn id="14" xr3:uid="{00000000-0010-0000-0400-00000E000000}" name="Regenerationsdauer (h)" dataDxfId="545"/>
    <tableColumn id="15" xr3:uid="{00000000-0010-0000-0400-00000F000000}" name="Zeitverfügbarkeit?" dataDxfId="544"/>
    <tableColumn id="16" xr3:uid="{00000000-0010-0000-0400-000010000000}" name="max. Abrufhäufigkeit pro Woche" dataDxfId="543"/>
    <tableColumn id="40" xr3:uid="{00000000-0010-0000-0400-000028000000}" name="max. Abrufhäufigkeit pro Jahr" dataDxfId="542"/>
    <tableColumn id="57" xr3:uid="{00000000-0010-0000-0400-000039000000}" name="min. Investitionsausgaben €_2018/kW" dataDxfId="541"/>
    <tableColumn id="56" xr3:uid="{00000000-0010-0000-0400-000038000000}" name="max. Investitionsausgaben €_2018/kW" dataDxfId="540"/>
    <tableColumn id="17" xr3:uid="{00000000-0010-0000-0400-000011000000}" name="Investitionsausgaben €_2018/kW" dataDxfId="539"/>
    <tableColumn id="59" xr3:uid="{00000000-0010-0000-0400-00003B000000}" name="var. Kosten von €_2018/kW" dataDxfId="538"/>
    <tableColumn id="58" xr3:uid="{00000000-0010-0000-0400-00003A000000}" name="var. Kosten bis €_2018/kW" dataDxfId="537"/>
    <tableColumn id="18" xr3:uid="{00000000-0010-0000-0400-000012000000}" name="variable Kosten €_2018/kWh" dataDxfId="536"/>
    <tableColumn id="19" xr3:uid="{00000000-0010-0000-0400-000013000000}" name="fixe Kosten €_2018/kW*a" dataDxfId="535"/>
    <tableColumn id="48" xr3:uid="{00000000-0010-0000-0400-000030000000}" name="Investitionsausgaben je Anschlusspunkt (€_2018)" dataDxfId="534"/>
    <tableColumn id="20" xr3:uid="{00000000-0010-0000-0400-000014000000}" name="Bemerkungen" dataDxfId="533"/>
    <tableColumn id="55" xr3:uid="{00000000-0010-0000-0400-000037000000}" name="Fundstelle Lastverschiebung" dataDxfId="532"/>
    <tableColumn id="54" xr3:uid="{00000000-0010-0000-0400-000036000000}" name="Fundstelle Lastverzicht" dataDxfId="531"/>
    <tableColumn id="21" xr3:uid="{00000000-0010-0000-0400-000015000000}" name="Fundstelle Potenzial pos." dataDxfId="530"/>
    <tableColumn id="22" xr3:uid="{00000000-0010-0000-0400-000016000000}" name="Fundstelle Potenzial neg." dataDxfId="529"/>
    <tableColumn id="23" xr3:uid="{00000000-0010-0000-0400-000017000000}" name="Fundstelle Mindestleistung" dataDxfId="528"/>
    <tableColumn id="43" xr3:uid="{00000000-0010-0000-0400-00002B000000}" name="Fundstelle flexibilisierbarer Anteil" dataDxfId="527"/>
    <tableColumn id="45" xr3:uid="{00000000-0010-0000-0400-00002D000000}" name="Fundstelle durchschnittliche Leistung" dataDxfId="526"/>
    <tableColumn id="24" xr3:uid="{00000000-0010-0000-0400-000018000000}" name="Fundstelle Maximalleistung" dataDxfId="525"/>
    <tableColumn id="25" xr3:uid="{00000000-0010-0000-0400-000019000000}" name="Fundstelle installierte Leistung" dataDxfId="524"/>
    <tableColumn id="39" xr3:uid="{00000000-0010-0000-0400-000027000000}" name="Fundstelle Aktivierungsdauer" dataDxfId="523"/>
    <tableColumn id="26" xr3:uid="{00000000-0010-0000-0400-00001A000000}" name="Fundstelle Schaltdauer" dataDxfId="522"/>
    <tableColumn id="27" xr3:uid="{00000000-0010-0000-0400-00001B000000}" name="Fundstelle Verschiebedauer" dataDxfId="521"/>
    <tableColumn id="28" xr3:uid="{00000000-0010-0000-0400-00001C000000}" name="Fundstelle Regenerationsdauer" dataDxfId="520"/>
    <tableColumn id="29" xr3:uid="{00000000-0010-0000-0400-00001D000000}" name="Fundstelle Zeitverfügbarkeit" dataDxfId="519"/>
    <tableColumn id="30" xr3:uid="{00000000-0010-0000-0400-00001E000000}" name="Fundstelle max. Abrufhäufigkeit" dataDxfId="518"/>
    <tableColumn id="31" xr3:uid="{00000000-0010-0000-0400-00001F000000}" name="Fundstelle Invest" dataDxfId="517"/>
    <tableColumn id="32" xr3:uid="{00000000-0010-0000-0400-000020000000}" name="Fundstelle var. Kosten" dataDxfId="516"/>
    <tableColumn id="33" xr3:uid="{00000000-0010-0000-0400-000021000000}" name="Fundstelle fixe Kosten" dataDxfId="515"/>
    <tableColumn id="49" xr3:uid="{00000000-0010-0000-0400-000031000000}" name="Fundstelle Investition je Anschlusspunkt" dataDxfId="514"/>
    <tableColumn id="34" xr3:uid="{00000000-0010-0000-0400-000022000000}" name="Fundstelle Bemerkungen" dataDxfId="513"/>
    <tableColumn id="35" xr3:uid="{00000000-0010-0000-0400-000023000000}" name="eigene Anmerkung" dataDxfId="512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B000000}" name="Tabelle223" displayName="Tabelle223" ref="A1:O77" totalsRowShown="0" dataDxfId="511">
  <autoFilter ref="A1:O77" xr:uid="{00000000-0009-0000-0100-000016000000}"/>
  <tableColumns count="15">
    <tableColumn id="1" xr3:uid="{00000000-0010-0000-0B00-000001000000}" name="Prozess" dataDxfId="510"/>
    <tableColumn id="13" xr3:uid="{00000000-0010-0000-0B00-00000D000000}" name="Sektorenzuordnung" dataDxfId="509"/>
    <tableColumn id="2" xr3:uid="{00000000-0010-0000-0B00-000002000000}" name="Jahr" dataDxfId="508"/>
    <tableColumn id="12" xr3:uid="{00000000-0010-0000-0B00-00000C000000}" name="StV (TWh)" dataDxfId="507">
      <calculatedColumnFormula>Tabelle223[[#This Row],[Produktionskapazität Mt]]*Tabelle223[[#This Row],[spez. Verbrauch (kWh/t)]]*10^-3</calculatedColumnFormula>
    </tableColumn>
    <tableColumn id="11" xr3:uid="{00000000-0010-0000-0B00-00000B000000}" name="spez. Verbrauch (kWh/t)" dataDxfId="506"/>
    <tableColumn id="10" xr3:uid="{00000000-0010-0000-0B00-00000A000000}" name="Produktionskapazität Mt" dataDxfId="505"/>
    <tableColumn id="8" xr3:uid="{00000000-0010-0000-0B00-000008000000}" name="Änderung des spez. Verbrauchs (% p.a.)" dataDxfId="504"/>
    <tableColumn id="9" xr3:uid="{00000000-0010-0000-0B00-000009000000}" name="Änderung der Produktionskapazität (% p.a.)" dataDxfId="503"/>
    <tableColumn id="14" xr3:uid="{00000000-0010-0000-0B00-00000E000000}" name="Anteil am sektoralen Verbrauch (%)" dataDxfId="502"/>
    <tableColumn id="15" xr3:uid="{00000000-0010-0000-0B00-00000F000000}" name="Änderung gg. 2010"/>
    <tableColumn id="3" xr3:uid="{00000000-0010-0000-0B00-000003000000}" name="Stromverbrauch" dataDxfId="501"/>
    <tableColumn id="4" xr3:uid="{00000000-0010-0000-0B00-000004000000}" name="Vollbenutzungsstunden" dataDxfId="500"/>
    <tableColumn id="5" xr3:uid="{00000000-0010-0000-0B00-000005000000}" name="Mindestleistung" dataDxfId="499"/>
    <tableColumn id="6" xr3:uid="{00000000-0010-0000-0B00-000006000000}" name="flexible Leistung" dataDxfId="498"/>
    <tableColumn id="7" xr3:uid="{00000000-0010-0000-0B00-000007000000}" name="Quelle" dataDxfId="497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C000000}" name="Tabelle234" displayName="Tabelle234" ref="A1:M41" totalsRowShown="0" headerRowDxfId="496" dataDxfId="495">
  <autoFilter ref="A1:M41" xr:uid="{00000000-0009-0000-0100-000021000000}"/>
  <tableColumns count="13">
    <tableColumn id="1" xr3:uid="{00000000-0010-0000-0C00-000001000000}" name="Prozess" dataDxfId="494"/>
    <tableColumn id="13" xr3:uid="{00000000-0010-0000-0C00-00000D000000}" name="Sektorenzuordnung" dataDxfId="493"/>
    <tableColumn id="2" xr3:uid="{00000000-0010-0000-0C00-000002000000}" name="Jahr" dataDxfId="492"/>
    <tableColumn id="8" xr3:uid="{00000000-0010-0000-0C00-000008000000}" name="Anzahl Haushalte (Mio.)" dataDxfId="491"/>
    <tableColumn id="3" xr3:uid="{00000000-0010-0000-0C00-000003000000}" name="Stromverbrauch gesamt (TWh)" dataDxfId="490">
      <calculatedColumnFormula>Tabelle234[[#This Row],[Leistung je Einheit (kW)]]*Tabelle234[[#This Row],[Anzahl Haushalte (Mio.)]]*Tabelle234[[#This Row],[Vollbenutzungsstunden]]</calculatedColumnFormula>
    </tableColumn>
    <tableColumn id="12" xr3:uid="{00000000-0010-0000-0C00-00000C000000}" name="Leistung gesamt (MW)" dataDxfId="489">
      <calculatedColumnFormula>Tabelle234[[#This Row],[Anzahl Haushalte (Mio.)]]*Tabelle234[[#This Row],[Ausstattungsraten]]*Tabelle234[[#This Row],[Leistung je Einheit (kW)]]*10^3</calculatedColumnFormula>
    </tableColumn>
    <tableColumn id="4" xr3:uid="{00000000-0010-0000-0C00-000004000000}" name="Vollbenutzungsstunden" dataDxfId="488"/>
    <tableColumn id="9" xr3:uid="{00000000-0010-0000-0C00-000009000000}" name="Ausstattungsraten" dataDxfId="487"/>
    <tableColumn id="10" xr3:uid="{00000000-0010-0000-0C00-00000A000000}" name="Stromverbrauch je Einheit (kWh)" dataDxfId="486"/>
    <tableColumn id="11" xr3:uid="{00000000-0010-0000-0C00-00000B000000}" name="Leistung je Einheit (kW)" dataDxfId="485"/>
    <tableColumn id="5" xr3:uid="{00000000-0010-0000-0C00-000005000000}" name="flex. Leistung pos." dataDxfId="484"/>
    <tableColumn id="6" xr3:uid="{00000000-0010-0000-0C00-000006000000}" name="flex. Leistung neg." dataDxfId="483"/>
    <tableColumn id="7" xr3:uid="{00000000-0010-0000-0C00-000007000000}" name="Quelle" dataDxfId="482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9E9F61-DC8A-415D-9838-C94F81431AB4}" name="Tabelle58971114313637" displayName="Tabelle58971114313637" ref="A1:CO13" totalsRowShown="0" headerRowDxfId="481" dataDxfId="480" tableBorderDxfId="479">
  <autoFilter ref="A1:CO13" xr:uid="{EF824A0A-FCB1-4B4D-8B84-B5CBCDF90F5A}"/>
  <tableColumns count="93">
    <tableColumn id="1" xr3:uid="{73E4E8A4-9121-40AA-9D70-E52CBAD233D3}" name="Prozess" dataDxfId="478"/>
    <tableColumn id="47" xr3:uid="{046FAEBD-C643-4F10-8C72-95335CF764E9}" name="Sektorenzuordnung" dataDxfId="477"/>
    <tableColumn id="73" xr3:uid="{31BE2D6D-EFE0-495C-8E24-69EB45CEBEE2}" name="Verfahren" dataDxfId="476"/>
    <tableColumn id="2" xr3:uid="{E0A212EF-0C37-46A8-AB11-8C68B0C32EEF}" name="Jahr" dataDxfId="475"/>
    <tableColumn id="52" xr3:uid="{4EE926E1-48CF-4635-BF6B-D56704BD661E}" name="Lastverschiebung" dataDxfId="474"/>
    <tableColumn id="53" xr3:uid="{E4F6AA95-A268-4BA7-8169-6C116C77E471}" name="Lastverzicht" dataDxfId="473"/>
    <tableColumn id="71" xr3:uid="{AE9C0C6E-CA88-4509-8527-5DF3FC5666D7}" name="Lasterhöhung" dataDxfId="472"/>
    <tableColumn id="75" xr3:uid="{0A04C5E8-05C6-4AA1-B496-4467FABE3EA5}" name="jährliche Produktion kt" dataDxfId="471"/>
    <tableColumn id="74" xr3:uid="{46E23D32-CF99-4A6E-BB3E-2CF8369C822D}" name="spez. StV kWh/t" dataDxfId="470"/>
    <tableColumn id="98" xr3:uid="{A4CAE3E6-EB19-4955-B807-0E74BD7C6EB1}" name="spez. StV min in kWh/m^2 * a" dataDxfId="469"/>
    <tableColumn id="97" xr3:uid="{DBACE8B5-5910-4204-9E6C-105BB12E5FBA}" name="spez. StV max in kWh/m^2 * a" dataDxfId="468"/>
    <tableColumn id="86" xr3:uid="{86F5C658-1B1D-44EE-95DC-A77C8F7F03EF}" name="Anzahl Anlangen (Tsd.)" dataDxfId="467"/>
    <tableColumn id="90" xr3:uid="{B1EE29E7-8D1B-402A-812A-0E47643F61A2}" name="Entwicklungsfaktor MIN (1)" dataDxfId="466"/>
    <tableColumn id="89" xr3:uid="{6113F2E5-37AF-4FF2-8014-2F115AB79D13}" name="Entwicklungsfaktor REF (1)" dataDxfId="465"/>
    <tableColumn id="88" xr3:uid="{7DE46AB3-717D-4D8B-8A2F-5E0F36D9199D}" name="Entwicklungsfaktor MAX (1)" dataDxfId="464"/>
    <tableColumn id="77" xr3:uid="{9000E535-F153-4E71-91E2-748ABCC0DADC}" name="Stromverbrauch in TWh" dataDxfId="463"/>
    <tableColumn id="99" xr3:uid="{6A6FF0E3-B6FA-4272-944D-0005D2D35524}" name="Verschiebepotenzial in TWh"/>
    <tableColumn id="3" xr3:uid="{8B0BA8BB-C5B6-4800-A4F3-560AC5BE98A4}" name="Potenzial pos. min MW" dataDxfId="462"/>
    <tableColumn id="38" xr3:uid="{9499159D-69F8-4C00-A67E-28149A7FBE65}" name="Potenzial pos. MW Durchschnitt" dataDxfId="461"/>
    <tableColumn id="5" xr3:uid="{9C9A3F3D-81E4-43F2-98D6-94E012155B13}" name="Potenzial pos. max MW" dataDxfId="460"/>
    <tableColumn id="68" xr3:uid="{8804613F-D701-4898-9EA6-24CF815394F7}" name="Potenzial pos. Winter MW" dataDxfId="459"/>
    <tableColumn id="70" xr3:uid="{D6140FD5-70A8-4C4F-A11A-77E521482F6A}" name="Potenzial neg. Sommer MW" dataDxfId="458"/>
    <tableColumn id="69" xr3:uid="{13194163-E1D6-4FC6-9D11-6E8882ED26F9}" name="Potenzial neg. Winter MW" dataDxfId="457"/>
    <tableColumn id="37" xr3:uid="{386A6075-785E-4161-82BF-D1D06717CE80}" name="Pot. pos. MW errechnet" dataDxfId="456"/>
    <tableColumn id="50" xr3:uid="{53C6093F-86CA-4202-A30A-CEC89A3AD87F}" name="Potenzial neg. min MW" dataDxfId="455"/>
    <tableColumn id="41" xr3:uid="{053DFA16-260D-4D99-8E85-13BE438E1C39}" name="Potenzial neg. MW Durchschnitt" dataDxfId="454"/>
    <tableColumn id="6" xr3:uid="{F0FFDA6F-DBCA-494A-A728-CCAC809DD5C2}" name="Potenzial neg. max MW" dataDxfId="453">
      <calculatedColumnFormula>10000+16000</calculatedColumnFormula>
    </tableColumn>
    <tableColumn id="7" xr3:uid="{6395B164-E40C-4C68-8653-9487FFC1F980}" name="Mindestleistung MW" dataDxfId="452"/>
    <tableColumn id="8" xr3:uid="{9078E552-09C2-4242-A8A4-EF5D7FF1AB1B}" name="Mindestauslastung" dataDxfId="451" dataCellStyle="Prozent"/>
    <tableColumn id="36" xr3:uid="{6F1B9306-A397-443B-A203-53D2EA828C16}" name="flexibilisierbarer Anteil" dataDxfId="450" dataCellStyle="Prozent"/>
    <tableColumn id="67" xr3:uid="{74C5A5EC-7BCE-4F2B-9001-013B4EA887EC}" name="flexibilisierbarer Anteil an Durchschnittslast" dataDxfId="449" dataCellStyle="Prozent"/>
    <tableColumn id="76" xr3:uid="{46F48F9F-5EBA-4EE0-858E-353AF6801D91}" name="Vollbenutzungsstunden h/a" dataDxfId="448" dataCellStyle="Prozent"/>
    <tableColumn id="65" xr3:uid="{33BF2B8A-E034-457E-BFF3-8E350E404955}" name="Durchschnittsauslastung" dataDxfId="447" dataCellStyle="Prozent"/>
    <tableColumn id="44" xr3:uid="{2B8F214A-E0A7-498A-ADCB-F780E1A14AC8}" name="Durchschnittliche Leistung MW" dataDxfId="446" dataCellStyle="Prozent"/>
    <tableColumn id="9" xr3:uid="{C530A2E5-D828-48A0-A36E-B5526930CA7D}" name="Maximalleistung MW" dataDxfId="445"/>
    <tableColumn id="46" xr3:uid="{6475F5AA-A1ED-4F8C-8AE0-74233A809183}" name="Maximalauslastung" dataDxfId="444" dataCellStyle="Prozent"/>
    <tableColumn id="10" xr3:uid="{FB2BC636-E13C-4BC7-86BF-AF59CD7F24BB}" name="installierte Leistung MW" dataDxfId="443"/>
    <tableColumn id="11" xr3:uid="{13D11728-C72B-42A5-8AF7-0D695F138F0E}" name="Aktivierungsdauer (h)" dataDxfId="442"/>
    <tableColumn id="61" xr3:uid="{4C143164-C629-44E7-AD04-C31AB1771E11}" name="Schaltdauer pos. min (h)" dataDxfId="441"/>
    <tableColumn id="60" xr3:uid="{44ABF66B-143A-4729-ADBC-56E79660204E}" name="Schaltdauer pos. max (h)" dataDxfId="440"/>
    <tableColumn id="12" xr3:uid="{678271B2-1318-4AA5-AC81-3E4379BB2DA6}" name="Schaltdauer pos. (h)" dataDxfId="439"/>
    <tableColumn id="63" xr3:uid="{AA6D0971-593D-44AE-92B7-834C873D3165}" name="Schaltdauer neg min (h)" dataDxfId="438">
      <calculatedColumnFormula>10/60</calculatedColumnFormula>
    </tableColumn>
    <tableColumn id="62" xr3:uid="{5B6B0358-706E-43F3-8BAA-828D5DE21578}" name="Schaltdauer neg. max (h)" dataDxfId="437"/>
    <tableColumn id="51" xr3:uid="{C3079BE9-0695-4361-92AA-52DC4DC2FD8D}" name="Schaltdauer neg. (h)" dataDxfId="436"/>
    <tableColumn id="42" xr3:uid="{492CA3BF-F47C-4C83-AD50-8E36348BA327}" name="Verschiebedauer min. (h)" dataDxfId="435"/>
    <tableColumn id="4" xr3:uid="{5E156E8D-568C-495D-B9C6-F8940C728F2D}" name="Verschiebedauer max (h)" dataDxfId="434"/>
    <tableColumn id="13" xr3:uid="{61B3BCF7-A8EF-4AD2-B9F1-8218C9915727}" name="Verschiebedauer (h)" dataDxfId="433"/>
    <tableColumn id="14" xr3:uid="{465A44AE-5A0C-4B3E-AE5E-A0E51818A051}" name="Regenerationsdauer (h)" dataDxfId="432"/>
    <tableColumn id="15" xr3:uid="{DAF0FEEC-CB83-4A55-A659-DB9939896F80}" name="Zeitverfügbarkeit?" dataDxfId="431"/>
    <tableColumn id="16" xr3:uid="{FF2581F5-504C-4D75-A7BA-6985C3EABDDE}" name="max. Abrufhäufigkeit pro Woche" dataDxfId="430"/>
    <tableColumn id="40" xr3:uid="{327877B3-BBE2-48A7-801C-729BBC22177A}" name="max. Abrufhäufigkeit pro Jahr" dataDxfId="429"/>
    <tableColumn id="57" xr3:uid="{1F53B453-2CCA-4BC4-98D6-5FA2F9839F21}" name="min. Investitionsausgaben €_2018/kW" dataDxfId="428"/>
    <tableColumn id="56" xr3:uid="{EFCEF317-D1A6-4EC1-9355-C4CA70FAF78B}" name="max. Investitionsausgaben €_2018/kW" dataDxfId="427"/>
    <tableColumn id="17" xr3:uid="{51EB9AAD-1B7A-4D52-8A8C-BB5930F50A58}" name="Investitionsausgaben €_2018/kW" dataDxfId="426"/>
    <tableColumn id="59" xr3:uid="{D31A493B-3870-4DE8-BF93-6994C1E39900}" name="var. Kosten min. €_2018/MWh" dataDxfId="425"/>
    <tableColumn id="58" xr3:uid="{09DFF04C-D7B9-4719-9426-C15F80549F5C}" name="var. Kosten max. €_2018/MWh" dataDxfId="424"/>
    <tableColumn id="18" xr3:uid="{C2EEE1EE-D7CD-4927-81EB-8709D7832B83}" name="variable Kosten €_2018/MWh" dataDxfId="423"/>
    <tableColumn id="64" xr3:uid="{494DE207-2A7E-43AF-AC51-DE60CFAFB1F6}" name="fixe Kosten min. €_2018/kW*a" dataDxfId="422"/>
    <tableColumn id="72" xr3:uid="{C7D485C9-448B-49C2-858A-ED116B8F6799}" name="fixe Kosten max. €_2018/kW*a" dataDxfId="421"/>
    <tableColumn id="19" xr3:uid="{BFCF208A-21F2-4919-967F-7BAB5B964018}" name="fixe Kosten €_2018/kW*a" dataDxfId="420"/>
    <tableColumn id="48" xr3:uid="{96F81CB8-22C5-468C-980E-73B475F8C89A}" name="Investitionsausgaben je Anschlusspunkt (€_2018)" dataDxfId="419"/>
    <tableColumn id="93" xr3:uid="{30D1B12D-638E-4327-AF3D-4F6CBA07C07E}" name="Aktivierungskosten [€_2018/kW]" dataDxfId="418"/>
    <tableColumn id="20" xr3:uid="{BA0414D6-F07F-4101-938B-D3B1FFCC91C1}" name="Bemerkungen" dataDxfId="417"/>
    <tableColumn id="95" xr3:uid="{28A016E9-C159-4D4C-B3B1-9C794E5755E1}" name="Bemerkungen 2" dataDxfId="416"/>
    <tableColumn id="55" xr3:uid="{39B64A14-617A-4ACA-8D0B-C06B1CB6EA64}" name="Fundstelle Lastverschiebung" dataDxfId="415"/>
    <tableColumn id="54" xr3:uid="{EA328A29-EDC1-41A0-B9DD-226FD2D8E7C6}" name="Fundstelle Lastverzicht" dataDxfId="414"/>
    <tableColumn id="80" xr3:uid="{10EC7E5E-CCAA-49BF-8506-4D4C9DF79349}" name="Fundstelle Produktion" dataDxfId="413"/>
    <tableColumn id="91" xr3:uid="{D835AF24-EE46-451F-A286-D5456F048C57}" name="Fundstelle Anzahl Anlagen" dataDxfId="412"/>
    <tableColumn id="92" xr3:uid="{F13E7EF2-F92D-4393-B92D-33637D1AE362}" name="Fundstelle Entwicklungsfaktor" dataDxfId="411"/>
    <tableColumn id="79" xr3:uid="{AF42CC6F-AB9E-4AD0-BFFD-AF0F2E006091}" name="Fundstelle Stromverbrauch" dataDxfId="410"/>
    <tableColumn id="100" xr3:uid="{6372E1FF-B4C5-4F5D-82E8-787EAC91DE30}" name="Fundstelle verschiebbare Energiemenge" dataDxfId="409"/>
    <tableColumn id="78" xr3:uid="{1DA0B518-D5DA-4150-9727-2CB48FC1FFBA}" name="Fundstelle Vollbenutzungsstunden" dataDxfId="408"/>
    <tableColumn id="21" xr3:uid="{A710D17C-8707-42E0-9EA3-E3CA964C4A0F}" name="Fundstelle Potenzial pos." dataDxfId="407"/>
    <tableColumn id="22" xr3:uid="{9149776E-A7ED-448F-9784-98CB61735F29}" name="Fundstelle Potenzial neg." dataDxfId="406"/>
    <tableColumn id="23" xr3:uid="{C9595D99-A182-450A-B7A3-A50849D7664E}" name="Fundstelle Mindestleistung" dataDxfId="405"/>
    <tableColumn id="43" xr3:uid="{43679883-C5B8-4C72-9B11-53E80F58DFFC}" name="Fundstelle flexibilisierbarer Anteil" dataDxfId="404"/>
    <tableColumn id="66" xr3:uid="{1C56C5E4-E5BC-4444-B9D3-86B9B10AE308}" name="Fundstelle Durchschnittsauslastung" dataDxfId="403"/>
    <tableColumn id="45" xr3:uid="{13434B29-A2E6-402C-9B63-5D6AB8229F3D}" name="Fundstelle durchschnittliche Leistung" dataDxfId="402"/>
    <tableColumn id="24" xr3:uid="{B5B68248-AD63-486F-981F-BA2B196C083A}" name="Fundstelle Maximalleistung" dataDxfId="401"/>
    <tableColumn id="25" xr3:uid="{E55243C9-23D1-4019-AA9D-25E209456733}" name="Fundstelle installierte Leistung" dataDxfId="400"/>
    <tableColumn id="39" xr3:uid="{878ABA1E-A648-4765-8095-7034AAF6148A}" name="Fundstelle Aktivierungsdauer" dataDxfId="399"/>
    <tableColumn id="26" xr3:uid="{7060A2C8-5AAC-4487-BBDF-8C17ED1D6C98}" name="Fundstelle Schaltdauer" dataDxfId="398"/>
    <tableColumn id="27" xr3:uid="{9A85745D-74A9-4660-8107-7DF737888C6B}" name="Fundstelle Verschiebedauer" dataDxfId="397"/>
    <tableColumn id="28" xr3:uid="{98FD5DC4-E8BA-4C04-8F8E-4E872254BC8E}" name="Fundstelle Regenerationsdauer" dataDxfId="396"/>
    <tableColumn id="29" xr3:uid="{23878830-EA62-4E35-A461-626108901DD1}" name="Fundstelle Zeitverfügbarkeit" dataDxfId="395"/>
    <tableColumn id="30" xr3:uid="{1F974156-8560-4E72-A78B-B73B675ACBB0}" name="Fundstelle max. Abrufhäufigkeit" dataDxfId="394"/>
    <tableColumn id="31" xr3:uid="{ACC936B0-837E-4EDB-BD6E-0D7937ECD57D}" name="Fundstelle Invest" dataDxfId="393"/>
    <tableColumn id="32" xr3:uid="{F4A9303D-4623-49DC-A4C8-0F7A88B1AE60}" name="Fundstelle var. Kosten" dataDxfId="392"/>
    <tableColumn id="33" xr3:uid="{C9352195-F628-4A64-A00E-05502129B239}" name="Fundstelle fixe Kosten" dataDxfId="391"/>
    <tableColumn id="49" xr3:uid="{281F8A8F-19E0-4084-9F0B-50481225B44F}" name="Fundstelle Investition je Anschlusspunkt" dataDxfId="390"/>
    <tableColumn id="94" xr3:uid="{8F96A623-A012-434C-BF46-D41DB085E000}" name="Fundstelle Aktivierungskosten" dataDxfId="389"/>
    <tableColumn id="34" xr3:uid="{38EAA01B-129F-4D71-9334-CEC2D63DD7DC}" name="Fundstelle Bemerkungen" dataDxfId="388"/>
    <tableColumn id="35" xr3:uid="{6041D9F0-6AF5-4DFD-AA83-8B6262007BE9}" name="eigene Anmerkung" dataDxfId="387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elle58971121" displayName="Tabelle58971121" ref="A1:GK249" totalsRowShown="0" headerRowDxfId="386" dataDxfId="385" tableBorderDxfId="384">
  <autoFilter ref="A1:GK249" xr:uid="{00000000-0009-0000-0100-000014000000}"/>
  <sortState xmlns:xlrd2="http://schemas.microsoft.com/office/spreadsheetml/2017/richdata2" ref="A2:GK249">
    <sortCondition ref="E1:E249"/>
  </sortState>
  <tableColumns count="193">
    <tableColumn id="1" xr3:uid="{00000000-0010-0000-1200-000001000000}" name="Prozess" dataDxfId="383"/>
    <tableColumn id="139" xr3:uid="{00000000-0010-0000-1200-00008B000000}" name="Ursprüngliche Prozessbezeichnung" dataDxfId="382"/>
    <tableColumn id="12" xr3:uid="{00000000-0010-0000-1200-00000C000000}" name="Branche" dataDxfId="381"/>
    <tableColumn id="67" xr3:uid="{00000000-0010-0000-1200-000043000000}" name="Kürzel" dataDxfId="380"/>
    <tableColumn id="47" xr3:uid="{00000000-0010-0000-1200-00002F000000}" name="Sektorenzuordnung" dataDxfId="379"/>
    <tableColumn id="10" xr3:uid="{00000000-0010-0000-1200-00000A000000}" name="temporäre Sortierung" dataDxfId="378"/>
    <tableColumn id="2" xr3:uid="{00000000-0010-0000-1200-000002000000}" name="Jahr" dataDxfId="377"/>
    <tableColumn id="52" xr3:uid="{00000000-0010-0000-1200-000034000000}" name="Lastverschiebung" dataDxfId="376"/>
    <tableColumn id="53" xr3:uid="{00000000-0010-0000-1200-000035000000}" name="Lastverzicht" dataDxfId="375"/>
    <tableColumn id="137" xr3:uid="{00000000-0010-0000-1200-000089000000}" name="Lasterhöhung" dataDxfId="374"/>
    <tableColumn id="3" xr3:uid="{00000000-0010-0000-1200-000003000000}" name="Potenzial pos. MW Durchschnitt min" dataDxfId="373"/>
    <tableColumn id="38" xr3:uid="{00000000-0010-0000-1200-000026000000}" name="Potenzial pos. MW Durchschnitt" dataDxfId="372"/>
    <tableColumn id="5" xr3:uid="{00000000-0010-0000-1200-000005000000}" name="Potenzial pos. MW Durchschnitt max" dataDxfId="371"/>
    <tableColumn id="193" xr3:uid="{00000000-0010-0000-1200-0000C1000000}" name="Potenzial pos. MW Sommer WTT" dataDxfId="370"/>
    <tableColumn id="192" xr3:uid="{00000000-0010-0000-1200-0000C0000000}" name="Potenzial pos. MW min Sommer WTT" dataDxfId="369"/>
    <tableColumn id="191" xr3:uid="{00000000-0010-0000-1200-0000BF000000}" name="Potenzial pos. MW max Sommer WTT" dataDxfId="368"/>
    <tableColumn id="190" xr3:uid="{00000000-0010-0000-1200-0000BE000000}" name="Potenzial neg. MW Sommer WTT" dataDxfId="367"/>
    <tableColumn id="189" xr3:uid="{00000000-0010-0000-1200-0000BD000000}" name="Potenzial neg. MW min Sommer WTT" dataDxfId="366"/>
    <tableColumn id="188" xr3:uid="{00000000-0010-0000-1200-0000BC000000}" name="Potenzial neg. MW max Sommer WTT" dataDxfId="365"/>
    <tableColumn id="187" xr3:uid="{00000000-0010-0000-1200-0000BB000000}" name="Potenzial pos. MW Sommer SaT" dataDxfId="364"/>
    <tableColumn id="186" xr3:uid="{00000000-0010-0000-1200-0000BA000000}" name="Potenzial pos. MW min Sommer SaT" dataDxfId="363"/>
    <tableColumn id="185" xr3:uid="{00000000-0010-0000-1200-0000B9000000}" name="Potenzial pos. MW max Sommer SaT" dataDxfId="362"/>
    <tableColumn id="184" xr3:uid="{00000000-0010-0000-1200-0000B8000000}" name="Potenzial neg. MW Sommer SaT" dataDxfId="361"/>
    <tableColumn id="183" xr3:uid="{00000000-0010-0000-1200-0000B7000000}" name="Potenzial neg. MW min Sommer SaT" dataDxfId="360"/>
    <tableColumn id="182" xr3:uid="{00000000-0010-0000-1200-0000B6000000}" name="Potenzial neg. MW max Sommer SaT" dataDxfId="359"/>
    <tableColumn id="181" xr3:uid="{00000000-0010-0000-1200-0000B5000000}" name="Potenzial pos. MW Sommer SFN" dataDxfId="358"/>
    <tableColumn id="180" xr3:uid="{00000000-0010-0000-1200-0000B4000000}" name="Potenzial pos. MW min Sommer SFN" dataDxfId="357"/>
    <tableColumn id="179" xr3:uid="{00000000-0010-0000-1200-0000B3000000}" name="Potenzial pos. MW max Sommer SFN" dataDxfId="356"/>
    <tableColumn id="178" xr3:uid="{00000000-0010-0000-1200-0000B2000000}" name="Potenzial neg. MW Sommer SFN" dataDxfId="355"/>
    <tableColumn id="177" xr3:uid="{00000000-0010-0000-1200-0000B1000000}" name="Potenzial neg. MW min Sommer SFN" dataDxfId="354"/>
    <tableColumn id="176" xr3:uid="{00000000-0010-0000-1200-0000B0000000}" name="Potenzial neg. MW max Sommer SFN" dataDxfId="353"/>
    <tableColumn id="175" xr3:uid="{00000000-0010-0000-1200-0000AF000000}" name="Potenzial pos. MW Übergangszeit WTT" dataDxfId="352"/>
    <tableColumn id="174" xr3:uid="{00000000-0010-0000-1200-0000AE000000}" name="Potenzial pos. MW min Übergangszeit WTT" dataDxfId="351"/>
    <tableColumn id="173" xr3:uid="{00000000-0010-0000-1200-0000AD000000}" name="Potenzial pos. MW max Übergangszeit WTT" dataDxfId="350"/>
    <tableColumn id="172" xr3:uid="{00000000-0010-0000-1200-0000AC000000}" name="Potenzial neg. MW Übergangszeit WTT" dataDxfId="349"/>
    <tableColumn id="171" xr3:uid="{00000000-0010-0000-1200-0000AB000000}" name="Potenzial neg. MW min Übergangszeit WTT" dataDxfId="348"/>
    <tableColumn id="170" xr3:uid="{00000000-0010-0000-1200-0000AA000000}" name="Potenzial neg. MW max Übergangszeit WTT" dataDxfId="347"/>
    <tableColumn id="169" xr3:uid="{00000000-0010-0000-1200-0000A9000000}" name="Potenzial pos. MW Übergangszeit SaT" dataDxfId="346"/>
    <tableColumn id="168" xr3:uid="{00000000-0010-0000-1200-0000A8000000}" name="Potenzial pos. MW min Übergangszeit SaT" dataDxfId="345"/>
    <tableColumn id="167" xr3:uid="{00000000-0010-0000-1200-0000A7000000}" name="Potenzial pos. MW max Übergangszeit SaT" dataDxfId="344"/>
    <tableColumn id="166" xr3:uid="{00000000-0010-0000-1200-0000A6000000}" name="Potenzial neg. MW Übergangszeit SaT" dataDxfId="343"/>
    <tableColumn id="165" xr3:uid="{00000000-0010-0000-1200-0000A5000000}" name="Potenzial neg. MW min Übergangszeit SaT" dataDxfId="342"/>
    <tableColumn id="164" xr3:uid="{00000000-0010-0000-1200-0000A4000000}" name="Potenzial neg. MW max Übergangszeit SaT" dataDxfId="341"/>
    <tableColumn id="163" xr3:uid="{00000000-0010-0000-1200-0000A3000000}" name="Potenzial pos. MW Übergangszeit SFN" dataDxfId="340"/>
    <tableColumn id="162" xr3:uid="{00000000-0010-0000-1200-0000A2000000}" name="Potenzial pos. MW min Übergangszeit SFN" dataDxfId="339"/>
    <tableColumn id="161" xr3:uid="{00000000-0010-0000-1200-0000A1000000}" name="Potenzial pos. MW max Übergangszeit SFN" dataDxfId="338"/>
    <tableColumn id="160" xr3:uid="{00000000-0010-0000-1200-0000A0000000}" name="Potenzial neg. MW Übergangszeit SFN" dataDxfId="337"/>
    <tableColumn id="159" xr3:uid="{00000000-0010-0000-1200-00009F000000}" name="Potenzial neg. MW min Übergangszeit SFN" dataDxfId="336"/>
    <tableColumn id="158" xr3:uid="{00000000-0010-0000-1200-00009E000000}" name="Potenzial neg. MW max Übergangszeit SFN" dataDxfId="335"/>
    <tableColumn id="157" xr3:uid="{00000000-0010-0000-1200-00009D000000}" name="Potenzial pos. MW Winter WTT" dataDxfId="334"/>
    <tableColumn id="156" xr3:uid="{00000000-0010-0000-1200-00009C000000}" name="Potenzial pos. MW min Winter WTT" dataDxfId="333"/>
    <tableColumn id="155" xr3:uid="{00000000-0010-0000-1200-00009B000000}" name="Potenzial pos. MW max Winter WTT" dataDxfId="332"/>
    <tableColumn id="154" xr3:uid="{00000000-0010-0000-1200-00009A000000}" name="Potenzial neg. MW Winter WTT" dataDxfId="331"/>
    <tableColumn id="153" xr3:uid="{00000000-0010-0000-1200-000099000000}" name="Potenzial neg. MW min Winter WTT" dataDxfId="330"/>
    <tableColumn id="152" xr3:uid="{00000000-0010-0000-1200-000098000000}" name="Potenzial neg. MW max Winter WTT" dataDxfId="329"/>
    <tableColumn id="151" xr3:uid="{00000000-0010-0000-1200-000097000000}" name="Potenzial pos. MW Winter SaT" dataDxfId="328"/>
    <tableColumn id="150" xr3:uid="{00000000-0010-0000-1200-000096000000}" name="Potenzial pos. MW min Winter SaT" dataDxfId="327"/>
    <tableColumn id="149" xr3:uid="{00000000-0010-0000-1200-000095000000}" name="Potenzial pos. MW max Winter SaT" dataDxfId="326"/>
    <tableColumn id="148" xr3:uid="{00000000-0010-0000-1200-000094000000}" name="Potenzial neg. MW Winter SaT" dataDxfId="325"/>
    <tableColumn id="147" xr3:uid="{00000000-0010-0000-1200-000093000000}" name="Potenzial neg. MW min Winter SaT" dataDxfId="324"/>
    <tableColumn id="146" xr3:uid="{00000000-0010-0000-1200-000092000000}" name="Potenzial neg. MW max Winter SaT" dataDxfId="323"/>
    <tableColumn id="145" xr3:uid="{00000000-0010-0000-1200-000091000000}" name="Potenzial pos. MW Winter SFN" dataDxfId="322"/>
    <tableColumn id="144" xr3:uid="{00000000-0010-0000-1200-000090000000}" name="Potenzial pos. MW min Winter SFN" dataDxfId="321"/>
    <tableColumn id="143" xr3:uid="{00000000-0010-0000-1200-00008F000000}" name="Potenzial pos. MW max Winter SFN" dataDxfId="320"/>
    <tableColumn id="142" xr3:uid="{00000000-0010-0000-1200-00008E000000}" name="Potenzial neg. MW Winter SFN" dataDxfId="319"/>
    <tableColumn id="141" xr3:uid="{00000000-0010-0000-1200-00008D000000}" name="Potenzial neg. MW min Winter SFN" dataDxfId="318"/>
    <tableColumn id="140" xr3:uid="{00000000-0010-0000-1200-00008C000000}" name="Potenzial neg. MW max Winter SFN" dataDxfId="317"/>
    <tableColumn id="37" xr3:uid="{00000000-0010-0000-1200-000025000000}" name="ausgewiesenes Pot. pos. MW (falls abweichend)" dataDxfId="316"/>
    <tableColumn id="50" xr3:uid="{00000000-0010-0000-1200-000032000000}" name="Potenzial neg. MW Durchschnitt min" dataDxfId="315"/>
    <tableColumn id="41" xr3:uid="{00000000-0010-0000-1200-000029000000}" name="Potenzial neg. MW Durchschnitt" dataDxfId="314"/>
    <tableColumn id="6" xr3:uid="{00000000-0010-0000-1200-000006000000}" name="Potenzial neg. MW Durchschnitt max" dataDxfId="313"/>
    <tableColumn id="195" xr3:uid="{C3613415-B0F6-4BB3-B20A-C980548137E7}" name="Mindestleistung MW durch" dataDxfId="312">
      <calculatedColumnFormula>Tabelle58971121[[#This Row],[Mindestauslastung durch]]*Tabelle58971121[[#This Row],[installierte Leistung MW durch]]</calculatedColumnFormula>
    </tableColumn>
    <tableColumn id="77" xr3:uid="{00000000-0010-0000-1200-00004D000000}" name="Mindestleistung MW min" dataDxfId="311">
      <calculatedColumnFormula>Tabelle58971121[[#This Row],[Mindestauslastung min]]*Tabelle58971121[[#This Row],[installierte Leistung MW min]]</calculatedColumnFormula>
    </tableColumn>
    <tableColumn id="7" xr3:uid="{00000000-0010-0000-1200-000007000000}" name="Mindestleistung MW max" dataDxfId="310">
      <calculatedColumnFormula>Tabelle58971121[[#This Row],[Mindestauslastung max]]*Tabelle58971121[[#This Row],[installierte Leistung MW max]]</calculatedColumnFormula>
    </tableColumn>
    <tableColumn id="194" xr3:uid="{48685272-5A77-4CB0-B45C-17FCAC678772}" name="Mindestauslastung durch" dataDxfId="309" dataCellStyle="Prozent"/>
    <tableColumn id="8" xr3:uid="{00000000-0010-0000-1200-000008000000}" name="Mindestauslastung min" dataDxfId="308" dataCellStyle="Prozent"/>
    <tableColumn id="68" xr3:uid="{00000000-0010-0000-1200-000044000000}" name="Mindestauslastung max" dataDxfId="307" dataCellStyle="Prozent"/>
    <tableColumn id="36" xr3:uid="{00000000-0010-0000-1200-000024000000}" name="flexibilisierbarer Anteil" dataDxfId="306" dataCellStyle="Prozent"/>
    <tableColumn id="116" xr3:uid="{00000000-0010-0000-1200-000074000000}" name="Durchschnittsauslastung durch Sommer WTT" dataDxfId="305" dataCellStyle="Prozent"/>
    <tableColumn id="117" xr3:uid="{00000000-0010-0000-1200-000075000000}" name="Durchschnittsauslastung min Sommer WTT" dataDxfId="304" dataCellStyle="Prozent"/>
    <tableColumn id="118" xr3:uid="{00000000-0010-0000-1200-000076000000}" name="Durchschnittsauslastung max Sommer WTT" dataDxfId="303" dataCellStyle="Prozent"/>
    <tableColumn id="113" xr3:uid="{00000000-0010-0000-1200-000071000000}" name="Durchschnittsauslastung durch Sommer SaT" dataDxfId="302" dataCellStyle="Prozent"/>
    <tableColumn id="114" xr3:uid="{00000000-0010-0000-1200-000072000000}" name="Durchschnittsauslastung min Sommer SaT" dataDxfId="301" dataCellStyle="Prozent"/>
    <tableColumn id="115" xr3:uid="{00000000-0010-0000-1200-000073000000}" name="Durchschnittsauslastung max Sommer SaT" dataDxfId="300" dataCellStyle="Prozent"/>
    <tableColumn id="51" xr3:uid="{00000000-0010-0000-1200-000033000000}" name="Durchschnittsauslastung durch Sommer SFN" dataDxfId="299" dataCellStyle="Prozent"/>
    <tableColumn id="65" xr3:uid="{00000000-0010-0000-1200-000041000000}" name="Durchschnittsauslastung min Sommer SFN" dataDxfId="298" dataCellStyle="Prozent"/>
    <tableColumn id="74" xr3:uid="{00000000-0010-0000-1200-00004A000000}" name="Durchschnittsauslastung max Sommer SFN" dataDxfId="297" dataCellStyle="Prozent"/>
    <tableColumn id="136" xr3:uid="{00000000-0010-0000-1200-000088000000}" name="Durchschnittsauslastung durch Übergangszeit WTT" dataDxfId="296" dataCellStyle="Prozent"/>
    <tableColumn id="135" xr3:uid="{00000000-0010-0000-1200-000087000000}" name="Durchschnittsauslastung min Übergangszeit WTT" dataDxfId="295" dataCellStyle="Prozent"/>
    <tableColumn id="134" xr3:uid="{00000000-0010-0000-1200-000086000000}" name="Durchschnittsauslastung max Übergangszeit WTT" dataDxfId="294" dataCellStyle="Prozent"/>
    <tableColumn id="133" xr3:uid="{00000000-0010-0000-1200-000085000000}" name="Durchschnittsauslastung durch Übergangszeit SaT" dataDxfId="293" dataCellStyle="Prozent"/>
    <tableColumn id="132" xr3:uid="{00000000-0010-0000-1200-000084000000}" name="Durchschnittsauslastung min Übergangszeit SaT" dataDxfId="292" dataCellStyle="Prozent"/>
    <tableColumn id="131" xr3:uid="{00000000-0010-0000-1200-000083000000}" name="Durchschnittsauslastung max Übergangszeit SaT" dataDxfId="291" dataCellStyle="Prozent"/>
    <tableColumn id="130" xr3:uid="{00000000-0010-0000-1200-000082000000}" name="Durchschnittsauslastung durch Übergangszeit SFN" dataDxfId="290" dataCellStyle="Prozent"/>
    <tableColumn id="129" xr3:uid="{00000000-0010-0000-1200-000081000000}" name="Durchschnittsauslastung min Übergangszeit SFN" dataDxfId="289" dataCellStyle="Prozent"/>
    <tableColumn id="128" xr3:uid="{00000000-0010-0000-1200-000080000000}" name="Durchschnittsauslastung max Übergangszeit SFN" dataDxfId="288" dataCellStyle="Prozent"/>
    <tableColumn id="127" xr3:uid="{00000000-0010-0000-1200-00007F000000}" name="Durchschnittsauslastung durch Winter WTT" dataDxfId="287" dataCellStyle="Prozent"/>
    <tableColumn id="126" xr3:uid="{00000000-0010-0000-1200-00007E000000}" name="Durchschnittsauslastung min Winter WTT" dataDxfId="286" dataCellStyle="Prozent"/>
    <tableColumn id="125" xr3:uid="{00000000-0010-0000-1200-00007D000000}" name="Durchschnittsauslastung max Winter WTT" dataDxfId="285" dataCellStyle="Prozent"/>
    <tableColumn id="124" xr3:uid="{00000000-0010-0000-1200-00007C000000}" name="Durchschnittsauslastung durch Winter SaT" dataDxfId="284" dataCellStyle="Prozent"/>
    <tableColumn id="123" xr3:uid="{00000000-0010-0000-1200-00007B000000}" name="Durchschnittsauslastung min Winter SaT" dataDxfId="283" dataCellStyle="Prozent"/>
    <tableColumn id="122" xr3:uid="{00000000-0010-0000-1200-00007A000000}" name="Durchschnittsauslastung max Winter SaT" dataDxfId="282" dataCellStyle="Prozent"/>
    <tableColumn id="121" xr3:uid="{00000000-0010-0000-1200-000079000000}" name="Durchschnittsauslastung durch Winter SFN" dataDxfId="281" dataCellStyle="Prozent"/>
    <tableColumn id="120" xr3:uid="{00000000-0010-0000-1200-000078000000}" name="Durchschnittsauslastung min Winter SFN" dataDxfId="280" dataCellStyle="Prozent"/>
    <tableColumn id="119" xr3:uid="{00000000-0010-0000-1200-000077000000}" name="Durchschnittsauslastung max Winter SFN" dataDxfId="279" dataCellStyle="Prozent"/>
    <tableColumn id="78" xr3:uid="{00000000-0010-0000-1200-00004E000000}" name="Durchschnittsauslastung min" dataDxfId="278" dataCellStyle="Prozent"/>
    <tableColumn id="70" xr3:uid="{00000000-0010-0000-1200-000046000000}" name="Durchschnittsauslastung durch" dataDxfId="277" dataCellStyle="Prozent"/>
    <tableColumn id="71" xr3:uid="{00000000-0010-0000-1200-000047000000}" name="Durchschnittsauslastung max" dataDxfId="276" dataCellStyle="Prozent"/>
    <tableColumn id="80" xr3:uid="{00000000-0010-0000-1200-000050000000}" name="Durchschnittliche Leistung MW min" dataDxfId="275" dataCellStyle="Prozent">
      <calculatedColumnFormula>Tabelle58971121[[#This Row],[Durchschnittsauslastung min]]*Tabelle58971121[[#This Row],[installierte Leistung MW min]]</calculatedColumnFormula>
    </tableColumn>
    <tableColumn id="81" xr3:uid="{00000000-0010-0000-1200-000051000000}" name="Durchschnittliche Leistung MW durch" dataDxfId="274" dataCellStyle="Prozent">
      <calculatedColumnFormula>Tabelle58971121[[#This Row],[Durchschnittsauslastung durch]]*Tabelle58971121[[#This Row],[installierte Leistung MW durch]]</calculatedColumnFormula>
    </tableColumn>
    <tableColumn id="44" xr3:uid="{00000000-0010-0000-1200-00002C000000}" name="Durchschnittliche Leistung MW max" dataDxfId="273" dataCellStyle="Prozent">
      <calculatedColumnFormula>Tabelle58971121[[#This Row],[Durchschnittsauslastung max]]*Tabelle58971121[[#This Row],[installierte Leistung MW max]]</calculatedColumnFormula>
    </tableColumn>
    <tableColumn id="83" xr3:uid="{00000000-0010-0000-1200-000053000000}" name="Maximalleistung MW min" dataDxfId="272" dataCellStyle="Prozent">
      <calculatedColumnFormula>#REF!*Tabelle58971121[[#This Row],[installierte Leistung MW min]]</calculatedColumnFormula>
    </tableColumn>
    <tableColumn id="82" xr3:uid="{00000000-0010-0000-1200-000052000000}" name="Maximalleistung MW durch" dataDxfId="271" dataCellStyle="Prozent">
      <calculatedColumnFormula>Tabelle58971121[[#This Row],[Maximalauslastung durch]]*Tabelle58971121[[#This Row],[installierte Leistung MW durch]]</calculatedColumnFormula>
    </tableColumn>
    <tableColumn id="9" xr3:uid="{00000000-0010-0000-1200-000009000000}" name="Maximalleistung MW max" dataDxfId="270">
      <calculatedColumnFormula>Tabelle58971121[[#This Row],[Maximalauslastung max]]*Tabelle58971121[[#This Row],[installierte Leistung MW durch]]</calculatedColumnFormula>
    </tableColumn>
    <tableColumn id="75" xr3:uid="{00000000-0010-0000-1200-00004B000000}" name="Maximalauslastung durch" dataDxfId="269"/>
    <tableColumn id="196" xr3:uid="{3D8C49AD-BA64-4B61-AD02-C4220A8D0DE3}" name="Maximalauslastung min" dataDxfId="268" dataCellStyle="Prozent"/>
    <tableColumn id="46" xr3:uid="{00000000-0010-0000-1200-00002E000000}" name="Maximalauslastung max" dataDxfId="267" dataCellStyle="Prozent"/>
    <tableColumn id="17" xr3:uid="{00000000-0010-0000-1200-000011000000}" name="installierte Leistung MW durch" dataDxfId="266" dataCellStyle="Prozent"/>
    <tableColumn id="72" xr3:uid="{00000000-0010-0000-1200-000048000000}" name="installierte Leistung MW min" dataDxfId="265" dataCellStyle="Prozent"/>
    <tableColumn id="73" xr3:uid="{00000000-0010-0000-1200-000049000000}" name="installierte Leistung MW max" dataDxfId="264"/>
    <tableColumn id="85" xr3:uid="{00000000-0010-0000-1200-000055000000}" name="Aktivierungsdauer (h) pos durch" dataDxfId="263"/>
    <tableColumn id="84" xr3:uid="{00000000-0010-0000-1200-000054000000}" name="Aktivierungsdauer (h) pos min" dataDxfId="262"/>
    <tableColumn id="11" xr3:uid="{00000000-0010-0000-1200-00000B000000}" name="Aktivierungsdauer (h) pos max" dataDxfId="261"/>
    <tableColumn id="89" xr3:uid="{00000000-0010-0000-1200-000059000000}" name="Aktivierungsdauer (h) neg durch" dataDxfId="260"/>
    <tableColumn id="88" xr3:uid="{00000000-0010-0000-1200-000058000000}" name="Aktivierungsdauer (h) neg min" dataDxfId="259"/>
    <tableColumn id="87" xr3:uid="{00000000-0010-0000-1200-000057000000}" name="Aktivierungsdauer (h) neg max" dataDxfId="258"/>
    <tableColumn id="86" xr3:uid="{00000000-0010-0000-1200-000056000000}" name="Schaltdauer pos. (h)" dataDxfId="257"/>
    <tableColumn id="61" xr3:uid="{00000000-0010-0000-1200-00003D000000}" name="Schaltdauer pos. min (h)" dataDxfId="256"/>
    <tableColumn id="60" xr3:uid="{00000000-0010-0000-1200-00003C000000}" name="Schaltdauer pos. max (h)" dataDxfId="255"/>
    <tableColumn id="90" xr3:uid="{00000000-0010-0000-1200-00005A000000}" name="Schaltdauer neg. (h)" dataDxfId="254"/>
    <tableColumn id="63" xr3:uid="{00000000-0010-0000-1200-00003F000000}" name="Schaltdauer neg min (h)" dataDxfId="253"/>
    <tableColumn id="62" xr3:uid="{00000000-0010-0000-1200-00003E000000}" name="Schaltdauer neg. max (h)" dataDxfId="252"/>
    <tableColumn id="91" xr3:uid="{00000000-0010-0000-1200-00005B000000}" name="Verschiebedauer (h)" dataDxfId="251"/>
    <tableColumn id="42" xr3:uid="{00000000-0010-0000-1200-00002A000000}" name="Verschiebedauer min. (h)" dataDxfId="250"/>
    <tableColumn id="4" xr3:uid="{00000000-0010-0000-1200-000004000000}" name="Verschiebedauer max (h)" dataDxfId="249"/>
    <tableColumn id="13" xr3:uid="{00000000-0010-0000-1200-00000D000000}" name="Verschiebedauer bei sofortiger Kompensation (h)" dataDxfId="248"/>
    <tableColumn id="93" xr3:uid="{00000000-0010-0000-1200-00005D000000}" name="Verschiebedauer bei sofortiger Kompensation (h) min" dataDxfId="247"/>
    <tableColumn id="92" xr3:uid="{00000000-0010-0000-1200-00005C000000}" name="Verschiebedauer bei sofortiger Kompensation (h) max" dataDxfId="246"/>
    <tableColumn id="14" xr3:uid="{00000000-0010-0000-1200-00000E000000}" name="Regenerationsdauer (h)" dataDxfId="245"/>
    <tableColumn id="15" xr3:uid="{00000000-0010-0000-1200-00000F000000}" name="Zeitverfügbarkeit?" dataDxfId="244"/>
    <tableColumn id="16" xr3:uid="{00000000-0010-0000-1200-000010000000}" name="max. Abrufhäufigkeit pro Woche" dataDxfId="243"/>
    <tableColumn id="40" xr3:uid="{00000000-0010-0000-1200-000028000000}" name="max. Abrufhäufigkeit pro Jahr pos durch" dataDxfId="242"/>
    <tableColumn id="95" xr3:uid="{00000000-0010-0000-1200-00005F000000}" name="max. Abrufhäufigkeit pro Jahr pos min" dataDxfId="241"/>
    <tableColumn id="94" xr3:uid="{00000000-0010-0000-1200-00005E000000}" name="max. Abrufhäufigkeit pro Jahr pos max" dataDxfId="240"/>
    <tableColumn id="96" xr3:uid="{00000000-0010-0000-1200-000060000000}" name="max. Abrufhäufigkeit pro Jahr pos Lastverzicht durch" dataDxfId="239"/>
    <tableColumn id="97" xr3:uid="{00000000-0010-0000-1200-000061000000}" name="max. Abrufhäufigkeit pro Jahr pos Lastverzicht min" dataDxfId="238"/>
    <tableColumn id="98" xr3:uid="{00000000-0010-0000-1200-000062000000}" name="max. Abrufhäufigkeit pro Jahr pos Lastverzicht max" dataDxfId="237"/>
    <tableColumn id="99" xr3:uid="{00000000-0010-0000-1200-000063000000}" name="max. Abrufhäufigkeit pro Jahr neg durch" dataDxfId="236"/>
    <tableColumn id="100" xr3:uid="{00000000-0010-0000-1200-000064000000}" name="max. Abrufhäufigkeit pro Jahr neg min" dataDxfId="235"/>
    <tableColumn id="101" xr3:uid="{00000000-0010-0000-1200-000065000000}" name="max. Abrufhäufigkeit pro Jahr neg max" dataDxfId="234"/>
    <tableColumn id="102" xr3:uid="{00000000-0010-0000-1200-000066000000}" name="Investitionsausgaben €_2018/kW" dataDxfId="233"/>
    <tableColumn id="57" xr3:uid="{00000000-0010-0000-1200-000039000000}" name="min. Investitionsausgaben €_2018/kW" dataDxfId="232"/>
    <tableColumn id="56" xr3:uid="{00000000-0010-0000-1200-000038000000}" name="max. Investitionsausgaben €_2018/kW" dataDxfId="231"/>
    <tableColumn id="104" xr3:uid="{00000000-0010-0000-1200-000068000000}" name="var. Kosten Lastverschiebung €_2018/MWh" dataDxfId="230"/>
    <tableColumn id="59" xr3:uid="{00000000-0010-0000-1200-00003B000000}" name="var. Kosten Lastverschiebung €_2018/MWh min" dataDxfId="229"/>
    <tableColumn id="58" xr3:uid="{00000000-0010-0000-1200-00003A000000}" name="var. Kosten Lastverschiebung €_2018/MWh max" dataDxfId="228"/>
    <tableColumn id="107" xr3:uid="{00000000-0010-0000-1200-00006B000000}" name="var. Kosten Lastabwurf €_2018/MWh" dataDxfId="227"/>
    <tableColumn id="106" xr3:uid="{00000000-0010-0000-1200-00006A000000}" name="var. Kosten Lastabwurf €_2018/MWh min" dataDxfId="226"/>
    <tableColumn id="105" xr3:uid="{00000000-0010-0000-1200-000069000000}" name="var. Kosten Lastabwurf €_2018/MWh max" dataDxfId="225"/>
    <tableColumn id="112" xr3:uid="{00000000-0010-0000-1200-000070000000}" name="c_Ber_RL_pos durch €/MW*d" dataDxfId="224"/>
    <tableColumn id="111" xr3:uid="{00000000-0010-0000-1200-00006F000000}" name="c_Ber_RL_pos €/MW*d min" dataDxfId="223"/>
    <tableColumn id="110" xr3:uid="{00000000-0010-0000-1200-00006E000000}" name="c_Ber_RL_pos €/MW*d max" dataDxfId="222"/>
    <tableColumn id="109" xr3:uid="{00000000-0010-0000-1200-00006D000000}" name="c_Ber_RL_neg €/MW*d" dataDxfId="221"/>
    <tableColumn id="108" xr3:uid="{00000000-0010-0000-1200-00006C000000}" name="c_Ber_RL_neg €/MW*d min" dataDxfId="220"/>
    <tableColumn id="18" xr3:uid="{00000000-0010-0000-1200-000012000000}" name="c_Ber_RL_neg €/MW*d max" dataDxfId="219"/>
    <tableColumn id="103" xr3:uid="{00000000-0010-0000-1200-000067000000}" name="fixe Kosten €_2018/kW*a" dataDxfId="218"/>
    <tableColumn id="64" xr3:uid="{00000000-0010-0000-1200-000040000000}" name="fixe Kosten €_2018/kW*a min" dataDxfId="217"/>
    <tableColumn id="19" xr3:uid="{00000000-0010-0000-1200-000013000000}" name="fixe Kosten €_2018/kW*a max" dataDxfId="216"/>
    <tableColumn id="48" xr3:uid="{00000000-0010-0000-1200-000030000000}" name="Investitionsausgaben je Anschlusspunkt (€_2018)" dataDxfId="215">
      <calculatedColumnFormula>Tabelle58971121[[#This Row],[fixe Kosten €_2018/kW*a]]*Umrechnungsfaktoren!$B$15/Umrechnungsfaktoren!$B$14</calculatedColumnFormula>
    </tableColumn>
    <tableColumn id="20" xr3:uid="{00000000-0010-0000-1200-000014000000}" name="Bemerkungen" dataDxfId="214"/>
    <tableColumn id="55" xr3:uid="{00000000-0010-0000-1200-000037000000}" name="Fundstelle Lastverschiebung" dataDxfId="213"/>
    <tableColumn id="54" xr3:uid="{00000000-0010-0000-1200-000036000000}" name="Fundstelle Lastverzicht" dataDxfId="212"/>
    <tableColumn id="138" xr3:uid="{00000000-0010-0000-1200-00008A000000}" name="Fundstelle Lasterhöhung" dataDxfId="211"/>
    <tableColumn id="21" xr3:uid="{00000000-0010-0000-1200-000015000000}" name="Fundstelle Potenzial pos." dataDxfId="210"/>
    <tableColumn id="22" xr3:uid="{00000000-0010-0000-1200-000016000000}" name="Fundstelle Potenzial neg." dataDxfId="209"/>
    <tableColumn id="23" xr3:uid="{00000000-0010-0000-1200-000017000000}" name="Fundstelle Mindestleistung" dataDxfId="208"/>
    <tableColumn id="43" xr3:uid="{00000000-0010-0000-1200-00002B000000}" name="Fundstelle flexibilisierbarer Anteil" dataDxfId="207"/>
    <tableColumn id="66" xr3:uid="{00000000-0010-0000-1200-000042000000}" name="Fundstelle Durchschnittsauslastung" dataDxfId="206"/>
    <tableColumn id="45" xr3:uid="{00000000-0010-0000-1200-00002D000000}" name="Fundstelle durchschnittliche Leistung" dataDxfId="205"/>
    <tableColumn id="24" xr3:uid="{00000000-0010-0000-1200-000018000000}" name="Fundstelle Maximalleistung" dataDxfId="204"/>
    <tableColumn id="25" xr3:uid="{00000000-0010-0000-1200-000019000000}" name="Fundstelle installierte Leistung" dataDxfId="203"/>
    <tableColumn id="39" xr3:uid="{00000000-0010-0000-1200-000027000000}" name="Fundstelle Aktivierungsdauer" dataDxfId="202"/>
    <tableColumn id="26" xr3:uid="{00000000-0010-0000-1200-00001A000000}" name="Fundstelle Schaltdauer" dataDxfId="201"/>
    <tableColumn id="27" xr3:uid="{00000000-0010-0000-1200-00001B000000}" name="Fundstelle Verschiebedauer" dataDxfId="200"/>
    <tableColumn id="28" xr3:uid="{00000000-0010-0000-1200-00001C000000}" name="Fundstelle Regenerationsdauer" dataDxfId="199"/>
    <tableColumn id="29" xr3:uid="{00000000-0010-0000-1200-00001D000000}" name="Fundstelle Zeitverfügbarkeit" dataDxfId="198"/>
    <tableColumn id="30" xr3:uid="{00000000-0010-0000-1200-00001E000000}" name="Fundstelle max. Abrufhäufigkeit" dataDxfId="197"/>
    <tableColumn id="31" xr3:uid="{00000000-0010-0000-1200-00001F000000}" name="Fundstelle Invest" dataDxfId="196"/>
    <tableColumn id="32" xr3:uid="{00000000-0010-0000-1200-000020000000}" name="Fundstelle var. Kosten" dataDxfId="195"/>
    <tableColumn id="33" xr3:uid="{00000000-0010-0000-1200-000021000000}" name="Fundstelle fixe Kosten" dataDxfId="194"/>
    <tableColumn id="49" xr3:uid="{00000000-0010-0000-1200-000031000000}" name="Fundstelle Investition je Anschlusspunkt" dataDxfId="193"/>
    <tableColumn id="34" xr3:uid="{00000000-0010-0000-1200-000022000000}" name="Fundstelle Bemerkungen" dataDxfId="192"/>
    <tableColumn id="35" xr3:uid="{00000000-0010-0000-1200-000023000000}" name="eigene Anmerkung" dataDxfId="191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elle5897111431" displayName="Tabelle5897111431" ref="A1:BR55" totalsRowShown="0" headerRowDxfId="190" dataDxfId="189" tableBorderDxfId="188">
  <autoFilter ref="A1:BR55" xr:uid="{00000000-0009-0000-0100-00001E000000}"/>
  <tableColumns count="70">
    <tableColumn id="1" xr3:uid="{00000000-0010-0000-1A00-000001000000}" name="Prozess" dataDxfId="187"/>
    <tableColumn id="47" xr3:uid="{00000000-0010-0000-1A00-00002F000000}" name="Sektorenzuordnung" dataDxfId="186"/>
    <tableColumn id="2" xr3:uid="{00000000-0010-0000-1A00-000002000000}" name="Jahr" dataDxfId="185"/>
    <tableColumn id="52" xr3:uid="{00000000-0010-0000-1A00-000034000000}" name="Lastverschiebung" dataDxfId="184"/>
    <tableColumn id="53" xr3:uid="{00000000-0010-0000-1A00-000035000000}" name="Lastverzicht" dataDxfId="183"/>
    <tableColumn id="3" xr3:uid="{00000000-0010-0000-1A00-000003000000}" name="Potenzial pos. min MW" dataDxfId="182"/>
    <tableColumn id="38" xr3:uid="{00000000-0010-0000-1A00-000026000000}" name="Potenzial pos. MW Durchschnitt" dataDxfId="181"/>
    <tableColumn id="5" xr3:uid="{00000000-0010-0000-1A00-000005000000}" name="Potenzial pos. Sommer MW" dataDxfId="180"/>
    <tableColumn id="68" xr3:uid="{88EA48BC-D464-4E06-B82C-963723BA6B98}" name="Potenzial pos. Winter MW" dataDxfId="179"/>
    <tableColumn id="70" xr3:uid="{447AD4C7-8E89-478E-B97D-DCEE39EBEDFD}" name="Potenzial neg. Sommer MW" dataDxfId="178"/>
    <tableColumn id="69" xr3:uid="{C288EE63-BCB8-4D75-8A73-A3BC4D47AF08}" name="Potenzial neg. Winter MW" dataDxfId="177"/>
    <tableColumn id="37" xr3:uid="{00000000-0010-0000-1A00-000025000000}" name="ausgewiesenes Pot. pos. MW (falls abweichend)" dataDxfId="176"/>
    <tableColumn id="50" xr3:uid="{00000000-0010-0000-1A00-000032000000}" name="Potenzial neg. min MW" dataDxfId="175"/>
    <tableColumn id="41" xr3:uid="{00000000-0010-0000-1A00-000029000000}" name="Potenzial neg. MW Durchschnitt" dataDxfId="174"/>
    <tableColumn id="6" xr3:uid="{00000000-0010-0000-1A00-000006000000}" name="Potenzial neg. max MW" dataDxfId="173"/>
    <tableColumn id="7" xr3:uid="{00000000-0010-0000-1A00-000007000000}" name="Mindestleistung MW" dataDxfId="172"/>
    <tableColumn id="8" xr3:uid="{00000000-0010-0000-1A00-000008000000}" name="Mindestauslastung" dataDxfId="171" dataCellStyle="Prozent"/>
    <tableColumn id="36" xr3:uid="{00000000-0010-0000-1A00-000024000000}" name="flexibilisierbarer Anteil" dataDxfId="170" dataCellStyle="Prozent"/>
    <tableColumn id="67" xr3:uid="{00000000-0010-0000-1A00-000043000000}" name="flexibilisierbarer Anteil an Durchschnittslast" dataDxfId="169" dataCellStyle="Prozent"/>
    <tableColumn id="65" xr3:uid="{00000000-0010-0000-1A00-000041000000}" name="Durchschnittsauslastung" dataDxfId="168" dataCellStyle="Prozent"/>
    <tableColumn id="44" xr3:uid="{00000000-0010-0000-1A00-00002C000000}" name="Durchschnittliche Leistung MW" dataDxfId="167" dataCellStyle="Prozent"/>
    <tableColumn id="9" xr3:uid="{00000000-0010-0000-1A00-000009000000}" name="Maximalleistung MW" dataDxfId="166"/>
    <tableColumn id="46" xr3:uid="{00000000-0010-0000-1A00-00002E000000}" name="Maximalauslastung" dataDxfId="165" dataCellStyle="Prozent"/>
    <tableColumn id="10" xr3:uid="{00000000-0010-0000-1A00-00000A000000}" name="installierte Leistung MW" dataDxfId="164"/>
    <tableColumn id="11" xr3:uid="{00000000-0010-0000-1A00-00000B000000}" name="Aktivierungsdauer (h)" dataDxfId="163"/>
    <tableColumn id="61" xr3:uid="{00000000-0010-0000-1A00-00003D000000}" name="Schaltdauer pos. Min (h)" dataDxfId="162"/>
    <tableColumn id="60" xr3:uid="{00000000-0010-0000-1A00-00003C000000}" name="Schaltdauer pos. max (h)" dataDxfId="161"/>
    <tableColumn id="12" xr3:uid="{00000000-0010-0000-1A00-00000C000000}" name="Schaltdauer pos. (h)" dataDxfId="160"/>
    <tableColumn id="63" xr3:uid="{00000000-0010-0000-1A00-00003F000000}" name="Schaltdauer neg min (h)" dataDxfId="159"/>
    <tableColumn id="62" xr3:uid="{00000000-0010-0000-1A00-00003E000000}" name="Schaltdauer neg. max (h)" dataDxfId="158"/>
    <tableColumn id="51" xr3:uid="{00000000-0010-0000-1A00-000033000000}" name="Schaltdauer neg. (h)" dataDxfId="157"/>
    <tableColumn id="42" xr3:uid="{00000000-0010-0000-1A00-00002A000000}" name="Verschiebedauer min. (h)" dataDxfId="156"/>
    <tableColumn id="4" xr3:uid="{00000000-0010-0000-1A00-000004000000}" name="Verschiebedauer max (h)" dataDxfId="155"/>
    <tableColumn id="13" xr3:uid="{00000000-0010-0000-1A00-00000D000000}" name="Verschiebedauer (h)" dataDxfId="154"/>
    <tableColumn id="14" xr3:uid="{00000000-0010-0000-1A00-00000E000000}" name="Regenerationsdauer (h)" dataDxfId="153"/>
    <tableColumn id="15" xr3:uid="{00000000-0010-0000-1A00-00000F000000}" name="Zeitverfügbarkeit?" dataDxfId="152"/>
    <tableColumn id="16" xr3:uid="{00000000-0010-0000-1A00-000010000000}" name="max. Abrufhäufigkeit pro Woche" dataDxfId="151"/>
    <tableColumn id="40" xr3:uid="{00000000-0010-0000-1A00-000028000000}" name="max. Abrufhäufigkeit pro Jahr" dataDxfId="150"/>
    <tableColumn id="57" xr3:uid="{00000000-0010-0000-1A00-000039000000}" name="min. Investitionsausgaben €_2018/kW" dataDxfId="149"/>
    <tableColumn id="56" xr3:uid="{00000000-0010-0000-1A00-000038000000}" name="max. Investitionsausgaben €_2018/kW" dataDxfId="148"/>
    <tableColumn id="17" xr3:uid="{00000000-0010-0000-1A00-000011000000}" name="Investitionsausgaben €_2018/kW" dataDxfId="147"/>
    <tableColumn id="59" xr3:uid="{00000000-0010-0000-1A00-00003B000000}" name="var. Kosten min. €_2018/MWh" dataDxfId="146"/>
    <tableColumn id="58" xr3:uid="{00000000-0010-0000-1A00-00003A000000}" name="var. Kosten max. €_2018/MWh" dataDxfId="145"/>
    <tableColumn id="18" xr3:uid="{00000000-0010-0000-1A00-000012000000}" name="variable Kosten €_2018/MWh" dataDxfId="144"/>
    <tableColumn id="64" xr3:uid="{00000000-0010-0000-1A00-000040000000}" name="fixe Kosten min. €_2018/kW*a" dataDxfId="143"/>
    <tableColumn id="19" xr3:uid="{00000000-0010-0000-1A00-000013000000}" name="fixe Kosten €_2018/kW*a" dataDxfId="142"/>
    <tableColumn id="48" xr3:uid="{00000000-0010-0000-1A00-000030000000}" name="Investitionsausgaben je Anschlusspunkt (€_2018)" dataDxfId="141"/>
    <tableColumn id="20" xr3:uid="{00000000-0010-0000-1A00-000014000000}" name="Bemerkungen" dataDxfId="140"/>
    <tableColumn id="55" xr3:uid="{00000000-0010-0000-1A00-000037000000}" name="Fundstelle Lastverschiebung" dataDxfId="139"/>
    <tableColumn id="54" xr3:uid="{00000000-0010-0000-1A00-000036000000}" name="Fundstelle Lastverzicht" dataDxfId="138"/>
    <tableColumn id="21" xr3:uid="{00000000-0010-0000-1A00-000015000000}" name="Fundstelle Potenzial pos." dataDxfId="137"/>
    <tableColumn id="22" xr3:uid="{00000000-0010-0000-1A00-000016000000}" name="Fundstelle Potenzial neg." dataDxfId="136"/>
    <tableColumn id="23" xr3:uid="{00000000-0010-0000-1A00-000017000000}" name="Fundstelle Mindestleistung" dataDxfId="135"/>
    <tableColumn id="43" xr3:uid="{00000000-0010-0000-1A00-00002B000000}" name="Funstelle flexibierbarer Anteil" dataDxfId="134"/>
    <tableColumn id="66" xr3:uid="{00000000-0010-0000-1A00-000042000000}" name="Fundstelle Durchschnittsauslastung" dataDxfId="133"/>
    <tableColumn id="45" xr3:uid="{00000000-0010-0000-1A00-00002D000000}" name="Fundstelle durchschnittliche Leistung" dataDxfId="132"/>
    <tableColumn id="24" xr3:uid="{00000000-0010-0000-1A00-000018000000}" name="Fundstelle Maximalleistung" dataDxfId="131"/>
    <tableColumn id="25" xr3:uid="{00000000-0010-0000-1A00-000019000000}" name="Fundstelle installierte Leistung" dataDxfId="130"/>
    <tableColumn id="39" xr3:uid="{00000000-0010-0000-1A00-000027000000}" name="Fundstelle Aktivierungsdauer" dataDxfId="129"/>
    <tableColumn id="26" xr3:uid="{00000000-0010-0000-1A00-00001A000000}" name="Fundstelle Schaltdauer" dataDxfId="128"/>
    <tableColumn id="27" xr3:uid="{00000000-0010-0000-1A00-00001B000000}" name="Fundstelle Verschiebedauer" dataDxfId="127"/>
    <tableColumn id="28" xr3:uid="{00000000-0010-0000-1A00-00001C000000}" name="Fundstelle Regenerationsdauer" dataDxfId="126"/>
    <tableColumn id="29" xr3:uid="{00000000-0010-0000-1A00-00001D000000}" name="Fundstelle Zeitverfügbarkeit" dataDxfId="125"/>
    <tableColumn id="30" xr3:uid="{00000000-0010-0000-1A00-00001E000000}" name="Fundstelle max. Abrufhäufigkeit" dataDxfId="124"/>
    <tableColumn id="31" xr3:uid="{00000000-0010-0000-1A00-00001F000000}" name="Fundstelle Invest" dataDxfId="123"/>
    <tableColumn id="32" xr3:uid="{00000000-0010-0000-1A00-000020000000}" name="Fundstelle var. Kosten" dataDxfId="122"/>
    <tableColumn id="33" xr3:uid="{00000000-0010-0000-1A00-000021000000}" name="Fundstelle fixe Kosten" dataDxfId="121"/>
    <tableColumn id="49" xr3:uid="{00000000-0010-0000-1A00-000031000000}" name="Fundstelle Investition je Anschlusspunkt" dataDxfId="120"/>
    <tableColumn id="34" xr3:uid="{00000000-0010-0000-1A00-000022000000}" name="Fundstelle Bemerkungen" dataDxfId="119"/>
    <tableColumn id="35" xr3:uid="{00000000-0010-0000-1A00-000023000000}" name="eigene Anmerkung" dataDxfId="1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C89634-FF47-4F6C-85DF-7B5B00E64E21}" name="Tabelle58971114292527" displayName="Tabelle58971114292527" ref="A1:BT8" totalsRowShown="0" headerRowDxfId="2054" dataDxfId="2053" tableBorderDxfId="2052">
  <autoFilter ref="A1:BT8" xr:uid="{969830D3-1457-42BF-A753-56689B819B1C}"/>
  <tableColumns count="72">
    <tableColumn id="1" xr3:uid="{CA1E1AB6-62F6-470F-874C-55730E64F8A5}" name="Prozess" dataDxfId="2051"/>
    <tableColumn id="47" xr3:uid="{D548DFD0-6355-4B25-A3B6-02026427F3F7}" name="Sektorenzuordnung" dataDxfId="2050"/>
    <tableColumn id="2" xr3:uid="{5EDAA91A-A957-434E-8582-8F64AEBEA107}" name="Jahr" dataDxfId="2049"/>
    <tableColumn id="52" xr3:uid="{769C3597-9632-484A-8EA2-1E78DB2C8428}" name="Lastverschiebung" dataDxfId="2048"/>
    <tableColumn id="53" xr3:uid="{8776FB67-8AD2-48E3-A1B6-1068BBD3E779}" name="Lastverzicht" dataDxfId="2047"/>
    <tableColumn id="68" xr3:uid="{431FC835-40E1-4B90-9588-1637E1526982}" name="Lasterhöhung" dataDxfId="2046"/>
    <tableColumn id="71" xr3:uid="{37940876-B794-45F6-9504-4681C6441180}" name="Stromverbrauch in TWh" dataDxfId="2045">
      <calculatedColumnFormula>0.46+5.27</calculatedColumnFormula>
    </tableColumn>
    <tableColumn id="3" xr3:uid="{387AB921-56A1-4B87-9143-2F9D2028707A}" name="Potenzial pos. min MW" dataDxfId="2044"/>
    <tableColumn id="38" xr3:uid="{795AF7A2-926B-4CD0-B597-E280DD3E988D}" name="Potenzial pos. MW Durchschnitt" dataDxfId="2043"/>
    <tableColumn id="5" xr3:uid="{F41A3D94-8C4E-43AB-9A62-CE93B41B4355}" name="Potenzial pos. max MW" dataDxfId="2042"/>
    <tableColumn id="69" xr3:uid="{07DEF50B-B9AB-47FA-9DD6-49C7AD5F8FF2}" name="Potenzial pos. max GWh" dataDxfId="2041"/>
    <tableColumn id="37" xr3:uid="{0D5AAA95-CAB7-4BFD-860C-FE48264EDB1C}" name="ausgewiesenes Pot. pos. MW (falls abweichend)" dataDxfId="2040"/>
    <tableColumn id="50" xr3:uid="{5A97A3A7-99A9-4067-9F3C-CCF83A4E0694}" name="Potenzial neg. min MW" dataDxfId="2039"/>
    <tableColumn id="41" xr3:uid="{65137A8C-1912-477A-A2DB-99FAE3720E3F}" name="Potenzial neg. MW Durchschnitt" dataDxfId="2038"/>
    <tableColumn id="6" xr3:uid="{AF055E5C-45AE-40E2-8B4B-7DE02E76B147}" name="Potenzial neg. max MW" dataDxfId="2037"/>
    <tableColumn id="70" xr3:uid="{2C851849-898B-4457-93EB-6EE7AE97A844}" name="Potenzial neg. max GWh" dataDxfId="2036"/>
    <tableColumn id="7" xr3:uid="{537FD820-367F-4D37-BC31-8816673BB2D3}" name="Mindestleistung MW" dataDxfId="2035"/>
    <tableColumn id="8" xr3:uid="{379D6B81-27B6-4940-BC3F-E36DF52F067D}" name="Mindestauslastung" dataDxfId="2034" dataCellStyle="Prozent"/>
    <tableColumn id="36" xr3:uid="{616A6786-9004-4564-AA95-A1C184F5EAE8}" name="flexibilisierbarer Anteil" dataDxfId="2033" dataCellStyle="Prozent"/>
    <tableColumn id="67" xr3:uid="{1893C0CF-D6D8-4F24-A901-A07ED31A7422}" name="flexibilisierbarer Anteil an Durchschnittslast" dataDxfId="2032" dataCellStyle="Prozent"/>
    <tableColumn id="72" xr3:uid="{3727EDE4-0381-4D52-82E1-200098A11358}" name="Vollbenutzungsstunden h/a" dataDxfId="2031" dataCellStyle="Prozent">
      <calculatedColumnFormula>IF(AND(Tabelle58971114292527[[#This Row],[Stromverbrauch in TWh]]&lt;&gt;"",Tabelle58971114292527[[#This Row],[Maximalleistung MW]]&lt;&gt;""),Tabelle58971114292527[[#This Row],[Stromverbrauch in TWh]]*10^6/Tabelle58971114292527[[#This Row],[Maximalleistung MW]],"")</calculatedColumnFormula>
    </tableColumn>
    <tableColumn id="65" xr3:uid="{FB696937-A898-40F5-B890-A2845E23B87F}" name="Durchschnittsauslastung" dataDxfId="2030" dataCellStyle="Prozent">
      <calculatedColumnFormula>IF(Tabelle58971114292527[[#This Row],[Vollbenutzungsstunden h/a]]&lt;&gt;"",Tabelle58971114292527[[#This Row],[Vollbenutzungsstunden h/a]]/8760,"")</calculatedColumnFormula>
    </tableColumn>
    <tableColumn id="44" xr3:uid="{0F9C1D4E-5204-4FF4-B8B1-7742AF68B80D}" name="Durchschnittliche Leistung MW" dataDxfId="2029" dataCellStyle="Prozent">
      <calculatedColumnFormula>Tabelle58971114292527[[#This Row],[Durchschnittsauslastung]]*Tabelle58971114292527[[#This Row],[installierte Leistung MW]]</calculatedColumnFormula>
    </tableColumn>
    <tableColumn id="9" xr3:uid="{15ACA225-E050-4F91-BD72-4B596B1CAE33}" name="Maximalleistung MW" dataDxfId="2028"/>
    <tableColumn id="46" xr3:uid="{167F4269-661D-458F-9C8A-60F51FA5637E}" name="Maximalauslastung" dataDxfId="2027" dataCellStyle="Prozent"/>
    <tableColumn id="10" xr3:uid="{28E2B3D7-0652-4CDB-9BBD-AEE2236BFF12}" name="installierte Leistung MW" dataDxfId="2026"/>
    <tableColumn id="11" xr3:uid="{6120BF55-C551-4D66-BF45-C97BCCB3D8E3}" name="Aktivierungsdauer (h)" dataDxfId="2025"/>
    <tableColumn id="61" xr3:uid="{30F86840-1D49-4A8B-8BE0-6F292D9A935B}" name="Schaltdauer pos. min (h)" dataDxfId="2024"/>
    <tableColumn id="60" xr3:uid="{2BB656B5-E06F-49D7-83FE-D0ADF02BFDB8}" name="Schaltdauer pos. max (h)" dataDxfId="2023"/>
    <tableColumn id="12" xr3:uid="{F9FFB5E2-F343-4677-8158-739A7976468E}" name="Schaltdauer pos. (h)" dataDxfId="2022"/>
    <tableColumn id="63" xr3:uid="{3E527641-D3AA-4242-A201-8EF05BBC5E30}" name="Schaltdauer neg min (h)" dataDxfId="2021"/>
    <tableColumn id="62" xr3:uid="{5BA7A08F-7218-4430-9EDC-EEA2CF614B97}" name="Schaltdauer neg. max (h)" dataDxfId="2020"/>
    <tableColumn id="51" xr3:uid="{EE84592B-2BD7-4ADE-A1D0-A6D910B30CAD}" name="Schaltdauer neg. (h)" dataDxfId="2019"/>
    <tableColumn id="42" xr3:uid="{29A14921-9943-4415-8813-D0A7B93E5BAB}" name="Verschiebedauer min. (h)" dataDxfId="2018"/>
    <tableColumn id="4" xr3:uid="{6C8DD161-A375-4677-A7F0-8660854A35CA}" name="Verschiebedauer max (h)" dataDxfId="2017"/>
    <tableColumn id="13" xr3:uid="{5224B032-513B-4EE8-BA25-CE707584CC6F}" name="Verschiebedauer (h)" dataDxfId="2016"/>
    <tableColumn id="14" xr3:uid="{117F2E20-3D74-42BF-8D9F-AA2810B9D02F}" name="Regenerationsdauer (h)" dataDxfId="2015"/>
    <tableColumn id="15" xr3:uid="{B765EDF5-BD0D-456E-9752-AD16EB55FCE3}" name="Zeitverfügbarkeit?" dataDxfId="2014"/>
    <tableColumn id="16" xr3:uid="{14F3534B-051E-4ABF-997C-9EBBDDD39837}" name="max. Abrufhäufigkeit pro Woche" dataDxfId="2013"/>
    <tableColumn id="40" xr3:uid="{9DE0E175-FF0F-48EA-9709-28AF04E8D3B9}" name="max. Abrufhäufigkeit pro Jahr" dataDxfId="2012"/>
    <tableColumn id="57" xr3:uid="{49FC2D2E-F4F6-4F5B-94C7-55780DA72171}" name="min. Investitionsausgaben €_2018/kW" dataDxfId="2011"/>
    <tableColumn id="56" xr3:uid="{1298A0DF-909A-4329-8128-5784936F365D}" name="max. Investitionsausgaben €_2018/kW" dataDxfId="2010"/>
    <tableColumn id="17" xr3:uid="{3225AFD4-B5CE-48CE-9BE7-F864F7E85FDF}" name="Investitionsausgaben €_2018/kW" dataDxfId="2009"/>
    <tableColumn id="59" xr3:uid="{E6EC5D8D-BE77-44DE-9CA4-073DC1E900CC}" name="var. Kosten min. €_2018/MWh" dataDxfId="2008"/>
    <tableColumn id="58" xr3:uid="{6C05A315-4A0A-440C-8A22-1ED6EA5C7181}" name="var. Kosten max. €_2018/MWh" dataDxfId="2007"/>
    <tableColumn id="18" xr3:uid="{A0B9D36F-7161-4345-B410-98BC16137E37}" name="variable Kosten €_2018/MWh" dataDxfId="2006"/>
    <tableColumn id="64" xr3:uid="{4253A139-117F-43E7-8DCC-41217D26E5BB}" name="fixe Kosten min. €_2018/kW*a" dataDxfId="2005"/>
    <tableColumn id="19" xr3:uid="{B07E1517-99F7-422D-92BC-5BA70BF86507}" name="fixe Kosten €_2018/kW*a" dataDxfId="2004"/>
    <tableColumn id="48" xr3:uid="{FAFACBC0-BE93-4E50-AA1C-2090101703D4}" name="Investitionsausgaben je Anschlusspunkt (€_2018)" dataDxfId="2003"/>
    <tableColumn id="20" xr3:uid="{FEEE429F-7BA9-4810-B4DE-44690B7A232C}" name="Bemerkungen" dataDxfId="2002"/>
    <tableColumn id="55" xr3:uid="{C3245C41-D352-4631-B970-BC757EC99548}" name="Fundstelle Lastverschiebung" dataDxfId="2001"/>
    <tableColumn id="54" xr3:uid="{5648B538-D8D3-4E48-92E9-907492676A43}" name="Fundstelle Lastverzicht" dataDxfId="2000"/>
    <tableColumn id="21" xr3:uid="{2E7D5547-2F4B-4C9B-971B-F6ACE501E82B}" name="Fundstelle Potenzial pos." dataDxfId="1999"/>
    <tableColumn id="22" xr3:uid="{02F51358-E258-452A-9C2C-CBAD37A39767}" name="Fundstelle Potenzial neg." dataDxfId="1998"/>
    <tableColumn id="23" xr3:uid="{5291BC50-2BBE-444F-BB84-3227887B390B}" name="Fundstelle Mindestleistung" dataDxfId="1997"/>
    <tableColumn id="43" xr3:uid="{6ACE49D6-2240-4E34-B366-8E9DE746F68A}" name="Fundstelle flexibilisierbarer Anteil" dataDxfId="1996"/>
    <tableColumn id="66" xr3:uid="{85E58803-A471-4BFB-831D-E3A036EF81BA}" name="Fundstelle Durchschnittsauslastung" dataDxfId="1995"/>
    <tableColumn id="45" xr3:uid="{CCC070F4-D3BE-4C3F-B75C-3F82437A7487}" name="Fundstelle durchschnittliche Leistung" dataDxfId="1994"/>
    <tableColumn id="24" xr3:uid="{5A127DDF-A5EE-4047-BA40-01FCCAE3450C}" name="Fundstelle Maximalleistung" dataDxfId="1993"/>
    <tableColumn id="25" xr3:uid="{71CBEC8F-AF91-4AFC-8875-A10DBC273BA4}" name="Fundstelle installierte Leistung" dataDxfId="1992"/>
    <tableColumn id="39" xr3:uid="{077F9CDC-7460-43C2-9EF8-8E214243FACF}" name="Fundstelle Aktivierungsdauer" dataDxfId="1991"/>
    <tableColumn id="26" xr3:uid="{FF393ABE-D57F-4DE4-B5A7-610C82749581}" name="Fundstelle Schaltdauer" dataDxfId="1990"/>
    <tableColumn id="27" xr3:uid="{D7584290-233E-43AD-AB6A-C6CD3384BC71}" name="Fundstelle Verschiebedauer" dataDxfId="1989"/>
    <tableColumn id="28" xr3:uid="{B97E9681-EB79-4B53-BC97-F8A8AF371895}" name="Fundstelle Regenerationsdauer" dataDxfId="1988"/>
    <tableColumn id="29" xr3:uid="{3EA75213-413F-469E-9474-F121435BC170}" name="Fundstelle Zeitverfügbarkeit" dataDxfId="1987"/>
    <tableColumn id="30" xr3:uid="{6B4D7C32-BB39-431D-A515-546432E15090}" name="Fundstelle max. Abrufhäufigkeit" dataDxfId="1986"/>
    <tableColumn id="31" xr3:uid="{64561B86-C697-4FB0-AA1D-E91D80134D24}" name="Fundstelle Invest" dataDxfId="1985"/>
    <tableColumn id="32" xr3:uid="{C7ABE511-B291-465F-B219-C42E23DF0B4E}" name="Fundstelle var. Kosten" dataDxfId="1984"/>
    <tableColumn id="33" xr3:uid="{8B6DAFAF-0663-4349-895A-006368242A0E}" name="Fundstelle fixe Kosten" dataDxfId="1983"/>
    <tableColumn id="49" xr3:uid="{988CBFE1-C2F1-4566-BCE3-0698682A25A3}" name="Fundstelle Investition je Anschlusspunkt" dataDxfId="1982"/>
    <tableColumn id="34" xr3:uid="{1AC244EC-C649-419D-AE30-293CED10C814}" name="Fundstelle Bemerkungen" dataDxfId="1981"/>
    <tableColumn id="35" xr3:uid="{C66EFECC-739C-48B2-BDCC-0DA7C7C6C2B9}" name="eigene Anmerkung" dataDxfId="1980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elle58971117" displayName="Tabelle58971117" ref="A1:BP34" totalsRowShown="0" headerRowDxfId="117" dataDxfId="116" tableBorderDxfId="115">
  <autoFilter ref="A1:BP34" xr:uid="{00000000-0009-0000-0100-000010000000}"/>
  <tableColumns count="68">
    <tableColumn id="1" xr3:uid="{00000000-0010-0000-0E00-000001000000}" name="Prozess" dataDxfId="114"/>
    <tableColumn id="47" xr3:uid="{00000000-0010-0000-0E00-00002F000000}" name="Sektorenzuordnung" dataDxfId="113"/>
    <tableColumn id="2" xr3:uid="{00000000-0010-0000-0E00-000002000000}" name="Jahr" dataDxfId="112"/>
    <tableColumn id="52" xr3:uid="{00000000-0010-0000-0E00-000034000000}" name="Lastverschiebung" dataDxfId="111"/>
    <tableColumn id="53" xr3:uid="{00000000-0010-0000-0E00-000035000000}" name="Lastverzicht" dataDxfId="110"/>
    <tableColumn id="68" xr3:uid="{00000000-0010-0000-0E00-000044000000}" name="Lasterhöhung" dataDxfId="109"/>
    <tableColumn id="3" xr3:uid="{00000000-0010-0000-0E00-000003000000}" name="Potenzial pos. min MW" dataDxfId="108"/>
    <tableColumn id="38" xr3:uid="{00000000-0010-0000-0E00-000026000000}" name="Potenzial pos. MW Durchschnitt" dataDxfId="107"/>
    <tableColumn id="5" xr3:uid="{00000000-0010-0000-0E00-000005000000}" name="Potenzial pos. max MW" dataDxfId="106"/>
    <tableColumn id="37" xr3:uid="{00000000-0010-0000-0E00-000025000000}" name="ausgewiesenes Pot. pos. MW (falls abweichend)" dataDxfId="105"/>
    <tableColumn id="50" xr3:uid="{00000000-0010-0000-0E00-000032000000}" name="Potenzial neg. min MW" dataDxfId="104"/>
    <tableColumn id="41" xr3:uid="{00000000-0010-0000-0E00-000029000000}" name="Potenzial neg. MW Durchschnitt" dataDxfId="103"/>
    <tableColumn id="6" xr3:uid="{00000000-0010-0000-0E00-000006000000}" name="Potenzial neg. max MW" dataDxfId="102"/>
    <tableColumn id="7" xr3:uid="{00000000-0010-0000-0E00-000007000000}" name="Mindestleistung MW" dataDxfId="101"/>
    <tableColumn id="8" xr3:uid="{00000000-0010-0000-0E00-000008000000}" name="Mindestauslastung" dataDxfId="100" dataCellStyle="Prozent"/>
    <tableColumn id="36" xr3:uid="{00000000-0010-0000-0E00-000024000000}" name="flexibilisierbarer Anteil" dataDxfId="99" dataCellStyle="Prozent"/>
    <tableColumn id="65" xr3:uid="{00000000-0010-0000-0E00-000041000000}" name="Durchschnittsauslastung" dataDxfId="98" dataCellStyle="Prozent">
      <calculatedColumnFormula>2920/8760</calculatedColumnFormula>
    </tableColumn>
    <tableColumn id="44" xr3:uid="{00000000-0010-0000-0E00-00002C000000}" name="Durchschnittliche Leistung MW" dataDxfId="97" dataCellStyle="Prozent"/>
    <tableColumn id="9" xr3:uid="{00000000-0010-0000-0E00-000009000000}" name="Maximalleistung MW" dataDxfId="96"/>
    <tableColumn id="46" xr3:uid="{00000000-0010-0000-0E00-00002E000000}" name="Maximalauslastung" dataDxfId="95" dataCellStyle="Prozent"/>
    <tableColumn id="10" xr3:uid="{00000000-0010-0000-0E00-00000A000000}" name="installierte Leistung MW" dataDxfId="94"/>
    <tableColumn id="11" xr3:uid="{00000000-0010-0000-0E00-00000B000000}" name="Aktivierungsdauer (h)" dataDxfId="93"/>
    <tableColumn id="61" xr3:uid="{00000000-0010-0000-0E00-00003D000000}" name="Schaltdauer pos. min (h)" dataDxfId="92"/>
    <tableColumn id="60" xr3:uid="{00000000-0010-0000-0E00-00003C000000}" name="Schaltdauer pos. max (h)" dataDxfId="91"/>
    <tableColumn id="12" xr3:uid="{00000000-0010-0000-0E00-00000C000000}" name="Schaltdauer pos. (h)" dataDxfId="90"/>
    <tableColumn id="63" xr3:uid="{00000000-0010-0000-0E00-00003F000000}" name="Schaltdauer neg min (h)" dataDxfId="89"/>
    <tableColumn id="62" xr3:uid="{00000000-0010-0000-0E00-00003E000000}" name="Schaltdauer neg. max (h)" dataDxfId="88"/>
    <tableColumn id="51" xr3:uid="{00000000-0010-0000-0E00-000033000000}" name="Schaltdauer neg. (h)" dataDxfId="87"/>
    <tableColumn id="42" xr3:uid="{00000000-0010-0000-0E00-00002A000000}" name="Verschiebedauer min. (h)" dataDxfId="86"/>
    <tableColumn id="4" xr3:uid="{00000000-0010-0000-0E00-000004000000}" name="Verschiebedauer max (h)" dataDxfId="85"/>
    <tableColumn id="13" xr3:uid="{00000000-0010-0000-0E00-00000D000000}" name="Verschiebedauer (h)" dataDxfId="84"/>
    <tableColumn id="14" xr3:uid="{00000000-0010-0000-0E00-00000E000000}" name="Regenerationsdauer (h)" dataDxfId="83"/>
    <tableColumn id="15" xr3:uid="{00000000-0010-0000-0E00-00000F000000}" name="Zeitverfügbarkeit?" dataDxfId="82"/>
    <tableColumn id="16" xr3:uid="{00000000-0010-0000-0E00-000010000000}" name="max. Abrufhäufigkeit pro Woche" dataDxfId="81">
      <calculatedColumnFormula>24*7</calculatedColumnFormula>
    </tableColumn>
    <tableColumn id="40" xr3:uid="{00000000-0010-0000-0E00-000028000000}" name="max. Abrufhäufigkeit pro Jahr" dataDxfId="80"/>
    <tableColumn id="57" xr3:uid="{00000000-0010-0000-0E00-000039000000}" name="min. Investitionsausgaben €_2018/kW" dataDxfId="79">
      <calculatedColumnFormula>30*Umrechnungsfaktoren!$B$15/Umrechnungsfaktoren!$B$10</calculatedColumnFormula>
    </tableColumn>
    <tableColumn id="56" xr3:uid="{00000000-0010-0000-0E00-000038000000}" name="max. Investitionsausgaben €_2018/kW" dataDxfId="78">
      <calculatedColumnFormula>130*Umrechnungsfaktoren!$B$15/Umrechnungsfaktoren!$B$10</calculatedColumnFormula>
    </tableColumn>
    <tableColumn id="17" xr3:uid="{00000000-0010-0000-0E00-000011000000}" name="Investitionsausgaben €_2018/kW" dataDxfId="77">
      <calculatedColumnFormula>AVERAGE(Tabelle58971117[[#This Row],[min. Investitionsausgaben €_2018/kW]:[max. Investitionsausgaben €_2018/kW]])</calculatedColumnFormula>
    </tableColumn>
    <tableColumn id="59" xr3:uid="{00000000-0010-0000-0E00-00003B000000}" name="var. Kosten min. €_2018/MWh" dataDxfId="76">
      <calculatedColumnFormula>0*Umrechnungsfaktoren!$B$15/Umrechnungsfaktoren!$B$10</calculatedColumnFormula>
    </tableColumn>
    <tableColumn id="58" xr3:uid="{00000000-0010-0000-0E00-00003A000000}" name="var. Kosten max. €_2018/MWh" dataDxfId="75">
      <calculatedColumnFormula>0*Umrechnungsfaktoren!$B$15/Umrechnungsfaktoren!$B$10</calculatedColumnFormula>
    </tableColumn>
    <tableColumn id="18" xr3:uid="{00000000-0010-0000-0E00-000012000000}" name="variable Kosten €_2018/MWh" dataDxfId="74">
      <calculatedColumnFormula>0*Umrechnungsfaktoren!$B$15/Umrechnungsfaktoren!$B$10</calculatedColumnFormula>
    </tableColumn>
    <tableColumn id="64" xr3:uid="{00000000-0010-0000-0E00-000040000000}" name="fixe Kosten min. €_2018/kW*a" dataDxfId="73">
      <calculatedColumnFormula>2*Umrechnungsfaktoren!$B$15/Umrechnungsfaktoren!$B$10</calculatedColumnFormula>
    </tableColumn>
    <tableColumn id="67" xr3:uid="{00000000-0010-0000-0E00-000043000000}" name="fixe Kosten max. €_2018/kW*a" dataDxfId="72">
      <calculatedColumnFormula>9*Umrechnungsfaktoren!$B$15/Umrechnungsfaktoren!$B$10</calculatedColumnFormula>
    </tableColumn>
    <tableColumn id="19" xr3:uid="{00000000-0010-0000-0E00-000013000000}" name="fixe Kosten €_2018/kW*a" dataDxfId="71">
      <calculatedColumnFormula>AVERAGE(Tabelle58971117[[#This Row],[fixe Kosten min. €_2018/kW*a]:[fixe Kosten max. €_2018/kW*a]])</calculatedColumnFormula>
    </tableColumn>
    <tableColumn id="48" xr3:uid="{00000000-0010-0000-0E00-000030000000}" name="Investitionsausgaben je Anschlusspunkt (€_2018)" dataDxfId="70"/>
    <tableColumn id="20" xr3:uid="{00000000-0010-0000-0E00-000014000000}" name="Bemerkungen" dataDxfId="69"/>
    <tableColumn id="55" xr3:uid="{00000000-0010-0000-0E00-000037000000}" name="Fundstelle Lastverschiebung" dataDxfId="68"/>
    <tableColumn id="54" xr3:uid="{00000000-0010-0000-0E00-000036000000}" name="Fundstelle Lastverzicht" dataDxfId="67"/>
    <tableColumn id="21" xr3:uid="{00000000-0010-0000-0E00-000015000000}" name="Fundstelle Potenzial pos." dataDxfId="66"/>
    <tableColumn id="22" xr3:uid="{00000000-0010-0000-0E00-000016000000}" name="Fundstelle Potenzial neg." dataDxfId="65"/>
    <tableColumn id="23" xr3:uid="{00000000-0010-0000-0E00-000017000000}" name="Fundstelle Mindestleistung" dataDxfId="64"/>
    <tableColumn id="43" xr3:uid="{00000000-0010-0000-0E00-00002B000000}" name="Fundstelle flexibilisierbarer Anteil" dataDxfId="63"/>
    <tableColumn id="66" xr3:uid="{00000000-0010-0000-0E00-000042000000}" name="Fundstelle Durchschnittsauslastung" dataDxfId="62"/>
    <tableColumn id="45" xr3:uid="{00000000-0010-0000-0E00-00002D000000}" name="Fundstelle durchschnittliche Leistung" dataDxfId="61"/>
    <tableColumn id="24" xr3:uid="{00000000-0010-0000-0E00-000018000000}" name="Fundstelle Maximalleistung" dataDxfId="60"/>
    <tableColumn id="25" xr3:uid="{00000000-0010-0000-0E00-000019000000}" name="Fundstelle installierte Leistung" dataDxfId="59"/>
    <tableColumn id="39" xr3:uid="{00000000-0010-0000-0E00-000027000000}" name="Fundstelle Aktivierungsdauer" dataDxfId="58"/>
    <tableColumn id="26" xr3:uid="{00000000-0010-0000-0E00-00001A000000}" name="Fundstelle Schaltdauer" dataDxfId="57"/>
    <tableColumn id="27" xr3:uid="{00000000-0010-0000-0E00-00001B000000}" name="Fundstelle Verschiebedauer" dataDxfId="56"/>
    <tableColumn id="28" xr3:uid="{00000000-0010-0000-0E00-00001C000000}" name="Fundstelle Regenerationsdauer" dataDxfId="55"/>
    <tableColumn id="29" xr3:uid="{00000000-0010-0000-0E00-00001D000000}" name="Fundstelle Zeitverfügbarkeit" dataDxfId="54"/>
    <tableColumn id="30" xr3:uid="{00000000-0010-0000-0E00-00001E000000}" name="Fundstelle max. Abrufhäufigkeit" dataDxfId="53"/>
    <tableColumn id="31" xr3:uid="{00000000-0010-0000-0E00-00001F000000}" name="Fundstelle Invest" dataDxfId="52"/>
    <tableColumn id="32" xr3:uid="{00000000-0010-0000-0E00-000020000000}" name="Fundstelle var. Kosten" dataDxfId="51"/>
    <tableColumn id="33" xr3:uid="{00000000-0010-0000-0E00-000021000000}" name="Fundstelle fixe Kosten" dataDxfId="50"/>
    <tableColumn id="49" xr3:uid="{00000000-0010-0000-0E00-000031000000}" name="Fundstelle Investition je Anschlusspunkt" dataDxfId="49"/>
    <tableColumn id="34" xr3:uid="{00000000-0010-0000-0E00-000022000000}" name="Fundstelle Bemerkungen" dataDxfId="48"/>
    <tableColumn id="35" xr3:uid="{00000000-0010-0000-0E00-000023000000}" name="eigene Anmerkung" dataDxfId="47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e23418" displayName="Tabelle23418" ref="A1:H22" totalsRowShown="0" headerRowDxfId="46" dataDxfId="45">
  <autoFilter ref="A1:H22" xr:uid="{00000000-0009-0000-0100-000011000000}"/>
  <tableColumns count="8">
    <tableColumn id="1" xr3:uid="{00000000-0010-0000-1000-000001000000}" name="Prozess" dataDxfId="44"/>
    <tableColumn id="13" xr3:uid="{00000000-0010-0000-1000-00000D000000}" name="Sektorenzuordnung" dataDxfId="43"/>
    <tableColumn id="2" xr3:uid="{00000000-0010-0000-1000-000002000000}" name="Jahr" dataDxfId="42"/>
    <tableColumn id="4" xr3:uid="{00000000-0010-0000-1000-000004000000}" name="Anteil Potenzial pos. (an Wert von 2012)" dataDxfId="41" dataCellStyle="Prozent"/>
    <tableColumn id="5" xr3:uid="{00000000-0010-0000-1000-000005000000}" name="Anteil Potenzial neg. (an Wert von 2012)" dataDxfId="40"/>
    <tableColumn id="8" xr3:uid="{00000000-0010-0000-1000-000008000000}" name="Außentemperatur (°C)" dataDxfId="39"/>
    <tableColumn id="3" xr3:uid="{00000000-0010-0000-1000-000003000000}" name="Schaltdauer pos. (h)" dataDxfId="38">
      <calculatedColumnFormula>#REF!*Tabelle23418[[#This Row],[Außentemperatur (°C)]]*#REF!</calculatedColumnFormula>
    </tableColumn>
    <tableColumn id="7" xr3:uid="{00000000-0010-0000-1000-000007000000}" name="Quelle" dataDxfId="37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C000000}" name="Tabelle11" displayName="Tabelle11" ref="A1:D27" totalsRowShown="0" headerRowDxfId="36" dataDxfId="35">
  <autoFilter ref="A1:D27" xr:uid="{00000000-0009-0000-0100-00000B000000}"/>
  <sortState xmlns:xlrd2="http://schemas.microsoft.com/office/spreadsheetml/2017/richdata2" ref="A2:D27">
    <sortCondition ref="A1:A27"/>
  </sortState>
  <tableColumns count="4">
    <tableColumn id="1" xr3:uid="{00000000-0010-0000-1C00-000001000000}" name="Kürzel" dataDxfId="34"/>
    <tableColumn id="2" xr3:uid="{00000000-0010-0000-1C00-000002000000}" name="Kurzbeleg" dataDxfId="33"/>
    <tableColumn id="3" xr3:uid="{00000000-0010-0000-1C00-000003000000}" name="Titel" dataDxfId="32"/>
    <tableColumn id="4" xr3:uid="{00000000-0010-0000-1C00-000004000000}" name="Werte eingepflegt" dataDxfId="31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D000000}" name="Tabelle9" displayName="Tabelle9" ref="A1:E99" totalsRowShown="0" headerRowDxfId="30" dataDxfId="29">
  <autoFilter ref="A1:E99" xr:uid="{00000000-0009-0000-0100-000009000000}"/>
  <tableColumns count="5">
    <tableColumn id="1" xr3:uid="{00000000-0010-0000-1D00-000001000000}" name="Prozess" dataDxfId="28"/>
    <tableColumn id="5" xr3:uid="{00000000-0010-0000-1D00-000005000000}" name="Spezifizierung Verfahren" dataDxfId="27"/>
    <tableColumn id="2" xr3:uid="{00000000-0010-0000-1D00-000002000000}" name="Sektorenzuordnung" dataDxfId="26"/>
    <tableColumn id="3" xr3:uid="{00000000-0010-0000-1D00-000003000000}" name="binär" dataDxfId="25"/>
    <tableColumn id="4" xr3:uid="{00000000-0010-0000-1D00-000004000000}" name="Enscheidung" dataDxfId="24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D120C4-67AD-4222-A444-7335A50A9D4E}" name="Tabelle38" displayName="Tabelle38" ref="A1:F99" totalsRowShown="0" headerRowDxfId="23" dataDxfId="22">
  <autoFilter ref="A1:F99" xr:uid="{222969A2-424B-4D1C-97BC-4C7E13940DB0}"/>
  <tableColumns count="6">
    <tableColumn id="1" xr3:uid="{C8C8A81A-7560-4959-B391-5C9F555378F2}" name="Prozess (ursprüngliche Kategorien)" dataDxfId="21"/>
    <tableColumn id="2" xr3:uid="{C419B9E9-C634-4A69-B1A0-FBD49AA95678}" name="Prozesskategorie 1" dataDxfId="20"/>
    <tableColumn id="3" xr3:uid="{5497BC71-22C9-4BB8-B4DC-3BEB062DFE57}" name="Prozesskategorie 2" dataDxfId="19"/>
    <tableColumn id="4" xr3:uid="{94695E2C-A740-4A98-913B-CF0A63086A1F}" name="Prozesskategorie 3" dataDxfId="18"/>
    <tableColumn id="5" xr3:uid="{6BE7F5DE-7121-4923-BBBE-CB2CC17535F6}" name="Einstufung" dataDxfId="17"/>
    <tableColumn id="6" xr3:uid="{172AE78C-BFE5-4F1D-AE6E-900556E7B03D}" name="Nutzung Prozesskategorie 1" dataDxfId="16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8F6F691-696B-4706-87BE-6F0B94DAE554}" name="Tabelle93942" displayName="Tabelle93942" ref="A1:F99" totalsRowShown="0" headerRowDxfId="15" dataDxfId="14">
  <autoFilter ref="A1:F99" xr:uid="{00000000-0009-0000-0100-000009000000}"/>
  <tableColumns count="6">
    <tableColumn id="1" xr3:uid="{E3712D0D-FFF3-4ED4-BB0E-9464ACB819D3}" name="Prozess (ursprüngliche Kategorien)" dataDxfId="13"/>
    <tableColumn id="5" xr3:uid="{83219644-7F66-4A22-BAEA-46A7B3E0BF4F}" name="Prozesskategorie 1" dataDxfId="12"/>
    <tableColumn id="2" xr3:uid="{D6C81BE8-672B-4496-91C9-F929E0C30C9D}" name="Prozesskategorie 2" dataDxfId="11"/>
    <tableColumn id="3" xr3:uid="{02C2C932-6F1D-4F6C-A033-DD5925126600}" name="Prozesskategorie 3" dataDxfId="10"/>
    <tableColumn id="4" xr3:uid="{1559C907-A170-42F4-9A15-3783CA210916}" name="Einstufung" dataDxfId="9"/>
    <tableColumn id="6" xr3:uid="{A54CBD8D-5940-4EE6-B313-0856C7E294FA}" name="Nutzung Prozesskategorie 1" dataDxfId="8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B10DDE9-64FB-4441-A11B-283E4C152313}" name="Tabelle941" displayName="Tabelle941" ref="A1:B99" totalsRowShown="0" headerRowDxfId="7" dataDxfId="6">
  <autoFilter ref="A1:B99" xr:uid="{00000000-0009-0000-0100-000009000000}"/>
  <tableColumns count="2">
    <tableColumn id="1" xr3:uid="{176116C4-33EC-44FD-94A7-6095DB70CA7A}" name="Prozess" dataDxfId="5"/>
    <tableColumn id="5" xr3:uid="{CCBEFC34-AA7E-4CCF-B970-4CE747725CB0}" name="Farbe (matplotlib strings)" dataDxfId="4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0000000}" name="Tabelle21" displayName="Tabelle21" ref="A1:B14" totalsRowShown="0" headerRowDxfId="3" dataDxfId="2">
  <autoFilter ref="A1:B14" xr:uid="{00000000-0009-0000-0100-000015000000}"/>
  <tableColumns count="2">
    <tableColumn id="1" xr3:uid="{00000000-0010-0000-2000-000001000000}" name="Problem" dataDxfId="1"/>
    <tableColumn id="2" xr3:uid="{00000000-0010-0000-2000-000002000000}" name="Methodischer Ansatz zur Ermittlung von Kennwerten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le5897111424" displayName="Tabelle5897111424" ref="A1:BO11" totalsRowShown="0" headerRowDxfId="1979" dataDxfId="1978" tableBorderDxfId="1977">
  <autoFilter ref="A1:BO11" xr:uid="{00000000-0009-0000-0100-000017000000}"/>
  <tableColumns count="67">
    <tableColumn id="1" xr3:uid="{00000000-0010-0000-1300-000001000000}" name="Prozess" dataDxfId="1976"/>
    <tableColumn id="47" xr3:uid="{00000000-0010-0000-1300-00002F000000}" name="Sektorenzuordnung" dataDxfId="1975"/>
    <tableColumn id="2" xr3:uid="{00000000-0010-0000-1300-000002000000}" name="Jahr" dataDxfId="1974"/>
    <tableColumn id="52" xr3:uid="{00000000-0010-0000-1300-000034000000}" name="Lastverschiebung" dataDxfId="1973"/>
    <tableColumn id="53" xr3:uid="{00000000-0010-0000-1300-000035000000}" name="Lastverzicht" dataDxfId="1972"/>
    <tableColumn id="3" xr3:uid="{00000000-0010-0000-1300-000003000000}" name="Potenzial pos. min MW" dataDxfId="1971"/>
    <tableColumn id="38" xr3:uid="{00000000-0010-0000-1300-000026000000}" name="Potenzial pos. MW Durchschnitt" dataDxfId="1970"/>
    <tableColumn id="5" xr3:uid="{00000000-0010-0000-1300-000005000000}" name="Potenzial pos. max MW" dataDxfId="1969"/>
    <tableColumn id="37" xr3:uid="{00000000-0010-0000-1300-000025000000}" name="ausgewiesenes Pot. pos. MW (falls abweichend)" dataDxfId="1968"/>
    <tableColumn id="50" xr3:uid="{00000000-0010-0000-1300-000032000000}" name="Potenzial neg. min MW" dataDxfId="1967"/>
    <tableColumn id="41" xr3:uid="{00000000-0010-0000-1300-000029000000}" name="Potenzial neg. MW Durchschnitt" dataDxfId="1966"/>
    <tableColumn id="6" xr3:uid="{00000000-0010-0000-1300-000006000000}" name="Potenzial neg. max MW" dataDxfId="1965"/>
    <tableColumn id="7" xr3:uid="{00000000-0010-0000-1300-000007000000}" name="Mindestleistung MW" dataDxfId="1964"/>
    <tableColumn id="8" xr3:uid="{00000000-0010-0000-1300-000008000000}" name="Mindestauslastung" dataDxfId="1963" dataCellStyle="Prozent"/>
    <tableColumn id="36" xr3:uid="{00000000-0010-0000-1300-000024000000}" name="flexibilisierbarer Anteil" dataDxfId="1962" dataCellStyle="Prozent"/>
    <tableColumn id="67" xr3:uid="{00000000-0010-0000-1300-000043000000}" name="flexibilisierbarer Anteil an Durchschnittslast" dataDxfId="1961" dataCellStyle="Prozent"/>
    <tableColumn id="65" xr3:uid="{00000000-0010-0000-1300-000041000000}" name="Durchschnittsauslastung" dataDxfId="1960" dataCellStyle="Prozent"/>
    <tableColumn id="44" xr3:uid="{00000000-0010-0000-1300-00002C000000}" name="Durchschnittliche Leistung MW" dataDxfId="1959" dataCellStyle="Prozent"/>
    <tableColumn id="9" xr3:uid="{00000000-0010-0000-1300-000009000000}" name="Maximalleistung MW" dataDxfId="1958"/>
    <tableColumn id="46" xr3:uid="{00000000-0010-0000-1300-00002E000000}" name="Maximalauslastung" dataDxfId="1957" dataCellStyle="Prozent"/>
    <tableColumn id="10" xr3:uid="{00000000-0010-0000-1300-00000A000000}" name="installierte Leistung MW" dataDxfId="1956"/>
    <tableColumn id="11" xr3:uid="{00000000-0010-0000-1300-00000B000000}" name="Aktivierungsdauer (h)" dataDxfId="1955"/>
    <tableColumn id="61" xr3:uid="{00000000-0010-0000-1300-00003D000000}" name="Schaltdauer pos. Min (h)" dataDxfId="1954">
      <calculatedColumnFormula>5/60</calculatedColumnFormula>
    </tableColumn>
    <tableColumn id="60" xr3:uid="{00000000-0010-0000-1300-00003C000000}" name="Schaltdauer pos. max (h)" dataDxfId="1953">
      <calculatedColumnFormula>10/60</calculatedColumnFormula>
    </tableColumn>
    <tableColumn id="12" xr3:uid="{00000000-0010-0000-1300-00000C000000}" name="Schaltdauer pos. (h)" dataDxfId="1952"/>
    <tableColumn id="63" xr3:uid="{00000000-0010-0000-1300-00003F000000}" name="Schaltdauer neg min (h)" dataDxfId="1951"/>
    <tableColumn id="62" xr3:uid="{00000000-0010-0000-1300-00003E000000}" name="Schaltdauer neg. max (h)" dataDxfId="1950"/>
    <tableColumn id="51" xr3:uid="{00000000-0010-0000-1300-000033000000}" name="Schaltdauer neg. (h)" dataDxfId="1949"/>
    <tableColumn id="42" xr3:uid="{00000000-0010-0000-1300-00002A000000}" name="Verschiebedauer min. (h)" dataDxfId="1948"/>
    <tableColumn id="4" xr3:uid="{00000000-0010-0000-1300-000004000000}" name="Verschiebedauer max (h)" dataDxfId="1947"/>
    <tableColumn id="13" xr3:uid="{00000000-0010-0000-1300-00000D000000}" name="Verschiebedauer (h)" dataDxfId="1946"/>
    <tableColumn id="14" xr3:uid="{00000000-0010-0000-1300-00000E000000}" name="Regenerationsdauer (h)" dataDxfId="1945"/>
    <tableColumn id="15" xr3:uid="{00000000-0010-0000-1300-00000F000000}" name="Zeitverfügbarkeit?" dataDxfId="1944"/>
    <tableColumn id="16" xr3:uid="{00000000-0010-0000-1300-000010000000}" name="max. Abrufhäufigkeit pro Woche" dataDxfId="1943"/>
    <tableColumn id="40" xr3:uid="{00000000-0010-0000-1300-000028000000}" name="max. Abrufhäufigkeit pro Jahr" dataDxfId="1942"/>
    <tableColumn id="57" xr3:uid="{00000000-0010-0000-1300-000039000000}" name="min. Investitionsausgaben €_2018/kW" dataDxfId="1941"/>
    <tableColumn id="56" xr3:uid="{00000000-0010-0000-1300-000038000000}" name="max. Investitionsausgaben €_2018/kW" dataDxfId="1940"/>
    <tableColumn id="17" xr3:uid="{00000000-0010-0000-1300-000011000000}" name="Investitionsausgaben €_2018/kW" dataDxfId="1939"/>
    <tableColumn id="59" xr3:uid="{00000000-0010-0000-1300-00003B000000}" name="var. Kosten min. €_2018/MWh" dataDxfId="1938"/>
    <tableColumn id="58" xr3:uid="{00000000-0010-0000-1300-00003A000000}" name="var. Kosten max. €_2018/MWh" dataDxfId="1937"/>
    <tableColumn id="18" xr3:uid="{00000000-0010-0000-1300-000012000000}" name="variable Kosten €_2018/MWh" dataDxfId="1936"/>
    <tableColumn id="64" xr3:uid="{00000000-0010-0000-1300-000040000000}" name="fixe Kosten min. €_2018/kW*a" dataDxfId="1935"/>
    <tableColumn id="19" xr3:uid="{00000000-0010-0000-1300-000013000000}" name="fixe Kosten €_2018/kW*a" dataDxfId="1934"/>
    <tableColumn id="48" xr3:uid="{00000000-0010-0000-1300-000030000000}" name="Investitionsausgaben je Anschlusspunkt (€_2018)" dataDxfId="1933"/>
    <tableColumn id="20" xr3:uid="{00000000-0010-0000-1300-000014000000}" name="Bemerkungen" dataDxfId="1932"/>
    <tableColumn id="55" xr3:uid="{00000000-0010-0000-1300-000037000000}" name="Fundstelle Lastverschiebung" dataDxfId="1931"/>
    <tableColumn id="54" xr3:uid="{00000000-0010-0000-1300-000036000000}" name="Fundstelle Lastverzicht" dataDxfId="1930"/>
    <tableColumn id="21" xr3:uid="{00000000-0010-0000-1300-000015000000}" name="Fundstelle Potenzial pos." dataDxfId="1929"/>
    <tableColumn id="22" xr3:uid="{00000000-0010-0000-1300-000016000000}" name="Fundstelle Potenzial neg." dataDxfId="1928"/>
    <tableColumn id="23" xr3:uid="{00000000-0010-0000-1300-000017000000}" name="Fundstelle Mindestleistung" dataDxfId="1927"/>
    <tableColumn id="43" xr3:uid="{00000000-0010-0000-1300-00002B000000}" name="Funstelle flexibierbarer Anteil" dataDxfId="1926"/>
    <tableColumn id="66" xr3:uid="{00000000-0010-0000-1300-000042000000}" name="Fundstelle Durchschnittsauslastung" dataDxfId="1925"/>
    <tableColumn id="45" xr3:uid="{00000000-0010-0000-1300-00002D000000}" name="Fundstelle durchschnittliche Leistung" dataDxfId="1924"/>
    <tableColumn id="24" xr3:uid="{00000000-0010-0000-1300-000018000000}" name="Fundstelle Maximalleistung" dataDxfId="1923"/>
    <tableColumn id="25" xr3:uid="{00000000-0010-0000-1300-000019000000}" name="Fundstelle installierte Leistung" dataDxfId="1922"/>
    <tableColumn id="39" xr3:uid="{00000000-0010-0000-1300-000027000000}" name="Fundstelle Aktivierungsdauer" dataDxfId="1921"/>
    <tableColumn id="26" xr3:uid="{00000000-0010-0000-1300-00001A000000}" name="Fundstelle Schaltdauer" dataDxfId="1920"/>
    <tableColumn id="27" xr3:uid="{00000000-0010-0000-1300-00001B000000}" name="Fundstelle Verschiebedauer" dataDxfId="1919"/>
    <tableColumn id="28" xr3:uid="{00000000-0010-0000-1300-00001C000000}" name="Fundstelle Regenerationsdauer" dataDxfId="1918"/>
    <tableColumn id="29" xr3:uid="{00000000-0010-0000-1300-00001D000000}" name="Fundstelle Zeitverfügbarkeit" dataDxfId="1917"/>
    <tableColumn id="30" xr3:uid="{00000000-0010-0000-1300-00001E000000}" name="Fundstelle max. Abrufhäufigkeit" dataDxfId="1916"/>
    <tableColumn id="31" xr3:uid="{00000000-0010-0000-1300-00001F000000}" name="Fundstelle Invest" dataDxfId="1915"/>
    <tableColumn id="32" xr3:uid="{00000000-0010-0000-1300-000020000000}" name="Fundstelle var. Kosten" dataDxfId="1914"/>
    <tableColumn id="33" xr3:uid="{00000000-0010-0000-1300-000021000000}" name="Fundstelle fixe Kosten" dataDxfId="1913"/>
    <tableColumn id="49" xr3:uid="{00000000-0010-0000-1300-000031000000}" name="Fundstelle Investition je Anschlusspunkt" dataDxfId="1912"/>
    <tableColumn id="34" xr3:uid="{00000000-0010-0000-1300-000022000000}" name="Fundstelle Bemerkungen" dataDxfId="1911"/>
    <tableColumn id="35" xr3:uid="{00000000-0010-0000-1300-000023000000}" name="eigene Anmerkung" dataDxfId="191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le5897111426" displayName="Tabelle5897111426" ref="A1:BX17" totalsRowShown="0" headerRowDxfId="1909" dataDxfId="1908" tableBorderDxfId="1907">
  <autoFilter ref="A1:BX17" xr:uid="{00000000-0009-0000-0100-000019000000}"/>
  <tableColumns count="76">
    <tableColumn id="1" xr3:uid="{00000000-0010-0000-1500-000001000000}" name="Prozess" dataDxfId="1906"/>
    <tableColumn id="47" xr3:uid="{00000000-0010-0000-1500-00002F000000}" name="Sektorenzuordnung" dataDxfId="1905"/>
    <tableColumn id="2" xr3:uid="{00000000-0010-0000-1500-000002000000}" name="Jahr" dataDxfId="1904"/>
    <tableColumn id="52" xr3:uid="{00000000-0010-0000-1500-000034000000}" name="Lastverschiebung" dataDxfId="1903"/>
    <tableColumn id="53" xr3:uid="{00000000-0010-0000-1500-000035000000}" name="Lastverzicht" dataDxfId="1902"/>
    <tableColumn id="71" xr3:uid="{B0549F9B-39DF-4F07-A532-CDA720445671}" name="Lasterhöhung" dataDxfId="1901"/>
    <tableColumn id="68" xr3:uid="{BE290A01-8736-4086-BB9D-3CC006C49381}" name="Stromverbrauch in TWh" dataDxfId="1900"/>
    <tableColumn id="3" xr3:uid="{00000000-0010-0000-1500-000003000000}" name="Potenzial pos. min MW" dataDxfId="1899"/>
    <tableColumn id="38" xr3:uid="{00000000-0010-0000-1500-000026000000}" name="Potenzial pos. MW Durchschnitt" dataDxfId="1898"/>
    <tableColumn id="5" xr3:uid="{00000000-0010-0000-1500-000005000000}" name="Potenzial pos. max MW Literatur" dataDxfId="1897"/>
    <tableColumn id="72" xr3:uid="{9E398625-227B-4420-90C0-6CFD27B82CD5}" name="Potenzial pos. MW Hochrechnung" dataDxfId="1896"/>
    <tableColumn id="37" xr3:uid="{00000000-0010-0000-1500-000025000000}" name="ausgewiesenes Pot. pos. MW (falls abweichend)" dataDxfId="1895"/>
    <tableColumn id="50" xr3:uid="{00000000-0010-0000-1500-000032000000}" name="Potenzial neg. min MW" dataDxfId="1894"/>
    <tableColumn id="41" xr3:uid="{00000000-0010-0000-1500-000029000000}" name="Potenzial neg. MW Durchschnitt" dataDxfId="1893"/>
    <tableColumn id="6" xr3:uid="{00000000-0010-0000-1500-000006000000}" name="Potenzial neg. max MW Literatur" dataDxfId="1892"/>
    <tableColumn id="73" xr3:uid="{B5739B0B-B767-4C04-84BD-5C54DDF639CC}" name="Potenzial neg. MW Hochrechnung" dataDxfId="1891"/>
    <tableColumn id="7" xr3:uid="{00000000-0010-0000-1500-000007000000}" name="Mindestleistung MW" dataDxfId="1890"/>
    <tableColumn id="8" xr3:uid="{00000000-0010-0000-1500-000008000000}" name="Mindestauslastung" dataDxfId="1889" dataCellStyle="Prozent">
      <calculatedColumnFormula>Tabelle5897111426[[#This Row],[Mindestleistung MW]]/Tabelle5897111426[[#This Row],[Maximalleistung MW Literatur]]</calculatedColumnFormula>
    </tableColumn>
    <tableColumn id="36" xr3:uid="{00000000-0010-0000-1500-000024000000}" name="flexibilisierbarer Anteil min" dataDxfId="1888" dataCellStyle="Prozent"/>
    <tableColumn id="70" xr3:uid="{81E1AC3D-5DB5-46DC-94F6-8BEBD606700E}" name="flexibilisierbarer Anteil max" dataDxfId="1887" dataCellStyle="Prozent"/>
    <tableColumn id="67" xr3:uid="{00000000-0010-0000-1500-000043000000}" name="flexibilisierbarer Anteil an Durchschnittslast" dataDxfId="1886" dataCellStyle="Prozent"/>
    <tableColumn id="65" xr3:uid="{00000000-0010-0000-1500-000041000000}" name="Durchschnittsauslastung Literatur" dataDxfId="1885" dataCellStyle="Prozent">
      <calculatedColumnFormula>Tabelle5897111426[[#This Row],[Durchschnittliche Leistung MW Literatur]]/Tabelle5897111426[[#This Row],[Maximalleistung MW Literatur]]</calculatedColumnFormula>
    </tableColumn>
    <tableColumn id="74" xr3:uid="{C50A3522-D7A6-413D-B71A-F5CF61E1725D}" name="Durchschnittsauslastung Hochrechnung" dataDxfId="1884" dataCellStyle="Prozent">
      <calculatedColumnFormula>Tabelle5897111426[[#This Row],[Durchschnittliche Leistung MW Hochrechnung]]/Tabelle5897111426[[#This Row],[Maximalleistung MW Hochrechnung]]</calculatedColumnFormula>
    </tableColumn>
    <tableColumn id="44" xr3:uid="{00000000-0010-0000-1500-00002C000000}" name="Durchschnittliche Leistung MW Literatur" dataDxfId="1883" dataCellStyle="Prozent"/>
    <tableColumn id="75" xr3:uid="{F3EDB403-EA2D-4F04-B6A7-E769B991DBD1}" name="Durchschnittliche Leistung MW Hochrechnung" dataDxfId="1882" dataCellStyle="Prozent"/>
    <tableColumn id="9" xr3:uid="{00000000-0010-0000-1500-000009000000}" name="Maximalleistung MW Literatur" dataDxfId="1881">
      <calculatedColumnFormula>Tabelle5897111426[[#This Row],[Durchschnittliche Leistung MW Literatur]]*2</calculatedColumnFormula>
    </tableColumn>
    <tableColumn id="77" xr3:uid="{F33E1AFA-E8F3-4C83-A735-54E087284A99}" name="Maximalleistung MW Hochrechnung" dataDxfId="1880"/>
    <tableColumn id="46" xr3:uid="{00000000-0010-0000-1500-00002E000000}" name="Maximalauslastung" dataDxfId="1879" dataCellStyle="Prozent">
      <calculatedColumnFormula>IF(Tabelle5897111426[[#This Row],[installierte Leistung MW Literatur]]&lt;&gt;"",Tabelle5897111426[[#This Row],[installierte Leistung MW Literatur]]/Tabelle5897111426[[#This Row],[Maximalleistung MW Literatur]],Tabelle5897111426[[#This Row],[installierte Leistung MW Hochrechnung]]/Tabelle5897111426[[#This Row],[Maximalleistung MW Hochrechnung]])</calculatedColumnFormula>
    </tableColumn>
    <tableColumn id="10" xr3:uid="{00000000-0010-0000-1500-00000A000000}" name="installierte Leistung MW Literatur" dataDxfId="1878">
      <calculatedColumnFormula>Tabelle5897111426[[#This Row],[Maximalleistung MW Literatur]]</calculatedColumnFormula>
    </tableColumn>
    <tableColumn id="78" xr3:uid="{07A9C1DA-5F07-4EE4-B709-237E6392DD0C}" name="installierte Leistung MW Hochrechnung" dataDxfId="1877"/>
    <tableColumn id="11" xr3:uid="{00000000-0010-0000-1500-00000B000000}" name="Aktivierungsdauer (h)" dataDxfId="1876"/>
    <tableColumn id="61" xr3:uid="{00000000-0010-0000-1500-00003D000000}" name="Schaltdauer pos. min (h)" dataDxfId="1875"/>
    <tableColumn id="60" xr3:uid="{00000000-0010-0000-1500-00003C000000}" name="Schaltdauer pos. max (h)" dataDxfId="1874"/>
    <tableColumn id="12" xr3:uid="{00000000-0010-0000-1500-00000C000000}" name="Schaltdauer pos. (h)" dataDxfId="1873"/>
    <tableColumn id="63" xr3:uid="{00000000-0010-0000-1500-00003F000000}" name="Schaltdauer neg min (h)" dataDxfId="1872"/>
    <tableColumn id="62" xr3:uid="{00000000-0010-0000-1500-00003E000000}" name="Schaltdauer neg. max (h)" dataDxfId="1871"/>
    <tableColumn id="51" xr3:uid="{00000000-0010-0000-1500-000033000000}" name="Schaltdauer neg. (h)" dataDxfId="1870"/>
    <tableColumn id="42" xr3:uid="{00000000-0010-0000-1500-00002A000000}" name="Verschiebedauer min. (h)" dataDxfId="1869"/>
    <tableColumn id="4" xr3:uid="{00000000-0010-0000-1500-000004000000}" name="Verschiebedauer max (h)" dataDxfId="1868"/>
    <tableColumn id="13" xr3:uid="{00000000-0010-0000-1500-00000D000000}" name="Verschiebedauer (h)" dataDxfId="1867"/>
    <tableColumn id="14" xr3:uid="{00000000-0010-0000-1500-00000E000000}" name="Regenerationsdauer (h)" dataDxfId="1866"/>
    <tableColumn id="15" xr3:uid="{00000000-0010-0000-1500-00000F000000}" name="Zeitverfügbarkeit?" dataDxfId="1865"/>
    <tableColumn id="16" xr3:uid="{00000000-0010-0000-1500-000010000000}" name="max. Abrufhäufigkeit pro Woche" dataDxfId="1864"/>
    <tableColumn id="40" xr3:uid="{00000000-0010-0000-1500-000028000000}" name="max. Abrufhäufigkeit pro Jahr" dataDxfId="1863"/>
    <tableColumn id="57" xr3:uid="{00000000-0010-0000-1500-000039000000}" name="min. Investitionsausgaben €_2018/kW" dataDxfId="1862"/>
    <tableColumn id="56" xr3:uid="{00000000-0010-0000-1500-000038000000}" name="max. Investitionsausgaben €_2018/kW" dataDxfId="1861"/>
    <tableColumn id="17" xr3:uid="{00000000-0010-0000-1500-000011000000}" name="Investitionsausgaben €_2018/kW" dataDxfId="1860"/>
    <tableColumn id="59" xr3:uid="{00000000-0010-0000-1500-00003B000000}" name="var. Kosten min. €_2018/MWh" dataDxfId="1859"/>
    <tableColumn id="58" xr3:uid="{00000000-0010-0000-1500-00003A000000}" name="var. Kosten max. €_2018/MWh" dataDxfId="1858"/>
    <tableColumn id="18" xr3:uid="{00000000-0010-0000-1500-000012000000}" name="variable Kosten €_2018/MWh" dataDxfId="1857"/>
    <tableColumn id="64" xr3:uid="{00000000-0010-0000-1500-000040000000}" name="fixe Kosten min. €_2018/kW*a" dataDxfId="1856"/>
    <tableColumn id="19" xr3:uid="{00000000-0010-0000-1500-000013000000}" name="fixe Kosten €_2018/kW*a" dataDxfId="1855"/>
    <tableColumn id="48" xr3:uid="{00000000-0010-0000-1500-000030000000}" name="Investitionsausgaben je Anschlusspunkt (€_2018)" dataDxfId="1854"/>
    <tableColumn id="20" xr3:uid="{00000000-0010-0000-1500-000014000000}" name="Bemerkungen" dataDxfId="1853"/>
    <tableColumn id="55" xr3:uid="{00000000-0010-0000-1500-000037000000}" name="Fundstelle Lastverschiebung" dataDxfId="1852"/>
    <tableColumn id="54" xr3:uid="{00000000-0010-0000-1500-000036000000}" name="Fundstelle Lastverzicht" dataDxfId="1851"/>
    <tableColumn id="21" xr3:uid="{00000000-0010-0000-1500-000015000000}" name="Fundstelle Potenzial pos." dataDxfId="1850"/>
    <tableColumn id="22" xr3:uid="{00000000-0010-0000-1500-000016000000}" name="Fundstelle Potenzial neg." dataDxfId="1849"/>
    <tableColumn id="23" xr3:uid="{00000000-0010-0000-1500-000017000000}" name="Fundstelle Mindestleistung" dataDxfId="1848"/>
    <tableColumn id="43" xr3:uid="{00000000-0010-0000-1500-00002B000000}" name="Fundstelle flexibilisierbarer Anteil" dataDxfId="1847"/>
    <tableColumn id="66" xr3:uid="{00000000-0010-0000-1500-000042000000}" name="Fundstelle Durchschnittsauslastung" dataDxfId="1846"/>
    <tableColumn id="45" xr3:uid="{00000000-0010-0000-1500-00002D000000}" name="Fundstelle durchschnittliche Leistung" dataDxfId="1845"/>
    <tableColumn id="24" xr3:uid="{00000000-0010-0000-1500-000018000000}" name="Fundstelle Maximalleistung" dataDxfId="1844"/>
    <tableColumn id="25" xr3:uid="{00000000-0010-0000-1500-000019000000}" name="Fundstelle installierte Leistung" dataDxfId="1843"/>
    <tableColumn id="39" xr3:uid="{00000000-0010-0000-1500-000027000000}" name="Fundstelle Aktivierungsdauer" dataDxfId="1842"/>
    <tableColumn id="26" xr3:uid="{00000000-0010-0000-1500-00001A000000}" name="Fundstelle Schaltdauer" dataDxfId="1841"/>
    <tableColumn id="27" xr3:uid="{00000000-0010-0000-1500-00001B000000}" name="Fundstelle Verschiebedauer" dataDxfId="1840"/>
    <tableColumn id="28" xr3:uid="{00000000-0010-0000-1500-00001C000000}" name="Fundstelle Regenerationsdauer" dataDxfId="1839"/>
    <tableColumn id="29" xr3:uid="{00000000-0010-0000-1500-00001D000000}" name="Fundstelle Zeitverfügbarkeit" dataDxfId="1838"/>
    <tableColumn id="30" xr3:uid="{00000000-0010-0000-1500-00001E000000}" name="Fundstelle max. Abrufhäufigkeit" dataDxfId="1837"/>
    <tableColumn id="31" xr3:uid="{00000000-0010-0000-1500-00001F000000}" name="Fundstelle Invest" dataDxfId="1836"/>
    <tableColumn id="32" xr3:uid="{00000000-0010-0000-1500-000020000000}" name="Fundstelle var. Kosten" dataDxfId="1835"/>
    <tableColumn id="33" xr3:uid="{00000000-0010-0000-1500-000021000000}" name="Fundstelle fixe Kosten" dataDxfId="1834"/>
    <tableColumn id="49" xr3:uid="{00000000-0010-0000-1500-000031000000}" name="Fundstelle Investition je Anschlusspunkt" dataDxfId="1833"/>
    <tableColumn id="34" xr3:uid="{00000000-0010-0000-1500-000022000000}" name="Fundstelle Bemerkungen" dataDxfId="1832"/>
    <tableColumn id="35" xr3:uid="{00000000-0010-0000-1500-000023000000}" name="eigene Anmerkung" dataDxfId="183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elle58971115" displayName="Tabelle58971115" ref="A1:CI121" totalsRowShown="0" headerRowDxfId="1830" dataDxfId="1829" tableBorderDxfId="1828">
  <autoFilter ref="A1:CI121" xr:uid="{00000000-0009-0000-0100-00000E000000}"/>
  <tableColumns count="87">
    <tableColumn id="1" xr3:uid="{00000000-0010-0000-0900-000001000000}" name="Prozess" dataDxfId="1827"/>
    <tableColumn id="47" xr3:uid="{00000000-0010-0000-0900-00002F000000}" name="Sektorenzuordnung" dataDxfId="1826"/>
    <tableColumn id="76" xr3:uid="{00000000-0010-0000-0900-00004C000000}" name="Gruppenzuordnung" dataDxfId="1825">
      <calculatedColumnFormula>VLOOKUP(Tabelle58971115[[#This Row],[Prozess]],#REF!,3,FALSE)</calculatedColumnFormula>
    </tableColumn>
    <tableColumn id="2" xr3:uid="{00000000-0010-0000-0900-000002000000}" name="Jahr" dataDxfId="1824"/>
    <tableColumn id="52" xr3:uid="{00000000-0010-0000-0900-000034000000}" name="Lastverschiebung" dataDxfId="1823"/>
    <tableColumn id="53" xr3:uid="{00000000-0010-0000-0900-000035000000}" name="Lastverzicht" dataDxfId="1822"/>
    <tableColumn id="83" xr3:uid="{D00C9E1C-CA55-47FC-B1C2-2694ECF1425A}" name="Lasterhöhung" dataDxfId="1821"/>
    <tableColumn id="69" xr3:uid="{00000000-0010-0000-0900-000045000000}" name="vorziehen" dataDxfId="1820"/>
    <tableColumn id="68" xr3:uid="{00000000-0010-0000-0900-000044000000}" name="verzögern" dataDxfId="1819"/>
    <tableColumn id="67" xr3:uid="{00000000-0010-0000-0900-000043000000}" name="Stromverbrauch in TWh" dataDxfId="1818"/>
    <tableColumn id="87" xr3:uid="{73478AAB-DF67-4DD5-8616-D6123C8EA183}" name="jährliche Produktion kt" dataDxfId="1817"/>
    <tableColumn id="86" xr3:uid="{76404C21-E30C-4A04-8D9C-8FBB8F9F0DD5}" name="spez. StV kWh/t" dataDxfId="1816"/>
    <tableColumn id="3" xr3:uid="{00000000-0010-0000-0900-000003000000}" name="Potenzial pos. min MW" dataDxfId="1815"/>
    <tableColumn id="38" xr3:uid="{00000000-0010-0000-0900-000026000000}" name="Potenzial pos. MW Durchschnitt" dataDxfId="1814"/>
    <tableColumn id="5" xr3:uid="{00000000-0010-0000-0900-000005000000}" name="Potenzial pos. max MW" dataDxfId="1813"/>
    <tableColumn id="37" xr3:uid="{00000000-0010-0000-0900-000025000000}" name="ausgewiesenes Pot. pos. MW (falls abweichend)" dataDxfId="1812"/>
    <tableColumn id="50" xr3:uid="{00000000-0010-0000-0900-000032000000}" name="Potenzial neg. min MW" dataDxfId="1811"/>
    <tableColumn id="41" xr3:uid="{00000000-0010-0000-0900-000029000000}" name="Potenzial neg. MW Durchschnitt" dataDxfId="1810"/>
    <tableColumn id="6" xr3:uid="{00000000-0010-0000-0900-000006000000}" name="Potenzial neg. max MW" dataDxfId="1809"/>
    <tableColumn id="7" xr3:uid="{00000000-0010-0000-0900-000007000000}" name="Mindestleistung MW" dataDxfId="1808"/>
    <tableColumn id="8" xr3:uid="{00000000-0010-0000-0900-000008000000}" name="Mindestauslastung" dataDxfId="1807" dataCellStyle="Prozent"/>
    <tableColumn id="36" xr3:uid="{00000000-0010-0000-0900-000024000000}" name="flexibilisierbarer Anteil" dataDxfId="1806" dataCellStyle="Prozent"/>
    <tableColumn id="72" xr3:uid="{00000000-0010-0000-0900-000048000000}" name="flex. Anteil pos." dataDxfId="1805" dataCellStyle="Prozent"/>
    <tableColumn id="71" xr3:uid="{00000000-0010-0000-0900-000047000000}" name="flex. Anteil neg." dataDxfId="1804" dataCellStyle="Prozent"/>
    <tableColumn id="65" xr3:uid="{00000000-0010-0000-0900-000041000000}" name="Durchschnittsauslastung im Betriebszeitraum" dataDxfId="1803" dataCellStyle="Prozent"/>
    <tableColumn id="85" xr3:uid="{F3E08D92-44E7-48C6-B894-FB6D6A5AE1E4}" name="Durchschnittsauslastung" dataDxfId="1802" dataCellStyle="Prozent">
      <calculatedColumnFormula>IF(AND(Tabelle58971115[[#This Row],[Durchschnittsauslastung im Betriebszeitraum]]&lt;&gt;"",Tabelle58971115[[#This Row],[Revisionszeiten]]&lt;&gt;""),Tabelle58971115[[#This Row],[Durchschnittsauslastung im Betriebszeitraum]]-Tabelle58971115[[#This Row],[Revisionszeiten]],"")</calculatedColumnFormula>
    </tableColumn>
    <tableColumn id="84" xr3:uid="{F3FC572C-A654-4A1F-A464-E831176BA120}" name="Revisionszeiten" dataDxfId="1801" dataCellStyle="Prozent"/>
    <tableColumn id="44" xr3:uid="{00000000-0010-0000-0900-00002C000000}" name="Durchschnittliche Leistung MW" dataDxfId="1800" dataCellStyle="Prozent"/>
    <tableColumn id="9" xr3:uid="{00000000-0010-0000-0900-000009000000}" name="Maximalleistung MW" dataDxfId="1799"/>
    <tableColumn id="46" xr3:uid="{00000000-0010-0000-0900-00002E000000}" name="Maximalauslastung" dataDxfId="1798" dataCellStyle="Prozent"/>
    <tableColumn id="10" xr3:uid="{00000000-0010-0000-0900-00000A000000}" name="installierte Leistung MW" dataDxfId="1797"/>
    <tableColumn id="80" xr3:uid="{00000000-0010-0000-0900-000050000000}" name="Wirkungsgrad min. (%)" dataDxfId="1796"/>
    <tableColumn id="79" xr3:uid="{00000000-0010-0000-0900-00004F000000}" name="Wirkungsgrad max. (%)" dataDxfId="1795"/>
    <tableColumn id="77" xr3:uid="{00000000-0010-0000-0900-00004D000000}" name="Wirkungsgrad (%)" dataDxfId="1794"/>
    <tableColumn id="11" xr3:uid="{00000000-0010-0000-0900-00000B000000}" name="Aktivierungsdauer (h)" dataDxfId="1793"/>
    <tableColumn id="61" xr3:uid="{00000000-0010-0000-0900-00003D000000}" name="Schaltdauer pos. min (h)" dataDxfId="1792"/>
    <tableColumn id="60" xr3:uid="{00000000-0010-0000-0900-00003C000000}" name="Schaltdauer pos. max (h)" dataDxfId="1791"/>
    <tableColumn id="12" xr3:uid="{00000000-0010-0000-0900-00000C000000}" name="Schaltdauer pos. (h)" dataDxfId="1790"/>
    <tableColumn id="63" xr3:uid="{00000000-0010-0000-0900-00003F000000}" name="Schaltdauer neg min (h)" dataDxfId="1789"/>
    <tableColumn id="62" xr3:uid="{00000000-0010-0000-0900-00003E000000}" name="Schaltdauer neg. max (h)" dataDxfId="1788"/>
    <tableColumn id="51" xr3:uid="{00000000-0010-0000-0900-000033000000}" name="Schaltdauer neg. (h)" dataDxfId="1787"/>
    <tableColumn id="42" xr3:uid="{00000000-0010-0000-0900-00002A000000}" name="Verschiebedauer min. (h)" dataDxfId="1786"/>
    <tableColumn id="4" xr3:uid="{00000000-0010-0000-0900-000004000000}" name="Verschiebedauer max (h)" dataDxfId="1785"/>
    <tableColumn id="13" xr3:uid="{00000000-0010-0000-0900-00000D000000}" name="Verschiebedauer (h)" dataDxfId="1784"/>
    <tableColumn id="14" xr3:uid="{00000000-0010-0000-0900-00000E000000}" name="Regenerationsdauer (h)" dataDxfId="1783"/>
    <tableColumn id="15" xr3:uid="{00000000-0010-0000-0900-00000F000000}" name="Zeitverfügbarkeit?" dataDxfId="1782"/>
    <tableColumn id="70" xr3:uid="{00000000-0010-0000-0900-000046000000}" name="Temperaturabhängigkeit?" dataDxfId="1781"/>
    <tableColumn id="82" xr3:uid="{00000000-0010-0000-0900-000052000000}" name="max. Abrufhäufigkeit pro Tag" dataDxfId="1780"/>
    <tableColumn id="16" xr3:uid="{00000000-0010-0000-0900-000010000000}" name="max. Abrufhäufigkeit pro Woche" dataDxfId="1779"/>
    <tableColumn id="40" xr3:uid="{00000000-0010-0000-0900-000028000000}" name="max. Abrufhäufigkeit pro Jahr" dataDxfId="1778"/>
    <tableColumn id="57" xr3:uid="{00000000-0010-0000-0900-000039000000}" name="min. Investitionsausgaben €_2018/kW" dataDxfId="1777"/>
    <tableColumn id="56" xr3:uid="{00000000-0010-0000-0900-000038000000}" name="max. Investitionsausgaben €_2018/kW" dataDxfId="1776"/>
    <tableColumn id="17" xr3:uid="{00000000-0010-0000-0900-000011000000}" name="Investitionsausgaben €_2018/kW" dataDxfId="1775"/>
    <tableColumn id="59" xr3:uid="{00000000-0010-0000-0900-00003B000000}" name="var. Kosten min. €_2018/MWh" dataDxfId="1774"/>
    <tableColumn id="18" xr3:uid="{00000000-0010-0000-0900-000012000000}" name="variable Kosten €_2018/MWh" dataDxfId="1773"/>
    <tableColumn id="64" xr3:uid="{00000000-0010-0000-0900-000040000000}" name="fixe Kosten min. €_2018/kW*a" dataDxfId="1772"/>
    <tableColumn id="19" xr3:uid="{00000000-0010-0000-0900-000013000000}" name="fixe Kosten €_2018/kW*a" dataDxfId="1771"/>
    <tableColumn id="48" xr3:uid="{00000000-0010-0000-0900-000030000000}" name="Investitionsausgaben je Anschlusspunkt (€_2018)" dataDxfId="1770"/>
    <tableColumn id="58" xr3:uid="{00000000-0010-0000-0900-00003A000000}" name="durchschnittliche Verfügbarkeit (% p.a.)" dataDxfId="1769"/>
    <tableColumn id="20" xr3:uid="{00000000-0010-0000-0900-000014000000}" name="Bemerkungen" dataDxfId="1768"/>
    <tableColumn id="55" xr3:uid="{00000000-0010-0000-0900-000037000000}" name="Fundstelle Lastverschiebung" dataDxfId="1767"/>
    <tableColumn id="54" xr3:uid="{00000000-0010-0000-0900-000036000000}" name="Fundstelle Lastverzicht" dataDxfId="1766"/>
    <tableColumn id="74" xr3:uid="{00000000-0010-0000-0900-00004A000000}" name="Fundstelle verzögern/vorziehen" dataDxfId="1765"/>
    <tableColumn id="73" xr3:uid="{00000000-0010-0000-0900-000049000000}" name="Fundstelle Stromverbrauch" dataDxfId="1764"/>
    <tableColumn id="21" xr3:uid="{00000000-0010-0000-0900-000015000000}" name="Fundstelle Potenzial pos." dataDxfId="1763"/>
    <tableColumn id="22" xr3:uid="{00000000-0010-0000-0900-000016000000}" name="Fundstelle Potenzial neg." dataDxfId="1762"/>
    <tableColumn id="23" xr3:uid="{00000000-0010-0000-0900-000017000000}" name="Fundstelle Mindestleistung" dataDxfId="1761"/>
    <tableColumn id="75" xr3:uid="{00000000-0010-0000-0900-00004B000000}" name="Fundstelle Mindestauslastung" dataDxfId="1760"/>
    <tableColumn id="43" xr3:uid="{00000000-0010-0000-0900-00002B000000}" name="Fundstelle flexibilisierbarer Anteil" dataDxfId="1759"/>
    <tableColumn id="66" xr3:uid="{00000000-0010-0000-0900-000042000000}" name="Fundstelle Durchschnittsauslastung" dataDxfId="1758"/>
    <tableColumn id="45" xr3:uid="{00000000-0010-0000-0900-00002D000000}" name="Fundstelle durchschnittliche Leistung" dataDxfId="1757"/>
    <tableColumn id="24" xr3:uid="{00000000-0010-0000-0900-000018000000}" name="Fundstelle Maximalleistung" dataDxfId="1756"/>
    <tableColumn id="25" xr3:uid="{00000000-0010-0000-0900-000019000000}" name="Fundstelle installierte Leistung" dataDxfId="1755"/>
    <tableColumn id="78" xr3:uid="{00000000-0010-0000-0900-00004E000000}" name="Fundstelle Wirkungsgrad" dataDxfId="1754"/>
    <tableColumn id="39" xr3:uid="{00000000-0010-0000-0900-000027000000}" name="Fundstelle Aktivierungsdauer" dataDxfId="1753"/>
    <tableColumn id="26" xr3:uid="{00000000-0010-0000-0900-00001A000000}" name="Fundstelle Schaltdauer" dataDxfId="1752"/>
    <tableColumn id="27" xr3:uid="{00000000-0010-0000-0900-00001B000000}" name="Fundstelle Verschiebedauer" dataDxfId="1751"/>
    <tableColumn id="28" xr3:uid="{00000000-0010-0000-0900-00001C000000}" name="Fundstelle Regenerationsdauer" dataDxfId="1750"/>
    <tableColumn id="29" xr3:uid="{00000000-0010-0000-0900-00001D000000}" name="Fundstelle Zeitverfügbarkeit" dataDxfId="1749"/>
    <tableColumn id="30" xr3:uid="{00000000-0010-0000-0900-00001E000000}" name="Fundstelle max. Abrufhäufigkeit" dataDxfId="1748"/>
    <tableColumn id="31" xr3:uid="{00000000-0010-0000-0900-00001F000000}" name="Fundstelle Invest" dataDxfId="1747"/>
    <tableColumn id="32" xr3:uid="{00000000-0010-0000-0900-000020000000}" name="Fundstelle var. Kosten" dataDxfId="1746"/>
    <tableColumn id="33" xr3:uid="{00000000-0010-0000-0900-000021000000}" name="Fundstelle fixe Kosten" dataDxfId="1745"/>
    <tableColumn id="49" xr3:uid="{00000000-0010-0000-0900-000031000000}" name="Fundstelle Investition je Anschlusspunkt" dataDxfId="1744"/>
    <tableColumn id="81" xr3:uid="{00000000-0010-0000-0900-000051000000}" name="Fundstelle durchschn. Verfügbarkeit" dataDxfId="1743"/>
    <tableColumn id="34" xr3:uid="{00000000-0010-0000-0900-000022000000}" name="Fundstelle Bemerkungen" dataDxfId="1742"/>
    <tableColumn id="35" xr3:uid="{00000000-0010-0000-0900-000023000000}" name="eigene Anmerkung" dataDxfId="174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94B9E8-0300-493E-90B3-9DC30C6FD01F}" name="Tabelle589711142925" displayName="Tabelle589711142925" ref="A1:BT23" totalsRowShown="0" headerRowDxfId="1740" dataDxfId="1739" tableBorderDxfId="1738">
  <autoFilter ref="A1:BT23" xr:uid="{7EAE93F4-011F-46D7-80B5-BF43F400E70A}"/>
  <tableColumns count="72">
    <tableColumn id="1" xr3:uid="{045C2232-272F-4C0E-A404-0DA4AF632BE0}" name="Prozess" dataDxfId="1737"/>
    <tableColumn id="47" xr3:uid="{8495DA7A-9A6F-4013-B722-627056C22C67}" name="Sektorenzuordnung" dataDxfId="1736"/>
    <tableColumn id="2" xr3:uid="{5F3BB2BF-0030-4870-8CE7-A6BCF3B5650A}" name="Jahr" dataDxfId="1735"/>
    <tableColumn id="52" xr3:uid="{AE97C1CB-42DB-4746-A36D-3FD73C4F33DA}" name="Lastverschiebung" dataDxfId="1734"/>
    <tableColumn id="53" xr3:uid="{F7B83E07-5B62-4092-A86A-1EBB0455F116}" name="Lastverzicht" dataDxfId="1733"/>
    <tableColumn id="69" xr3:uid="{C2AD5E8D-EA9D-4019-BED4-233E90018CAB}" name="Lasterhöhung" dataDxfId="1732"/>
    <tableColumn id="3" xr3:uid="{73B8CC09-2EA5-4249-9257-3212D6627890}" name="Potenzial pos. min MW" dataDxfId="1731"/>
    <tableColumn id="38" xr3:uid="{CD11BC61-6ED5-4A29-8542-4BB43FF35E3D}" name="Potenzial pos. MW Durchschnitt" dataDxfId="1730"/>
    <tableColumn id="5" xr3:uid="{B21FD136-F085-438A-9924-CD0D51483B05}" name="Potenzial pos. max MW Referenz" dataDxfId="1729"/>
    <tableColumn id="70" xr3:uid="{AAE5CB0A-F53F-486F-AAE9-9F758DF761ED}" name="Potenzial pos. max MW optimistisch (Szenario 2)" dataDxfId="1728"/>
    <tableColumn id="37" xr3:uid="{166B3C91-BD06-4649-97D6-8F43383712F1}" name="ausgewiesenes Pot. pos. MW (falls abweichend)" dataDxfId="1727"/>
    <tableColumn id="50" xr3:uid="{6B1D4FA1-C323-44E5-BDE1-874A04CC49C7}" name="Potenzial neg. min MW" dataDxfId="1726"/>
    <tableColumn id="41" xr3:uid="{97FDE5ED-1FAD-4483-AE14-7F11096542F1}" name="Potenzial neg. MW Durchschnitt" dataDxfId="1725"/>
    <tableColumn id="6" xr3:uid="{D8F7CFB2-101F-441C-BB94-E7EFB9D8CDE4}" name="Potenzial neg. max MW Referenz" dataDxfId="1724"/>
    <tableColumn id="71" xr3:uid="{F33F00BC-C9E3-48CD-B3B7-38144677E60D}" name="Potenzial neg. max MW optimistisch (Szenario 2)" dataDxfId="1723"/>
    <tableColumn id="7" xr3:uid="{1F645A32-EBDB-4C35-9C41-855D1D91E506}" name="Mindestleistung MW" dataDxfId="1722"/>
    <tableColumn id="8" xr3:uid="{84D733FD-6A6F-44D1-883F-DBAB3439E7B4}" name="Mindestauslastung" dataDxfId="1721" dataCellStyle="Prozent"/>
    <tableColumn id="36" xr3:uid="{2B34BD4D-73F4-48A6-B584-962F72941DF5}" name="flexibilisierbarer Anteil Referenz" dataDxfId="1720" dataCellStyle="Prozent"/>
    <tableColumn id="72" xr3:uid="{7A6C2CC3-F7C2-4F9C-999E-51F05B5C59D1}" name="flexibilisierbarer Anteil optimistisch (Szenario 2)" dataDxfId="1719" dataCellStyle="Prozent"/>
    <tableColumn id="67" xr3:uid="{A6CE399B-5245-438D-B0D0-C59E801F3220}" name="flexibilisierbarer Anteil an Durchschnittslast" dataDxfId="1718" dataCellStyle="Prozent"/>
    <tableColumn id="65" xr3:uid="{EC8BB835-AF3F-48C2-977C-E89612C80504}" name="Durchschnittsauslastung" dataDxfId="1717" dataCellStyle="Prozent"/>
    <tableColumn id="44" xr3:uid="{5B4B4BF2-5A19-445F-AD7D-C12335587820}" name="Durchschnittliche Leistung MW" dataDxfId="1716" dataCellStyle="Prozent"/>
    <tableColumn id="9" xr3:uid="{552A5609-B18E-41A4-8FFC-904789674D74}" name="Maximalleistung MW Referenz" dataDxfId="1715">
      <calculatedColumnFormula>Tabelle589711142925[[#This Row],[Potenzial pos. max MW Referenz]]/Tabelle589711142925[[#This Row],[flexibilisierbarer Anteil Referenz]]</calculatedColumnFormula>
    </tableColumn>
    <tableColumn id="73" xr3:uid="{1FD7190F-3159-40B2-97A8-71358D96849F}" name="Maximalleistung MW optimistisch (Szenario 2)" dataDxfId="1714">
      <calculatedColumnFormula>Tabelle589711142925[[#This Row],[Potenzial pos. max MW optimistisch (Szenario 2)]]/Tabelle589711142925[[#This Row],[flexibilisierbarer Anteil optimistisch (Szenario 2)]]</calculatedColumnFormula>
    </tableColumn>
    <tableColumn id="46" xr3:uid="{33AD6F99-59FE-459D-9758-5CB19053949E}" name="Maximalauslastung" dataDxfId="1713" dataCellStyle="Prozent"/>
    <tableColumn id="10" xr3:uid="{1BECD251-EC06-4FDD-8DB5-E63239B46588}" name="installierte Leistung MW" dataDxfId="1712"/>
    <tableColumn id="11" xr3:uid="{E6958FD0-46DA-49FB-B9F2-4324FD68D54F}" name="Aktivierungsdauer (h)" dataDxfId="1711"/>
    <tableColumn id="61" xr3:uid="{3F425F1B-D1E3-47D7-9BBB-607A6551AB37}" name="Schaltdauer pos. min (h)" dataDxfId="1710"/>
    <tableColumn id="60" xr3:uid="{2F9C3DC6-EFA4-408E-AFA9-484119FF72B5}" name="Schaltdauer pos. max (h)" dataDxfId="1709"/>
    <tableColumn id="12" xr3:uid="{84CDBDEE-91ED-407B-B88F-FA3260EAC338}" name="Schaltdauer pos. (h)" dataDxfId="1708"/>
    <tableColumn id="63" xr3:uid="{9536D959-DD2A-4EF3-9AD2-58D80B4659EC}" name="Schaltdauer neg min (h)" dataDxfId="1707"/>
    <tableColumn id="62" xr3:uid="{820E0C62-35DD-4C97-A127-9111E86F4E05}" name="Schaltdauer neg. max (h)" dataDxfId="1706"/>
    <tableColumn id="51" xr3:uid="{E728A012-DD51-4300-81E6-9256AB27A0A0}" name="Schaltdauer neg. (h)" dataDxfId="1705"/>
    <tableColumn id="42" xr3:uid="{817FA22F-D712-4706-9B28-FBE68D33796E}" name="Verschiebedauer min. (h)" dataDxfId="1704"/>
    <tableColumn id="4" xr3:uid="{D0BAC23A-A00A-4D26-8B9E-AE934026C61F}" name="Verschiebedauer max (h)" dataDxfId="1703"/>
    <tableColumn id="13" xr3:uid="{90AE4397-79B7-4FA1-AC6A-4B5B5DCD495C}" name="Verschiebedauer (h) Referenz" dataDxfId="1702"/>
    <tableColumn id="14" xr3:uid="{96F84580-8C22-4ACD-A1E1-DD512D98B5EA}" name="Verschiebedauer (h) optimistisch (Szenario 2)" dataDxfId="1701"/>
    <tableColumn id="15" xr3:uid="{6B2A6DD0-746B-42D1-AE70-03EA3DFD4EB1}" name="Zeitverfügbarkeit?" dataDxfId="1700"/>
    <tableColumn id="16" xr3:uid="{417BC600-44B2-4952-B1B8-64E70A395559}" name="max. Abrufhäufigkeit pro Woche" dataDxfId="1699"/>
    <tableColumn id="40" xr3:uid="{E4CB732A-9C34-4EBA-B99B-478684C0AF39}" name="max. Abrufhäufigkeit pro Jahr" dataDxfId="1698"/>
    <tableColumn id="57" xr3:uid="{E49C68B2-EEF7-4FA1-A337-20F72E6B59EF}" name="min. Investitionsausgaben €_2018/kW" dataDxfId="1697"/>
    <tableColumn id="56" xr3:uid="{2E86C1A6-7989-4496-AAF2-2292A0533899}" name="max. Investitionsausgaben €_2018/kW" dataDxfId="1696"/>
    <tableColumn id="17" xr3:uid="{B76F8ED5-D504-453A-BEB6-61D49B9E02C9}" name="Investitionsausgaben €_2018/kW" dataDxfId="1695"/>
    <tableColumn id="59" xr3:uid="{CB15CDB7-B408-459B-A9BA-F7007EAC8FBF}" name="var. Kosten min. €_2018/MWh" dataDxfId="1694"/>
    <tableColumn id="58" xr3:uid="{9372D930-947E-44BF-A90A-DEE137CFA409}" name="var. Kosten max. €_2018/MWh" dataDxfId="1693"/>
    <tableColumn id="18" xr3:uid="{3BDD2174-6D0F-4F74-8C59-9890942FD34B}" name="variable Kosten €_2018/MWh" dataDxfId="1692"/>
    <tableColumn id="64" xr3:uid="{A58DA8CB-D316-4ACD-9218-E27E4D37B6AE}" name="fixe Kosten min. €_2018/kW*a" dataDxfId="1691"/>
    <tableColumn id="19" xr3:uid="{0160956C-3631-4FC8-920D-9F7C03881E5E}" name="fixe Kosten €_2018/kW*a" dataDxfId="1690"/>
    <tableColumn id="48" xr3:uid="{1F2446C9-9970-4CF2-9242-6DCD9CD42A54}" name="Investitionsausgaben je Anschlusspunkt (€_2018)" dataDxfId="1689"/>
    <tableColumn id="20" xr3:uid="{26D8F49A-24DF-4A95-99E3-F23BCA77CEB0}" name="Bemerkungen" dataDxfId="1688"/>
    <tableColumn id="55" xr3:uid="{BB4CF91F-7FC2-4EDA-AA87-F78DB28FCAB5}" name="Fundstelle Lastverschiebung" dataDxfId="1687"/>
    <tableColumn id="54" xr3:uid="{4CC1BC5F-41CB-4C93-A647-5360CB4E91B2}" name="Fundstelle Lastverzicht" dataDxfId="1686"/>
    <tableColumn id="21" xr3:uid="{A6AC0C1F-6B9A-4521-9413-31DE9AFA8D4C}" name="Fundstelle Potenzial pos." dataDxfId="1685"/>
    <tableColumn id="22" xr3:uid="{EF3F114A-DB07-4E45-AD14-B5EB9C568644}" name="Fundstelle Potenzial neg." dataDxfId="1684"/>
    <tableColumn id="23" xr3:uid="{1A26511B-8C00-452E-A0E5-4CAAA6A442E5}" name="Fundstelle Mindestleistung" dataDxfId="1683"/>
    <tableColumn id="43" xr3:uid="{354E5854-DE4C-4A4E-9DBD-0860038E3407}" name="Fundstelle flexibilisierbarer Anteil" dataDxfId="1682"/>
    <tableColumn id="66" xr3:uid="{0ECA77BE-0D89-4580-A7C1-6B482BC34B84}" name="Fundstelle Durchschnittsauslastung" dataDxfId="1681"/>
    <tableColumn id="45" xr3:uid="{FD72B3DA-B33D-40C3-B879-5932E94FB1C9}" name="Fundstelle durchschnittliche Leistung" dataDxfId="1680"/>
    <tableColumn id="24" xr3:uid="{F8FD73D7-2FFE-49F6-94A1-F63AB9F28A86}" name="Fundstelle Maximalleistung" dataDxfId="1679"/>
    <tableColumn id="25" xr3:uid="{A10DF547-A22D-4B2D-91DE-833F848977DE}" name="Fundstelle installierte Leistung" dataDxfId="1678"/>
    <tableColumn id="39" xr3:uid="{E5A59A61-7647-4421-BF03-A234B5DBA670}" name="Fundstelle Aktivierungsdauer" dataDxfId="1677"/>
    <tableColumn id="26" xr3:uid="{1E1A396E-4253-4C59-B4C3-96BCFE70AEBF}" name="Fundstelle Schaltdauer" dataDxfId="1676"/>
    <tableColumn id="27" xr3:uid="{11A34591-0037-4C25-B158-6FBF5F6A874A}" name="Fundstelle Verschiebedauer" dataDxfId="1675"/>
    <tableColumn id="28" xr3:uid="{67B1CD86-A75D-4DFE-B838-D012EA8C10AA}" name="Fundstelle Regenerationsdauer" dataDxfId="1674"/>
    <tableColumn id="29" xr3:uid="{95CF2A93-DDE6-423F-A8C1-AACDEDE0B907}" name="Fundstelle Zeitverfügbarkeit" dataDxfId="1673"/>
    <tableColumn id="30" xr3:uid="{458878F8-9C20-4AD5-8165-C2485A8365C8}" name="Fundstelle max. Abrufhäufigkeit" dataDxfId="1672"/>
    <tableColumn id="31" xr3:uid="{98534495-4157-4713-AAFF-70B163E7DA6F}" name="Fundstelle Invest" dataDxfId="1671"/>
    <tableColumn id="32" xr3:uid="{198DD020-FF74-4DB5-9635-FC5D4D5CB9E6}" name="Fundstelle var. Kosten" dataDxfId="1670"/>
    <tableColumn id="33" xr3:uid="{99986DB4-3717-47AA-9722-E910DEA45EB1}" name="Fundstelle fixe Kosten" dataDxfId="1669"/>
    <tableColumn id="49" xr3:uid="{A18E3985-633E-4C7A-B8F9-166994B244BD}" name="Fundstelle Investition je Anschlusspunkt" dataDxfId="1668"/>
    <tableColumn id="34" xr3:uid="{BB7B6431-ECC6-424E-A545-036E71E8C54E}" name="Fundstelle Bemerkungen" dataDxfId="1667"/>
    <tableColumn id="35" xr3:uid="{9D2723F8-E541-4062-AE19-5071423D7010}" name="eigene Anmerkung" dataDxfId="166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936D27A-A89D-49D4-936C-A79372CFF782}" name="Tabelle58971117283235" displayName="Tabelle58971117283235" ref="A1:BW15" totalsRowShown="0" headerRowDxfId="1665" dataDxfId="1664" tableBorderDxfId="1663">
  <autoFilter ref="A1:BW15" xr:uid="{F701B2EC-E2AD-4208-957E-2645E6882D66}"/>
  <tableColumns count="75">
    <tableColumn id="1" xr3:uid="{60D4FDA9-9997-4B0E-8D45-9838C956EF80}" name="Prozess" dataDxfId="1662"/>
    <tableColumn id="47" xr3:uid="{3231BF80-5E4F-4907-B3C3-2F56FD15997B}" name="Sektorenzuordnung" dataDxfId="1661"/>
    <tableColumn id="2" xr3:uid="{ECDD713F-C18D-429B-892D-DB72464D78C1}" name="Jahr" dataDxfId="1660"/>
    <tableColumn id="52" xr3:uid="{904721C5-89FE-4DA0-9791-F6CD7835911F}" name="Lastverschiebung" dataDxfId="1659"/>
    <tableColumn id="53" xr3:uid="{EEE37A9B-F349-4734-A8D3-9F403FCBEF68}" name="Lastverzicht" dataDxfId="1658"/>
    <tableColumn id="68" xr3:uid="{668C5A4A-EE00-401A-AAD5-5EB8A19598D4}" name="Lasterhöhung" dataDxfId="1657"/>
    <tableColumn id="76" xr3:uid="{09A21753-3DBF-46D6-AC3B-5AF929EBCF7F}" name="Stromverbrauch von TWh" dataDxfId="1656"/>
    <tableColumn id="69" xr3:uid="{0E442F87-A96A-4544-B647-B26976D9EF8D}" name="Stromverbrauch bis TWh" dataDxfId="1655"/>
    <tableColumn id="3" xr3:uid="{FCA55FD3-0AEF-47EE-9A4B-BE0E81663A9D}" name="Potenzial pos. min MW" dataDxfId="1654"/>
    <tableColumn id="75" xr3:uid="{30D504FD-89B3-4972-BDDD-1D0FDB03908D}" name="Potenzial pos. MW Durchschnitt" dataDxfId="1653"/>
    <tableColumn id="5" xr3:uid="{CB4CAB24-3F6C-4A9A-A489-E4ED7605C338}" name="Potenzial pos. max MW" dataDxfId="1652"/>
    <tableColumn id="37" xr3:uid="{7ECF2D14-4284-4145-93B7-112E236DBE33}" name="ausgewiesenes Pot. pos. MW (falls abweichend)" dataDxfId="1651"/>
    <tableColumn id="50" xr3:uid="{87E58321-8A7E-4988-8E4F-4DC898AE64E3}" name="Potenzial neg. min MW" dataDxfId="1650"/>
    <tableColumn id="41" xr3:uid="{D059C1AC-18C1-4F8A-A018-145D4F0332AB}" name="Potenzial neg. MW Durchschnitt" dataDxfId="1649"/>
    <tableColumn id="6" xr3:uid="{32806F34-519A-4B45-99C5-C609149D3B5B}" name="Potenzial neg. max MW" dataDxfId="1648"/>
    <tableColumn id="7" xr3:uid="{CB692D92-EC2B-428C-A218-E1B289A8BCA1}" name="Mindestleistung MW" dataDxfId="1647"/>
    <tableColumn id="8" xr3:uid="{ECC8E31E-6FFF-4AFB-BFD9-8DA144B90D35}" name="Mindestauslastung" dataDxfId="1646" dataCellStyle="Prozent"/>
    <tableColumn id="36" xr3:uid="{D4D791BE-0078-4759-A4FE-9546D6AFBDE7}" name="flexibilisierbarer Anteil pos." dataDxfId="1645" dataCellStyle="Prozent"/>
    <tableColumn id="73" xr3:uid="{AE24365D-D19B-4EDE-A368-F4F49A20C332}" name="flexibilisierbarer Anteil neg." dataDxfId="1644" dataCellStyle="Prozent"/>
    <tableColumn id="65" xr3:uid="{5D05913C-06C6-4CDC-AA8B-E4D681CE9406}" name="Durchschnittsauslastung" dataDxfId="1643" dataCellStyle="Prozent"/>
    <tableColumn id="71" xr3:uid="{E84BC7A3-F949-4BE1-AEA0-2BCB441D055C}" name="Vollbenutzungsstunden h/a" dataDxfId="1642" dataCellStyle="Prozent"/>
    <tableColumn id="44" xr3:uid="{00571645-EB26-4B58-BC37-217560C3E85F}" name="Durchschnittliche Leistung MW" dataDxfId="1641" dataCellStyle="Prozent"/>
    <tableColumn id="9" xr3:uid="{02B8B5E4-8180-4205-82F9-3162FF12754B}" name="Maximalleistung MW" dataDxfId="1640"/>
    <tableColumn id="46" xr3:uid="{D306171C-BB20-4B62-BF39-8DA525D456BA}" name="Maximalauslastung" dataDxfId="1639" dataCellStyle="Prozent"/>
    <tableColumn id="10" xr3:uid="{10EEBF81-3ACE-4268-AD92-4995270BB74D}" name="installierte Leistung MW" dataDxfId="1638"/>
    <tableColumn id="11" xr3:uid="{D1B7628C-405B-4046-B8A2-05D733C1A26C}" name="Aktivierungsdauer (h)" dataDxfId="1637"/>
    <tableColumn id="61" xr3:uid="{BD29B452-DDF5-453C-B44B-A2AA31EBD494}" name="Schaltdauer pos. min (h)" dataDxfId="1636"/>
    <tableColumn id="60" xr3:uid="{FCC56CB6-3574-4C63-83F7-3266FC0FE471}" name="Schaltdauer pos. max (h)" dataDxfId="1635"/>
    <tableColumn id="12" xr3:uid="{A1B3B0FD-5B77-4301-BA1B-77FD15A1CA64}" name="Schaltdauer pos. (h)" dataDxfId="1634"/>
    <tableColumn id="63" xr3:uid="{5BF44D7F-CEF1-495D-BA97-1FE896B716DA}" name="Schaltdauer neg min (h)" dataDxfId="1633"/>
    <tableColumn id="62" xr3:uid="{7E8D768C-B9FC-4194-95E4-D88BCD53D754}" name="Schaltdauer neg. max (h)" dataDxfId="1632"/>
    <tableColumn id="51" xr3:uid="{6EF4DB76-DAE6-4E90-8A4B-CEC7BC36FF57}" name="Schaltdauer neg. (h)" dataDxfId="1631"/>
    <tableColumn id="42" xr3:uid="{0AA3ECBF-741C-4C84-A0FE-50B93347052F}" name="Verschiebedauer min. (h)" dataDxfId="1630"/>
    <tableColumn id="4" xr3:uid="{4CF0E444-4E1B-4528-BF5D-062182D6C455}" name="Verschiebedauer max (h)" dataDxfId="1629"/>
    <tableColumn id="13" xr3:uid="{2D701B35-5F44-4AF9-8800-0CF72DEE713D}" name="Verschiebedauer (h)" dataDxfId="1628"/>
    <tableColumn id="14" xr3:uid="{4DBBC50B-4226-4EE5-ACD9-DFE1DB8A69D5}" name="Regenerationsdauer (h)" dataDxfId="1627"/>
    <tableColumn id="15" xr3:uid="{A2B020A5-7980-4259-A265-1A687D072C8F}" name="Zeitverfügbarkeit?" dataDxfId="1626"/>
    <tableColumn id="16" xr3:uid="{3067C4F5-A517-4216-9C8B-8B04DFC7F560}" name="max. Abrufhäufigkeit pro Woche" dataDxfId="1625"/>
    <tableColumn id="40" xr3:uid="{1E8D0A45-5622-49CE-B70C-C807663AF835}" name="max. Abrufhäufigkeit pro Jahr" dataDxfId="1624"/>
    <tableColumn id="57" xr3:uid="{8500FE35-D41F-4AD6-B6A7-3C9CD1FA4197}" name="min. Investitionsausgaben €_2018/kW" dataDxfId="1623"/>
    <tableColumn id="56" xr3:uid="{D13DDC28-CD3A-48C5-A5F2-1B1B94CD78EA}" name="max. Investitionsausgaben €_2018/kW" dataDxfId="1622"/>
    <tableColumn id="17" xr3:uid="{0760F5D0-EA4F-478C-8B39-AAFA10CFD354}" name="Investitionsausgaben €_2018/kW" dataDxfId="1621"/>
    <tableColumn id="70" xr3:uid="{41221DBC-6094-48CD-89D3-00CE2E84B967}" name="Betriebskosten €_2018/kW*a" dataDxfId="1620"/>
    <tableColumn id="59" xr3:uid="{B1216194-4944-4383-9212-D8D7BF5577B1}" name="var. Kosten min. €_2018/MWh" dataDxfId="1619"/>
    <tableColumn id="58" xr3:uid="{6424FFBB-D09E-4D88-A133-A5107AA40643}" name="var. Kosten max. €_2018/MWh" dataDxfId="1618"/>
    <tableColumn id="18" xr3:uid="{42991765-E30B-4058-AD4B-2A38B8827A14}" name="variable Kosten €_2018/MWh" dataDxfId="1617"/>
    <tableColumn id="64" xr3:uid="{EE77537C-B3C5-4460-BE05-D72A5514C0E8}" name="fixe Kosten min. €_2018/kW*a" dataDxfId="1616"/>
    <tableColumn id="67" xr3:uid="{AB3036AB-5683-463D-B403-578873EE9681}" name="fixe Kosten max. €_2018/kW*a" dataDxfId="1615"/>
    <tableColumn id="19" xr3:uid="{131A3FCB-4F12-461B-BEDA-C747C313C050}" name="fixe Kosten €_2018/kW*a" dataDxfId="1614"/>
    <tableColumn id="48" xr3:uid="{E71596FC-1A46-4D7E-86B6-90CF3ED07B21}" name="Investitionsausgaben je Anschlusspunkt (€_2018)" dataDxfId="1613"/>
    <tableColumn id="20" xr3:uid="{D2CDA096-24C0-4AC8-81FC-053DEFC75665}" name="Bemerkungen" dataDxfId="1612"/>
    <tableColumn id="55" xr3:uid="{31D6DB02-4012-4AA2-91AB-D48F8329F0A2}" name="Fundstelle Lastverschiebung" dataDxfId="1611"/>
    <tableColumn id="54" xr3:uid="{B7C38E36-9CA7-4324-9229-28127122B928}" name="Fundstelle Lastverzicht" dataDxfId="1610"/>
    <tableColumn id="77" xr3:uid="{FA2B6ED1-6184-43E5-B407-7E87A3B615A5}" name="Fundstelle Stromverbrauch" dataDxfId="1609"/>
    <tableColumn id="21" xr3:uid="{106BB4FE-66C5-4C8E-BFE9-E1C42C35EA3E}" name="Fundstelle Potenzial pos." dataDxfId="1608"/>
    <tableColumn id="22" xr3:uid="{50973332-0E8D-4999-8298-3549B8C2A2EC}" name="Fundstelle Potenzial neg." dataDxfId="1607"/>
    <tableColumn id="23" xr3:uid="{8B55F8AD-70F9-47B5-A9CF-503F707F99BA}" name="Fundstelle Mindestleistung" dataDxfId="1606"/>
    <tableColumn id="43" xr3:uid="{70DE36C5-314D-413C-98DA-857C31A1D7C5}" name="Fundstelle flexibilisierbarer Anteil" dataDxfId="1605"/>
    <tableColumn id="66" xr3:uid="{0D8CBCD7-26BD-49C9-B3D7-F61792859F55}" name="Fundstelle Durchschnittsauslastung" dataDxfId="1604"/>
    <tableColumn id="45" xr3:uid="{4B27CD84-07E6-4607-A73C-B07E1D966440}" name="Fundstelle durchschnittliche Leistung" dataDxfId="1603"/>
    <tableColumn id="24" xr3:uid="{E88FE3FD-8B52-42B5-8CA3-47EDAB51CE83}" name="Fundstelle Maximalleistung" dataDxfId="1602"/>
    <tableColumn id="25" xr3:uid="{5AB8E9FB-0F74-44BD-978C-82DA7F5D8F25}" name="Fundstelle installierte Leistung" dataDxfId="1601"/>
    <tableColumn id="39" xr3:uid="{EA2024A4-BEBA-4616-B16F-7C11F00FDF54}" name="Fundstelle Aktivierungsdauer" dataDxfId="1600"/>
    <tableColumn id="26" xr3:uid="{8D708614-4FFC-42E6-80F3-A8B112113271}" name="Fundstelle Schaltdauer" dataDxfId="1599"/>
    <tableColumn id="27" xr3:uid="{28956575-1520-4CC4-B4C5-9F516A0B6E5D}" name="Fundstelle Verschiebedauer" dataDxfId="1598"/>
    <tableColumn id="28" xr3:uid="{A689A1CB-2511-4B80-AB1D-9DB5E9FD4107}" name="Fundstelle Regenerationsdauer" dataDxfId="1597"/>
    <tableColumn id="29" xr3:uid="{913A538D-9D46-4173-AAD9-137CCA1BD75F}" name="Fundstelle Zeitverfügbarkeit" dataDxfId="1596"/>
    <tableColumn id="30" xr3:uid="{97FD768C-DB19-4F68-9B19-850FCA13C099}" name="Fundstelle max. Abrufhäufigkeit" dataDxfId="1595"/>
    <tableColumn id="31" xr3:uid="{E40EB1E9-F496-42F6-BA8B-730211C93707}" name="Fundstelle Invest" dataDxfId="1594"/>
    <tableColumn id="72" xr3:uid="{B879527B-BD00-4F2A-A3F0-558C178D294C}" name="Fundstelle Betriebskosten" dataDxfId="1593"/>
    <tableColumn id="32" xr3:uid="{28C66025-11D6-46C5-B522-DD9371992897}" name="Fundstelle var. Kosten" dataDxfId="1592"/>
    <tableColumn id="33" xr3:uid="{203FBECA-B121-496A-833A-979A4EE749D6}" name="Fundstelle fixe Kosten" dataDxfId="1591"/>
    <tableColumn id="49" xr3:uid="{6318EEA8-1AFC-4423-84C5-928D43AC9A3F}" name="Fundstelle Investition je Anschlusspunkt" dataDxfId="1590"/>
    <tableColumn id="34" xr3:uid="{2FFDD081-F18B-447E-B25E-72C55B16F50D}" name="Fundstelle Bemerkungen" dataDxfId="1589"/>
    <tableColumn id="35" xr3:uid="{F0E97C70-C722-48C7-AC8A-222545466FE3}" name="eigene Anmerkung" dataDxfId="158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elle58971120" displayName="Tabelle58971120" ref="A1:BZ34" totalsRowShown="0" headerRowDxfId="1587" dataDxfId="1586" tableBorderDxfId="1585">
  <autoFilter ref="A1:BZ34" xr:uid="{00000000-0009-0000-0100-000013000000}"/>
  <tableColumns count="78">
    <tableColumn id="1" xr3:uid="{00000000-0010-0000-1100-000001000000}" name="Prozess" dataDxfId="1584"/>
    <tableColumn id="47" xr3:uid="{00000000-0010-0000-1100-00002F000000}" name="Sektorenzuordnung" dataDxfId="1583"/>
    <tableColumn id="2" xr3:uid="{00000000-0010-0000-1100-000002000000}" name="Jahr" dataDxfId="1582"/>
    <tableColumn id="52" xr3:uid="{00000000-0010-0000-1100-000034000000}" name="Lastverschiebung" dataDxfId="1581"/>
    <tableColumn id="53" xr3:uid="{00000000-0010-0000-1100-000035000000}" name="Lastverzicht" dataDxfId="1580"/>
    <tableColumn id="78" xr3:uid="{BB48C46C-C55A-4A5F-BB39-EAC2DD6DCCA5}" name="Lasterhöhung" dataDxfId="1579"/>
    <tableColumn id="67" xr3:uid="{00000000-0010-0000-1100-000043000000}" name="Stromverbrauch in TWh" dataDxfId="1578"/>
    <tableColumn id="3" xr3:uid="{00000000-0010-0000-1100-000003000000}" name="Potenzial pos. min MW" dataDxfId="1577"/>
    <tableColumn id="38" xr3:uid="{00000000-0010-0000-1100-000026000000}" name="Potenzial pos. MW Durchschnitt" dataDxfId="1576"/>
    <tableColumn id="5" xr3:uid="{00000000-0010-0000-1100-000005000000}" name="Potenzial pos. max MW" dataDxfId="1575"/>
    <tableColumn id="71" xr3:uid="{00000000-0010-0000-1100-000047000000}" name="Potenzial pos. max MW Lastverzicht" dataDxfId="1574"/>
    <tableColumn id="37" xr3:uid="{00000000-0010-0000-1100-000025000000}" name="ausgewiesenes Pot. pos. MW (falls abweichend)" dataDxfId="1573"/>
    <tableColumn id="50" xr3:uid="{00000000-0010-0000-1100-000032000000}" name="Potenzial neg. min MW" dataDxfId="1572"/>
    <tableColumn id="41" xr3:uid="{00000000-0010-0000-1100-000029000000}" name="Potenzial neg. MW Durchschnitt" dataDxfId="1571"/>
    <tableColumn id="6" xr3:uid="{00000000-0010-0000-1100-000006000000}" name="Potenzial neg. max MW" dataDxfId="1570"/>
    <tableColumn id="7" xr3:uid="{00000000-0010-0000-1100-000007000000}" name="Mindestleistung MW" dataDxfId="1569"/>
    <tableColumn id="8" xr3:uid="{00000000-0010-0000-1100-000008000000}" name="Mindestauslastung" dataDxfId="1568" dataCellStyle="Prozent"/>
    <tableColumn id="36" xr3:uid="{00000000-0010-0000-1100-000024000000}" name="flexibilisierbarer Anteil pos. an Durchschnittsauslastung" dataDxfId="1567" dataCellStyle="Prozent"/>
    <tableColumn id="69" xr3:uid="{00000000-0010-0000-1100-000045000000}" name="flexibilisierbarer Anteil neg. an Durchschnittsauslastung" dataDxfId="1566" dataCellStyle="Prozent"/>
    <tableColumn id="65" xr3:uid="{00000000-0010-0000-1100-000041000000}" name="Durchschnittsauslastung" dataDxfId="1565" dataCellStyle="Prozent"/>
    <tableColumn id="70" xr3:uid="{00000000-0010-0000-1100-000046000000}" name="Betriebsstunden p.a." dataDxfId="1564" dataCellStyle="Prozent"/>
    <tableColumn id="44" xr3:uid="{00000000-0010-0000-1100-00002C000000}" name="Durchschnittliche Leistung MW" dataDxfId="1563" dataCellStyle="Prozent"/>
    <tableColumn id="9" xr3:uid="{00000000-0010-0000-1100-000009000000}" name="Maximalleistung MW" dataDxfId="1562"/>
    <tableColumn id="46" xr3:uid="{00000000-0010-0000-1100-00002E000000}" name="Maximalauslastung" dataDxfId="1561" dataCellStyle="Prozent"/>
    <tableColumn id="10" xr3:uid="{00000000-0010-0000-1100-00000A000000}" name="installierte Leistung MW" dataDxfId="1560"/>
    <tableColumn id="11" xr3:uid="{00000000-0010-0000-1100-00000B000000}" name="Aktivierungsdauer (h)" dataDxfId="1559"/>
    <tableColumn id="61" xr3:uid="{00000000-0010-0000-1100-00003D000000}" name="Schaltdauer pos. min (h)" dataDxfId="1558">
      <calculatedColumnFormula>2/60</calculatedColumnFormula>
    </tableColumn>
    <tableColumn id="60" xr3:uid="{00000000-0010-0000-1100-00003C000000}" name="Schaltdauer pos. max (h)" dataDxfId="1557"/>
    <tableColumn id="12" xr3:uid="{00000000-0010-0000-1100-00000C000000}" name="Schaltdauer pos. (h)" dataDxfId="1556"/>
    <tableColumn id="63" xr3:uid="{00000000-0010-0000-1100-00003F000000}" name="Schaltdauer neg min (h)" dataDxfId="1555"/>
    <tableColumn id="62" xr3:uid="{00000000-0010-0000-1100-00003E000000}" name="Schaltdauer neg. max (h)" dataDxfId="1554"/>
    <tableColumn id="51" xr3:uid="{00000000-0010-0000-1100-000033000000}" name="Schaltdauer neg. (h)" dataDxfId="1553"/>
    <tableColumn id="42" xr3:uid="{00000000-0010-0000-1100-00002A000000}" name="Verschiebedauer min. (h)" dataDxfId="1552"/>
    <tableColumn id="4" xr3:uid="{00000000-0010-0000-1100-000004000000}" name="Verschiebedauer max (h)" dataDxfId="1551"/>
    <tableColumn id="13" xr3:uid="{00000000-0010-0000-1100-00000D000000}" name="Verschiebedauer (h)" dataDxfId="1550"/>
    <tableColumn id="14" xr3:uid="{00000000-0010-0000-1100-00000E000000}" name="Regenerationsdauer pos. (h)" dataDxfId="1549"/>
    <tableColumn id="76" xr3:uid="{00000000-0010-0000-1100-00004C000000}" name="Regenerationsdauer neg. (h)" dataDxfId="1548"/>
    <tableColumn id="15" xr3:uid="{00000000-0010-0000-1100-00000F000000}" name="Zeitverfügbarkeit?" dataDxfId="1547"/>
    <tableColumn id="16" xr3:uid="{00000000-0010-0000-1100-000010000000}" name="max. Abrufhäufigkeit pro Woche" dataDxfId="1546"/>
    <tableColumn id="40" xr3:uid="{00000000-0010-0000-1100-000028000000}" name="max. Abrufhäufigkeit pro Jahr" dataDxfId="1545"/>
    <tableColumn id="57" xr3:uid="{00000000-0010-0000-1100-000039000000}" name="min. Investitionsausgaben €_2018/kW" dataDxfId="1544">
      <calculatedColumnFormula>0.2*Umrechnungsfaktoren!$B$15/Umrechnungsfaktoren!$B$14</calculatedColumnFormula>
    </tableColumn>
    <tableColumn id="56" xr3:uid="{00000000-0010-0000-1100-000038000000}" name="max. Investitionsausgaben €_2018/kW" dataDxfId="1543">
      <calculatedColumnFormula>0.9*Umrechnungsfaktoren!$B$15/Umrechnungsfaktoren!$B$14</calculatedColumnFormula>
    </tableColumn>
    <tableColumn id="17" xr3:uid="{00000000-0010-0000-1100-000011000000}" name="Investitionsausgaben €_2018/kW" dataDxfId="1542">
      <calculatedColumnFormula>0.5*Umrechnungsfaktoren!$B$15/Umrechnungsfaktoren!$B$14</calculatedColumnFormula>
    </tableColumn>
    <tableColumn id="59" xr3:uid="{00000000-0010-0000-1100-00003B000000}" name="var. Kosten min. €_2018/MWh" dataDxfId="1541"/>
    <tableColumn id="58" xr3:uid="{00000000-0010-0000-1100-00003A000000}" name="var. Kosten max. €_2018/MWh" dataDxfId="1540"/>
    <tableColumn id="18" xr3:uid="{00000000-0010-0000-1100-000012000000}" name="variable Kosten pos. €_2018/MWh" dataDxfId="1539">
      <calculatedColumnFormula>7.2*Umrechnungsfaktoren!$B$15/Umrechnungsfaktoren!$B$14</calculatedColumnFormula>
    </tableColumn>
    <tableColumn id="77" xr3:uid="{00000000-0010-0000-1100-00004D000000}" name="variable Kosten neg. €_2018/MWh" dataDxfId="1538">
      <calculatedColumnFormula>27.7*Umrechnungsfaktoren!$B$15/Umrechnungsfaktoren!$B$14</calculatedColumnFormula>
    </tableColumn>
    <tableColumn id="72" xr3:uid="{00000000-0010-0000-1100-000048000000}" name="variable Kosten Lastverzicht €_2018/MWh" dataDxfId="1537">
      <calculatedColumnFormula>96*Umrechnungsfaktoren!$B$15/Umrechnungsfaktoren!$B$14</calculatedColumnFormula>
    </tableColumn>
    <tableColumn id="64" xr3:uid="{00000000-0010-0000-1100-000040000000}" name="fixe Kosten min. €_2018/kW*a" dataDxfId="1536"/>
    <tableColumn id="19" xr3:uid="{00000000-0010-0000-1100-000013000000}" name="fixe Kosten €_2018/kW*a" dataDxfId="1535">
      <calculatedColumnFormula>0.05*Umrechnungsfaktoren!$B$15/Umrechnungsfaktoren!$B$14</calculatedColumnFormula>
    </tableColumn>
    <tableColumn id="48" xr3:uid="{00000000-0010-0000-1100-000030000000}" name="Investitionsausgaben je Anschlusspunkt (€_2018)" dataDxfId="1534">
      <calculatedColumnFormula>3000*Umrechnungsfaktoren!$B$15/Umrechnungsfaktoren!$B$14</calculatedColumnFormula>
    </tableColumn>
    <tableColumn id="73" xr3:uid="{00000000-0010-0000-1100-000049000000}" name="Wirkungsgrad pos." dataDxfId="1533"/>
    <tableColumn id="75" xr3:uid="{00000000-0010-0000-1100-00004B000000}" name="Wirkungsgrad neg." dataDxfId="1532"/>
    <tableColumn id="20" xr3:uid="{00000000-0010-0000-1100-000014000000}" name="Bemerkungen" dataDxfId="1531"/>
    <tableColumn id="55" xr3:uid="{00000000-0010-0000-1100-000037000000}" name="Fundstelle Lastverschiebung" dataDxfId="1530"/>
    <tableColumn id="54" xr3:uid="{00000000-0010-0000-1100-000036000000}" name="Fundstelle Lastverzicht" dataDxfId="1529"/>
    <tableColumn id="68" xr3:uid="{00000000-0010-0000-1100-000044000000}" name="Fundstelle Stromverbrauch" dataDxfId="1528"/>
    <tableColumn id="21" xr3:uid="{00000000-0010-0000-1100-000015000000}" name="Fundstelle Potenzial pos." dataDxfId="1527"/>
    <tableColumn id="22" xr3:uid="{00000000-0010-0000-1100-000016000000}" name="Fundstelle Potenzial neg." dataDxfId="1526"/>
    <tableColumn id="23" xr3:uid="{00000000-0010-0000-1100-000017000000}" name="Fundstelle Mindestleistung" dataDxfId="1525"/>
    <tableColumn id="43" xr3:uid="{00000000-0010-0000-1100-00002B000000}" name="Fundstelle flexibilisierbarer Anteil" dataDxfId="1524"/>
    <tableColumn id="66" xr3:uid="{00000000-0010-0000-1100-000042000000}" name="Fundstelle Durchschnittsauslastung" dataDxfId="1523"/>
    <tableColumn id="45" xr3:uid="{00000000-0010-0000-1100-00002D000000}" name="Fundstelle durchschnittliche Leistung" dataDxfId="1522"/>
    <tableColumn id="24" xr3:uid="{00000000-0010-0000-1100-000018000000}" name="Fundstelle Maximalleistung" dataDxfId="1521"/>
    <tableColumn id="25" xr3:uid="{00000000-0010-0000-1100-000019000000}" name="Fundstelle installierte Leistung" dataDxfId="1520"/>
    <tableColumn id="39" xr3:uid="{00000000-0010-0000-1100-000027000000}" name="Fundstelle Aktivierungsdauer" dataDxfId="1519"/>
    <tableColumn id="26" xr3:uid="{00000000-0010-0000-1100-00001A000000}" name="Fundstelle Schaltdauer" dataDxfId="1518"/>
    <tableColumn id="27" xr3:uid="{00000000-0010-0000-1100-00001B000000}" name="Fundstelle Verschiebedauer" dataDxfId="1517"/>
    <tableColumn id="28" xr3:uid="{00000000-0010-0000-1100-00001C000000}" name="Fundstelle Regenerationsdauer" dataDxfId="1516"/>
    <tableColumn id="29" xr3:uid="{00000000-0010-0000-1100-00001D000000}" name="Fundstelle Zeitverfügbarkeit" dataDxfId="1515"/>
    <tableColumn id="30" xr3:uid="{00000000-0010-0000-1100-00001E000000}" name="Fundstelle max. Abrufhäufigkeit" dataDxfId="1514"/>
    <tableColumn id="31" xr3:uid="{00000000-0010-0000-1100-00001F000000}" name="Fundstelle Invest" dataDxfId="1513"/>
    <tableColumn id="32" xr3:uid="{00000000-0010-0000-1100-000020000000}" name="Fundstelle var. Kosten" dataDxfId="1512"/>
    <tableColumn id="33" xr3:uid="{00000000-0010-0000-1100-000021000000}" name="Fundstelle fixe Kosten" dataDxfId="1511"/>
    <tableColumn id="49" xr3:uid="{00000000-0010-0000-1100-000031000000}" name="Fundstelle Investition je Anschlusspunkt" dataDxfId="1510"/>
    <tableColumn id="74" xr3:uid="{00000000-0010-0000-1100-00004A000000}" name="Fundstelle Wirkungsgrad" dataDxfId="1509"/>
    <tableColumn id="34" xr3:uid="{00000000-0010-0000-1100-000022000000}" name="Fundstelle Bemerkungen" dataDxfId="1508"/>
    <tableColumn id="35" xr3:uid="{00000000-0010-0000-1100-000023000000}" name="eigene Anmerkung" dataDxfId="150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19-02-23T17:11:32.92" personId="{51F1A2BF-5699-4337-B875-D53DBF6DE656}" id="{6FB11D2E-1898-400C-96EC-11B97855C5B0}">
    <text>Samira</text>
  </threadedComment>
  <threadedComment ref="X1" dT="2019-02-23T17:20:30.74" personId="{51F1A2BF-5699-4337-B875-D53DBF6DE656}" id="{376196B9-E5C2-498A-96C4-2EAC2FD168EE}">
    <text>Annahme: positives und negatives Potenzial identisch</text>
  </threadedComment>
  <threadedComment ref="Y1" dT="2019-02-23T17:20:45.98" personId="{51F1A2BF-5699-4337-B875-D53DBF6DE656}" id="{393B7E4F-949F-488C-8ADE-E412DB508FEE}">
    <text>Annahme: positives und negatives Potenzial identisch</text>
  </threadedComment>
  <threadedComment ref="AA1" dT="2019-02-23T17:13:17.00" personId="{51F1A2BF-5699-4337-B875-D53DBF6DE656}" id="{9C795F68-AEA6-4A36-9CD7-EA8194EE1235}">
    <text>Samira</text>
  </threadedComment>
  <threadedComment ref="BT1" dT="2020-01-20T12:30:51.60" personId="{71FC54F3-5E8D-460B-9FCF-F7AD63FF6B98}" id="{24C17746-073D-4362-92E8-080F3528ACBE}">
    <text>S. 113: Industrielle Potenziale im Status quo werden auch für 2020 und 2030 fortgeschrieben.</text>
  </threadedComment>
  <threadedComment ref="K2" dT="2020-01-17T09:17:56.26" personId="{71FC54F3-5E8D-460B-9FCF-F7AD63FF6B98}" id="{EABE8DA4-2D7F-445C-86EB-9FF74E3E364A}">
    <text>nur für die Elektrolyse; insges. 6,3 TWh/a</text>
  </threadedComment>
  <threadedComment ref="R2" dT="2019-02-23T17:48:51.62" personId="{51F1A2BF-5699-4337-B875-D53DBF6DE656}" id="{DACA0D02-B92F-405C-B2BA-3BC8BA249199}">
    <text>Werte Samira</text>
  </threadedComment>
  <threadedComment ref="S2" dT="2019-02-23T17:47:44.55" personId="{51F1A2BF-5699-4337-B875-D53DBF6DE656}" id="{6F11B637-1D37-4161-A140-4D7C4CE9623A}">
    <text>637 MW für Lastabwurf (S. 37); bei Vollauslastung bis 1.000 MW</text>
  </threadedComment>
  <threadedComment ref="AA2" dT="2019-02-23T16:13:30.59" personId="{51F1A2BF-5699-4337-B875-D53DBF6DE656}" id="{28913698-19A1-44FE-B6A1-3583EB7D5F86}">
    <text>30 (S. 111)</text>
  </threadedComment>
  <threadedComment ref="AO2" dT="2019-02-23T16:09:09.93" personId="{51F1A2BF-5699-4337-B875-D53DBF6DE656}" id="{D790982C-E239-44DE-8F77-7134144447DA}">
    <text>Lastabwurf</text>
  </threadedComment>
  <threadedComment ref="AP2" dT="2019-02-23T16:08:18.34" personId="{51F1A2BF-5699-4337-B875-D53DBF6DE656}" id="{941BA8FF-4199-4600-A43B-3E444E45E103}">
    <text>Aktivierung bei Teillast</text>
  </threadedComment>
  <threadedComment ref="AQ2" dT="2019-02-23T16:08:18.34" personId="{51F1A2BF-5699-4337-B875-D53DBF6DE656}" id="{910F0900-CC13-4533-AA7D-7021679D2B3F}">
    <text>Aktivierung bei Teillast</text>
  </threadedComment>
  <threadedComment ref="R3" dT="2019-02-23T17:48:51.62" personId="{51F1A2BF-5699-4337-B875-D53DBF6DE656}" id="{2DEF9D60-F898-4C2B-B1F8-895CC42F695E}">
    <text>Werte Samira</text>
  </threadedComment>
  <threadedComment ref="S3" dT="2019-02-23T17:47:44.55" personId="{51F1A2BF-5699-4337-B875-D53DBF6DE656}" id="{0E1FB3E0-8168-4781-9D3B-B4D4141533D8}">
    <text>637 MW für Lastabwurf (S. 37); bei Vollauslastung bis 1.000 MW</text>
  </threadedComment>
  <threadedComment ref="AA3" dT="2019-02-23T16:13:30.59" personId="{51F1A2BF-5699-4337-B875-D53DBF6DE656}" id="{82C40A8C-A6D9-4648-9B36-1F0C635A6EE0}">
    <text>30 (S. 111)</text>
  </threadedComment>
  <threadedComment ref="AO3" dT="2019-02-23T16:09:09.93" personId="{51F1A2BF-5699-4337-B875-D53DBF6DE656}" id="{501C780F-3588-4740-BEC1-3CC553CBECC6}">
    <text>Lastabwurf</text>
  </threadedComment>
  <threadedComment ref="AP3" dT="2019-02-23T16:08:18.34" personId="{51F1A2BF-5699-4337-B875-D53DBF6DE656}" id="{8B020987-F741-4DE9-9D60-8951962E66AD}">
    <text>Aktivierung bei Teillast</text>
  </threadedComment>
  <threadedComment ref="AQ3" dT="2019-02-23T16:08:18.34" personId="{51F1A2BF-5699-4337-B875-D53DBF6DE656}" id="{B1A597AE-F6B1-498B-A2C3-4CD0FDF00A57}">
    <text>Aktivierung bei Teillast</text>
  </threadedComment>
  <threadedComment ref="R4" dT="2019-02-23T17:48:51.62" personId="{51F1A2BF-5699-4337-B875-D53DBF6DE656}" id="{83979569-2615-49DE-98D3-60EC61B70851}">
    <text>Werte Samira</text>
  </threadedComment>
  <threadedComment ref="S4" dT="2019-02-23T17:47:44.55" personId="{51F1A2BF-5699-4337-B875-D53DBF6DE656}" id="{48A0409D-837E-4CE9-8374-D4BA9632F476}">
    <text>637 MW für Lastabwurf (S. 37); bei Vollauslastung bis 1.000 MW</text>
  </threadedComment>
  <threadedComment ref="AA4" dT="2019-02-23T16:13:30.59" personId="{51F1A2BF-5699-4337-B875-D53DBF6DE656}" id="{0D5377D1-5566-41B2-AFED-63B4F3FC231B}">
    <text>30 (S. 111)</text>
  </threadedComment>
  <threadedComment ref="AO4" dT="2019-02-23T16:09:09.93" personId="{51F1A2BF-5699-4337-B875-D53DBF6DE656}" id="{406A97BE-01A4-437B-B4A5-C0FAE61F4E2D}">
    <text>Lastabwurf</text>
  </threadedComment>
  <threadedComment ref="AP4" dT="2019-02-23T16:08:18.34" personId="{51F1A2BF-5699-4337-B875-D53DBF6DE656}" id="{E83AFEB3-A3B5-441B-8AC4-97E619AD3D0D}">
    <text>Aktivierung bei Teillast</text>
  </threadedComment>
  <threadedComment ref="AQ4" dT="2019-02-23T16:08:18.34" personId="{51F1A2BF-5699-4337-B875-D53DBF6DE656}" id="{D9A17245-FDC3-4E57-B36D-4543D1D739AB}">
    <text>Aktivierung bei Teillast</text>
  </threadedComment>
  <threadedComment ref="G5" dT="2020-01-17T09:30:03.94" personId="{71FC54F3-5E8D-460B-9FCF-F7AD63FF6B98}" id="{30D721CC-6599-4785-869C-D43AD1717369}">
    <text>insgesamt: 4497 kt/a</text>
  </threadedComment>
  <threadedComment ref="K5" dT="2020-01-17T09:29:04.08" personId="{71FC54F3-5E8D-460B-9FCF-F7AD63FF6B98}" id="{C1D1CE9C-97CB-4B43-9BE4-DC8BF154E533}">
    <text>insgesamt: 11,6 TWh/a, davon aber nur 6,9 TWh/a bei geeigneten Prozessen Membran- und HCl-Verfahren</text>
  </threadedComment>
  <threadedComment ref="AO5" dT="2019-02-23T16:09:09.93" personId="{51F1A2BF-5699-4337-B875-D53DBF6DE656}" id="{A9ABED18-06E3-438C-A012-D5B9C5D9EB23}">
    <text>Lastabwurf</text>
  </threadedComment>
  <threadedComment ref="K6" dT="2020-01-17T09:29:04.08" personId="{71FC54F3-5E8D-460B-9FCF-F7AD63FF6B98}" id="{B960A412-667A-4F4A-85E9-C0D5EFBB3214}">
    <text>insgesamt: 11,6 TWh/a, davon aber nur 6,9 TWh/a bei geeigneten Prozessen Membran- und HCl-Verfahren</text>
  </threadedComment>
  <threadedComment ref="AO6" dT="2019-02-23T16:09:09.93" personId="{51F1A2BF-5699-4337-B875-D53DBF6DE656}" id="{131E90E6-63BE-4323-8D80-1A7AABFD3910}">
    <text>Lastabwurf</text>
  </threadedComment>
  <threadedComment ref="K7" dT="2020-01-17T09:29:04.08" personId="{71FC54F3-5E8D-460B-9FCF-F7AD63FF6B98}" id="{4BA0495D-437E-4FFD-A4BD-085BACFFC060}">
    <text>insgesamt: 11,6 TWh/a, davon aber nur 6,9 TWh/a bei geeigneten Prozessen Membran- und HCl-Verfahren</text>
  </threadedComment>
  <threadedComment ref="AO7" dT="2019-02-23T16:09:09.93" personId="{51F1A2BF-5699-4337-B875-D53DBF6DE656}" id="{605A5974-406C-4657-86CC-D87E06D351D1}">
    <text>Lastabwurf</text>
  </threadedComment>
  <threadedComment ref="G8" dT="2020-01-20T14:57:59.48" personId="{71FC54F3-5E8D-460B-9FCF-F7AD63FF6B98}" id="{7E445DEF-BF36-437D-91B1-4C2E9B776694}">
    <text>nur Holzschliff</text>
  </threadedComment>
  <threadedComment ref="AG8" dT="2019-02-23T18:06:49.60" personId="{51F1A2BF-5699-4337-B875-D53DBF6DE656}" id="{D82E4FEC-4E5D-4733-B144-9220787926C6}">
    <text>S. 46: 90 % Auslastung typischerweise am Tag</text>
  </threadedComment>
  <threadedComment ref="AG9" dT="2019-02-23T18:06:49.60" personId="{51F1A2BF-5699-4337-B875-D53DBF6DE656}" id="{592CD9EE-C76B-4F7B-A273-02F643911CF1}">
    <text>S. 46: 90 % Auslastung typischerweise am Tag</text>
  </threadedComment>
  <threadedComment ref="AG10" dT="2019-02-23T18:06:49.60" personId="{51F1A2BF-5699-4337-B875-D53DBF6DE656}" id="{FE72FA0C-FB68-4829-B51E-69FF20C98A44}">
    <text>S. 46: 90 % Auslastung typischerweise am Tag</text>
  </threadedComment>
  <threadedComment ref="G11" dT="2020-01-17T09:39:37.14" personId="{71FC54F3-5E8D-460B-9FCF-F7AD63FF6B98}" id="{788DCF7C-953E-4297-B255-456FCC58224C}">
    <text>Papierherstellung gesamt: 23.200 kt/a</text>
  </threadedComment>
  <threadedComment ref="I11" dT="2020-01-17T09:39:58.42" personId="{71FC54F3-5E8D-460B-9FCF-F7AD63FF6B98}" id="{4D1C8460-4E09-49C8-981A-AD4AE6060426}">
    <text>spez. StV Papier 892 kWh/t</text>
  </threadedComment>
  <threadedComment ref="K11" dT="2020-01-17T09:40:11.89" personId="{71FC54F3-5E8D-460B-9FCF-F7AD63FF6B98}" id="{0DCC5F6E-1AC8-4D22-9B51-4026B2249B96}">
    <text>StV Papier gesamt: 20,7 TWh/a</text>
  </threadedComment>
  <threadedComment ref="AT11" dT="2019-02-23T18:08:48.19" personId="{51F1A2BF-5699-4337-B875-D53DBF6DE656}" id="{9F189547-77C7-40B2-BB35-AB4967BC092F}">
    <text>&gt; 2</text>
  </threadedComment>
  <threadedComment ref="AT12" dT="2019-02-23T18:08:48.19" personId="{51F1A2BF-5699-4337-B875-D53DBF6DE656}" id="{42E4374E-4CFF-4DFC-82A9-F033E83987E2}">
    <text>&gt; 2</text>
  </threadedComment>
  <threadedComment ref="AT13" dT="2019-02-23T18:08:48.19" personId="{51F1A2BF-5699-4337-B875-D53DBF6DE656}" id="{DD55F146-4EBD-47D7-B472-941735C66190}">
    <text>&gt; 2</text>
  </threadedComment>
  <threadedComment ref="K14" dT="2020-01-17T09:47:38.07" personId="{71FC54F3-5E8D-460B-9FCF-F7AD63FF6B98}" id="{77E33B17-6230-4A62-943A-1D43BA1731C1}">
    <text>StV gesamt: 10,6</text>
  </threadedComment>
  <threadedComment ref="L14" dT="2019-02-23T18:13:57.03" personId="{51F1A2BF-5699-4337-B875-D53DBF6DE656}" id="{D20282A4-453A-4989-BA7B-224D76F3A2EC}">
    <text>Bandlast; einzelner Prozess kann nicht mehr unterbrochen werden.</text>
  </threadedComment>
  <threadedComment ref="K15" dT="2020-01-17T09:47:38.07" personId="{71FC54F3-5E8D-460B-9FCF-F7AD63FF6B98}" id="{E4DFC1BC-7B4F-466B-BFA5-842AFE94223A}">
    <text>StV gesamt: 10,6</text>
  </threadedComment>
  <threadedComment ref="L15" dT="2019-02-23T18:13:57.03" personId="{51F1A2BF-5699-4337-B875-D53DBF6DE656}" id="{F6DB1FBC-6F34-4FD0-AB31-99BCDC593173}">
    <text>Bandlast; einzelner Prozess kann nicht mehr unterbrochen werden.</text>
  </threadedComment>
  <threadedComment ref="K16" dT="2020-01-17T09:47:38.07" personId="{71FC54F3-5E8D-460B-9FCF-F7AD63FF6B98}" id="{E9C25A7E-BBDB-4935-8939-5248170A70BB}">
    <text>StV gesamt: 10,6</text>
  </threadedComment>
  <threadedComment ref="L16" dT="2019-02-23T18:13:57.03" personId="{51F1A2BF-5699-4337-B875-D53DBF6DE656}" id="{CC6E0B63-C6F1-4519-B16C-6830F1B9B42C}">
    <text>Bandlast; einzelner Prozess kann nicht mehr unterbrochen werden.</text>
  </threadedComment>
  <threadedComment ref="M17" dT="2019-02-23T18:26:57.15" personId="{51F1A2BF-5699-4337-B875-D53DBF6DE656}" id="{0877EF14-013D-4BBD-B857-2282E6A51C64}">
    <text>werktags nachts bzw. Wochenenden</text>
  </threadedComment>
  <threadedComment ref="V17" dT="2019-02-23T18:27:16.31" personId="{51F1A2BF-5699-4337-B875-D53DBF6DE656}" id="{8AA5EE70-EA47-452A-9020-F6E5E093C83C}">
    <text>werktags tagsüber</text>
  </threadedComment>
  <threadedComment ref="AO17" dT="2019-02-23T18:28:35.76" personId="{51F1A2BF-5699-4337-B875-D53DBF6DE656}" id="{6F172E86-5CFD-4275-B98D-3A0A568657CB}">
    <text>Herunterfahren</text>
  </threadedComment>
  <threadedComment ref="AP17" dT="2019-02-23T18:28:41.68" personId="{51F1A2BF-5699-4337-B875-D53DBF6DE656}" id="{9BCDE418-9962-4E6E-938A-6C624BC06F0F}">
    <text>Hochfahren</text>
  </threadedComment>
  <threadedComment ref="AQ17" dT="2019-02-23T16:08:18.34" personId="{51F1A2BF-5699-4337-B875-D53DBF6DE656}" id="{5B535930-6FD8-4821-A2D8-8641A72AA736}">
    <text>Aktivierung bei Teillast / Lastüberhöhung</text>
  </threadedComment>
  <threadedComment ref="BC17" dT="2019-02-23T18:29:32.12" personId="{51F1A2BF-5699-4337-B875-D53DBF6DE656}" id="{ADBD58D4-6C18-465E-9EBC-B8E4F13EFC25}">
    <text>2 Abrufe pro Tag</text>
  </threadedComment>
  <threadedComment ref="M18" dT="2019-02-23T18:26:57.15" personId="{51F1A2BF-5699-4337-B875-D53DBF6DE656}" id="{3440A646-D29B-4656-A00C-8189ACC56A0C}">
    <text>werktags nachts bzw. Wochenenden</text>
  </threadedComment>
  <threadedComment ref="V18" dT="2019-02-23T18:27:16.31" personId="{51F1A2BF-5699-4337-B875-D53DBF6DE656}" id="{2D7E5D39-97A3-48DB-A1E3-14F56C58F539}">
    <text>werktags tagsüber</text>
  </threadedComment>
  <threadedComment ref="AO18" dT="2019-02-23T18:28:35.76" personId="{51F1A2BF-5699-4337-B875-D53DBF6DE656}" id="{C9B0A0A2-01A0-48A7-A4BE-0CA56EA5250F}">
    <text>Herunterfahren</text>
  </threadedComment>
  <threadedComment ref="AP18" dT="2019-02-23T18:28:41.68" personId="{51F1A2BF-5699-4337-B875-D53DBF6DE656}" id="{8C45AAE1-4AE4-4B88-9A17-4D2F9B5C4E80}">
    <text>Hochfahren</text>
  </threadedComment>
  <threadedComment ref="AQ18" dT="2019-02-23T16:08:18.34" personId="{51F1A2BF-5699-4337-B875-D53DBF6DE656}" id="{EB45FA2C-8BCF-47FD-9BCB-A1779E11D0BE}">
    <text>Aktivierung bei Teillast / Lastüberhöhung</text>
  </threadedComment>
  <threadedComment ref="BC18" dT="2019-02-23T18:29:32.12" personId="{51F1A2BF-5699-4337-B875-D53DBF6DE656}" id="{9CBF40E8-A756-43FB-9044-CC892A173101}">
    <text>2 Abrufe pro Tag</text>
  </threadedComment>
  <threadedComment ref="M19" dT="2019-02-23T18:26:57.15" personId="{51F1A2BF-5699-4337-B875-D53DBF6DE656}" id="{3895E628-055B-4736-A842-8D463E391F87}">
    <text>werktags nachts bzw. Wochenenden</text>
  </threadedComment>
  <threadedComment ref="V19" dT="2019-02-23T18:27:16.31" personId="{51F1A2BF-5699-4337-B875-D53DBF6DE656}" id="{C31475F1-35F9-466C-B2F9-A5D3D89C4EBD}">
    <text>werktags tagsüber</text>
  </threadedComment>
  <threadedComment ref="AO19" dT="2019-02-23T18:28:35.76" personId="{51F1A2BF-5699-4337-B875-D53DBF6DE656}" id="{582DF603-D909-4A79-A148-7A56ED279A30}">
    <text>Herunterfahren</text>
  </threadedComment>
  <threadedComment ref="AP19" dT="2019-02-23T18:28:41.68" personId="{51F1A2BF-5699-4337-B875-D53DBF6DE656}" id="{5ACBBB73-DDB7-4819-9B29-41A1D907962C}">
    <text>Hochfahren</text>
  </threadedComment>
  <threadedComment ref="AQ19" dT="2019-02-23T16:08:18.34" personId="{51F1A2BF-5699-4337-B875-D53DBF6DE656}" id="{EC088AEF-4AE2-4BAD-B320-5D1727F0F467}">
    <text>Aktivierung bei Teillast / Lastüberhöhung</text>
  </threadedComment>
  <threadedComment ref="BC19" dT="2019-02-23T18:29:32.12" personId="{51F1A2BF-5699-4337-B875-D53DBF6DE656}" id="{C34608BB-0718-4C48-A33E-08B7106FAF98}">
    <text>2 Abrufe pro Tag</text>
  </threadedComment>
  <threadedComment ref="A20" dT="2019-02-23T18:26:31.07" personId="{51F1A2BF-5699-4337-B875-D53DBF6DE656}" id="{C5D698C6-58AB-47D5-826B-2A3F27A4E8F0}">
    <text>energetische Nutzung von Klärgas mit BHKW</text>
  </threadedComment>
  <threadedComment ref="K20" dT="2020-01-20T15:06:08.85" personId="{71FC54F3-5E8D-460B-9FCF-F7AD63FF6B98}" id="{C9E56C69-1886-4C5D-824A-529A920F58C6}">
    <text>StV gesamt 4,2 TWh; davon 1,1 aus Eigenerzeugung (BHKW)</text>
  </threadedComment>
  <threadedComment ref="V20" dT="2019-02-23T16:14:35.51" personId="{51F1A2BF-5699-4337-B875-D53DBF6DE656}" id="{0FD6022C-A6CA-45C3-9FDB-F8992AD2578A}">
    <text>Lasterhöhung (?!)</text>
  </threadedComment>
  <threadedComment ref="AQ20" dT="2019-02-23T16:09:49.29" personId="{51F1A2BF-5699-4337-B875-D53DBF6DE656}" id="{4B93472F-C2BF-4046-96B6-F3512817D757}">
    <text>Lasterhöhung</text>
  </threadedComment>
  <threadedComment ref="A21" dT="2019-02-23T18:26:31.07" personId="{51F1A2BF-5699-4337-B875-D53DBF6DE656}" id="{1CC66302-58CA-4A3B-B5D1-EDE68BE78BF4}">
    <text>energetische Nutzung von Klärgas mit BHKW</text>
  </threadedComment>
  <threadedComment ref="V21" dT="2019-02-23T16:14:35.51" personId="{51F1A2BF-5699-4337-B875-D53DBF6DE656}" id="{1887D2E3-06F7-4826-B857-B8F95D54D08E}">
    <text>Lasterhöhung (?!)</text>
  </threadedComment>
  <threadedComment ref="AQ21" dT="2019-02-23T16:09:49.29" personId="{51F1A2BF-5699-4337-B875-D53DBF6DE656}" id="{0B4057C6-DF1E-4469-A1B3-28F2A0FDCA37}">
    <text>Lasterhöhung</text>
  </threadedComment>
  <threadedComment ref="A22" dT="2019-02-23T18:26:31.07" personId="{51F1A2BF-5699-4337-B875-D53DBF6DE656}" id="{AD937B53-0BD1-4102-9821-A23B14D05DAE}">
    <text>energetische Nutzung von Klärgas mit BHKW</text>
  </threadedComment>
  <threadedComment ref="V22" dT="2019-02-23T16:14:35.51" personId="{51F1A2BF-5699-4337-B875-D53DBF6DE656}" id="{2F06A259-E70F-4D4B-B46D-51538BFF4595}">
    <text>Lasterhöhung (?!)</text>
  </threadedComment>
  <threadedComment ref="AQ22" dT="2019-02-23T16:09:49.29" personId="{51F1A2BF-5699-4337-B875-D53DBF6DE656}" id="{BA2B102B-3B00-4678-B8D1-1AD4A05BCF81}">
    <text>Lasterhöhung</text>
  </threadedComment>
  <threadedComment ref="D23" dT="2019-02-23T17:22:54.71" personId="{51F1A2BF-5699-4337-B875-D53DBF6DE656}" id="{FA846C4F-AF9D-4FEF-8F4D-B17F896F05E4}">
    <text>implizite Annahme aus Methodik der Lastblockverschiebung bei Haushalten / GHD</text>
  </threadedComment>
  <threadedComment ref="O23" dT="2019-02-23T17:36:36.21" personId="{51F1A2BF-5699-4337-B875-D53DBF6DE656}" id="{393F606A-87DC-4EF9-B9D9-8D7355AE4A0D}">
    <text>Werte abgelesen aus Diagrammen auf S. 97-99</text>
  </threadedComment>
  <threadedComment ref="X23" dT="2019-02-23T17:36:18.43" personId="{51F1A2BF-5699-4337-B875-D53DBF6DE656}" id="{EAC4E11C-59A2-40B6-9021-C0109028406D}">
    <text>Werte abgelesen aus Diagrammen auf S. 97-99</text>
  </threadedComment>
  <threadedComment ref="BD26" dT="2019-02-23T18:37:04.18" personId="{51F1A2BF-5699-4337-B875-D53DBF6DE656}" id="{F2C5EF3B-9C7E-4F75-804A-2C17A63CDC53}">
    <text>durchschnittliche Nutzungshäufigkeit</text>
  </threadedComment>
  <threadedComment ref="AS29" dT="2019-02-23T18:35:12.66" personId="{51F1A2BF-5699-4337-B875-D53DBF6DE656}" id="{4EFC8E91-8650-4498-8EC4-03047D8FB325}">
    <text>implizit aus Lastgang</text>
  </threadedComment>
  <threadedComment ref="BD29" dT="2019-02-23T18:33:12.80" personId="{51F1A2BF-5699-4337-B875-D53DBF6DE656}" id="{CEE35B00-F1FA-4AE7-9EB9-1900E25E4AF7}">
    <text>durchschnittliche Nutzungshäufigkeit p.a.</text>
  </threadedComment>
  <threadedComment ref="AS32" dT="2019-02-23T18:34:48.30" personId="{51F1A2BF-5699-4337-B875-D53DBF6DE656}" id="{F4D95702-89CE-4838-A205-4CE6C74080A5}">
    <text>implizit aus Lastgang; sehr heterogene Leistungsaufnahme</text>
  </threadedComment>
  <threadedComment ref="CG32" dT="2019-02-23T18:32:09.63" personId="{51F1A2BF-5699-4337-B875-D53DBF6DE656}" id="{B0C708C7-528B-4BCC-B809-B7D746CA4CB5}">
    <text>Quelle zu Tageslastgang Waschmaschinen</text>
  </threadedComment>
  <threadedComment ref="AS33" dT="2019-02-23T18:34:48.30" personId="{51F1A2BF-5699-4337-B875-D53DBF6DE656}" id="{47607807-4E10-439F-A360-2930B5D13DF6}">
    <text>implizit aus Lastgang; sehr heterogene Leistungsaufnahme</text>
  </threadedComment>
  <threadedComment ref="AS34" dT="2019-02-23T18:34:48.30" personId="{51F1A2BF-5699-4337-B875-D53DBF6DE656}" id="{0F5B67FC-7A41-4C71-A425-48145DFE0F18}">
    <text>implizit aus Lastgang; sehr heterogene Leistungsaufnahme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0DD99023-DC2C-41B6-8AEB-A303437B076F}">
    <text>Auf eine gesonderte Darstellung der Potenziale für den Industriesektor wird verzichtet, da diese aus Buber et al. (2013) übernommen wurden und bereits dort aufgeführt werden.</text>
  </threadedComment>
  <threadedComment ref="AS1" dT="2019-09-21T16:48:41.86" personId="{71FC54F3-5E8D-460B-9FCF-F7AD63FF6B98}" id="{75941BD7-E960-45C5-93F8-50AF65AF3D95}">
    <text>exklusive Stromkosten!</text>
  </threadedComment>
  <threadedComment ref="A6" dT="2019-09-27T15:32:40.29" personId="{71FC54F3-5E8D-460B-9FCF-F7AD63FF6B98}" id="{C69EA6FA-A4C3-401F-911F-AFB04FA3AA67}">
    <text>Zellstoffherstellung -&gt; synonym?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8284C32F-A718-4F14-B86F-92DAD71F1CCC}">
    <text>Auf eine gesonderte Darstellung der Potenziale für den Industriesektor wird verzichtet, da diese aus Buber et al. (2013) übernommen wurden und bereits dort aufgeführt werden.</text>
  </threadedComment>
  <threadedComment ref="AN1" dT="2019-09-21T16:48:41.86" personId="{71FC54F3-5E8D-460B-9FCF-F7AD63FF6B98}" id="{ECB77693-BF3E-4B43-A4B8-AD8387C97A71}">
    <text>exklusive Stromkosten!</text>
  </threadedComment>
  <threadedComment ref="AO1" dT="2019-09-21T16:48:41.86" personId="{71FC54F3-5E8D-460B-9FCF-F7AD63FF6B98}" id="{57AFC2E8-FFA2-4E62-B2B4-81994335385E}">
    <text>exklusive Stromkosten!</text>
  </threadedComment>
  <threadedComment ref="I4" dT="2019-09-21T16:59:06.77" personId="{71FC54F3-5E8D-460B-9FCF-F7AD63FF6B98}" id="{FC7BBEF6-D7F2-4F4A-A23E-46102D346E13}">
    <text>Hier Berechnungsfehler?!</text>
  </threadedComment>
  <threadedComment ref="M4" dT="2019-09-21T16:59:06.77" personId="{71FC54F3-5E8D-460B-9FCF-F7AD63FF6B98}" id="{83715AE3-D509-4104-B51C-C36515A17889}">
    <text>Hier Berechnungsfehler?!</text>
  </threadedComment>
  <threadedComment ref="AF4" dT="2019-09-21T16:54:07.04" personId="{71FC54F3-5E8D-460B-9FCF-F7AD63FF6B98}" id="{B04551D7-5559-4E67-9DC2-BCD256A7DFD5}">
    <text>unendlich</text>
  </threadedComment>
  <threadedComment ref="I5" dT="2019-09-21T16:59:06.77" personId="{71FC54F3-5E8D-460B-9FCF-F7AD63FF6B98}" id="{63A77B0A-9E84-4656-BE07-574F38164B28}">
    <text>Hier Berechnungsfehler?!</text>
  </threadedComment>
  <threadedComment ref="M5" dT="2019-09-21T16:59:06.77" personId="{71FC54F3-5E8D-460B-9FCF-F7AD63FF6B98}" id="{5DAA1232-B6CD-40DC-AEC4-1AB307E0B300}">
    <text>Hier Berechnungsfehler?!</text>
  </threadedComment>
  <threadedComment ref="AF5" dT="2019-09-21T16:54:07.04" personId="{71FC54F3-5E8D-460B-9FCF-F7AD63FF6B98}" id="{F0DEA446-6AAB-4DAC-879B-3A7739E68C94}">
    <text>unendlich</text>
  </threadedComment>
  <threadedComment ref="AF6" dT="2019-09-21T16:54:07.04" personId="{71FC54F3-5E8D-460B-9FCF-F7AD63FF6B98}" id="{A39BA4E7-BEF2-403F-84C2-3E67FBAD74A9}">
    <text>unendlich</text>
  </threadedComment>
  <threadedComment ref="AU6" dT="2019-09-21T17:02:36.09" personId="{71FC54F3-5E8D-460B-9FCF-F7AD63FF6B98}" id="{90BAFA99-47B4-4AC0-B454-0B40C3E5F9C3}">
    <text>ca. 500 € / 50 MW zusätzliche jährliche Betriebskosten</text>
  </threadedComment>
  <threadedComment ref="AF7" dT="2019-09-21T16:54:07.04" personId="{71FC54F3-5E8D-460B-9FCF-F7AD63FF6B98}" id="{A3EFB10A-875A-48C9-90E2-824AED4C0608}">
    <text>unendlich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19-02-16T11:41:04.95" personId="{51F1A2BF-5699-4337-B875-D53DBF6DE656}" id="{7ACF5849-BCB1-4D29-B9E6-E7E0BFCAF724}">
    <text>Falls keine sonstige Angabe erfolgt, wird Potenzial als maximales Potenzial interpretiert.</text>
  </threadedComment>
  <threadedComment ref="C1" dT="2019-02-15T17:21:05.74" personId="{51F1A2BF-5699-4337-B875-D53DBF6DE656}" id="{88876C22-C72B-4004-A83E-40ECAD6E27A5}">
    <text>Sofern keine expliziten Angaben im Text gemacht werden, werden die Werte von 2005 für 2020 fortgeschrieben.</text>
  </threadedComment>
  <threadedComment ref="E1" dT="2019-02-16T12:27:53.37" personId="{51F1A2BF-5699-4337-B875-D53DBF6DE656}" id="{0D0BFACA-C37B-429E-8DA7-1E041832F3C6}">
    <text>Annahme: Industrieanwendungen nur für Lastverzicht geeignet</text>
  </threadedComment>
  <threadedComment ref="J1" dT="2020-01-21T06:18:47.11" personId="{71FC54F3-5E8D-460B-9FCF-F7AD63FF6B98}" id="{A3AE5853-AA53-4CD5-A159-9145FD4D83DF}">
    <text>uneinheitliche Einstufung:
- S. 69: Max. Leistungsshift vs. Angabe von Spannbreiten bzw. allgemein Bezeichnung als Potenzial</text>
  </threadedComment>
  <threadedComment ref="N1" dT="2019-02-15T11:27:30.85" personId="{51F1A2BF-5699-4337-B875-D53DBF6DE656}" id="{D88B0131-5B2F-4C92-B5D0-4D2D3B9258F1}">
    <text>Lasterhöhung (!)</text>
  </threadedComment>
  <threadedComment ref="Q1" dT="2019-03-23T12:47:45.68" personId="{51F1A2BF-5699-4337-B875-D53DBF6DE656}" id="{074B351B-7EDA-4499-8680-1DAD430B188F}">
    <text>Bei Klobasa (2009, S. 27) als Lastmanagementfaktor eingefügt: Anteil der verlagerbaren Leistung am gesamten Leistungsbedarf einer bestimmten Anwendung</text>
  </threadedComment>
  <threadedComment ref="Q2" dT="2019-02-15T12:55:01.39" personId="{51F1A2BF-5699-4337-B875-D53DBF6DE656}" id="{2B3F3A06-A010-41B8-8504-607E90FD50CF}">
    <text>67 % laut Tab. 4-7 (S. 69)</text>
  </threadedComment>
  <threadedComment ref="O16" dT="2019-02-15T12:29:17.48" personId="{51F1A2BF-5699-4337-B875-D53DBF6DE656}" id="{B9C2205B-C7A4-4E1C-95E4-DB075EEFDF82}">
    <text>+/- 10 % Auslastung zulässig</text>
  </threadedComment>
  <threadedComment ref="O17" dT="2019-02-15T12:29:17.48" personId="{51F1A2BF-5699-4337-B875-D53DBF6DE656}" id="{1C64CC1B-80B8-4F4A-98A5-B88000851C23}">
    <text>+/- 10 % Auslastung zulässig</text>
  </threadedComment>
  <threadedComment ref="I22" dT="2019-02-15T12:41:14.71" personId="{51F1A2BF-5699-4337-B875-D53DBF6DE656}" id="{F95D806E-4058-4B54-A202-3A84D5E9146F}">
    <text>Tab. 4-7 (S. 69): 180 MW</text>
  </threadedComment>
  <threadedComment ref="J22" dT="2019-02-15T12:41:14.71" personId="{51F1A2BF-5699-4337-B875-D53DBF6DE656}" id="{2767AA7F-BC5C-4D14-A9E0-0C5C63A57BB8}">
    <text>Tab. 4-7 (S. 69): 180 MW</text>
  </threadedComment>
  <threadedComment ref="N22" dT="2019-02-15T12:41:14.71" personId="{51F1A2BF-5699-4337-B875-D53DBF6DE656}" id="{B0E66513-5A33-4C3E-8421-906E850B5EE2}">
    <text>Tab. 4-7 (S. 69): 180 MW</text>
  </threadedComment>
  <threadedComment ref="Q22" dT="2019-02-15T12:43:09.59" personId="{51F1A2BF-5699-4337-B875-D53DBF6DE656}" id="{C76036C4-AC7A-4802-85F7-C393F5084BC6}">
    <text>Zeitabhängig!</text>
  </threadedComment>
  <threadedComment ref="U22" dT="2019-02-15T12:41:59.11" personId="{51F1A2BF-5699-4337-B875-D53DBF6DE656}" id="{6FF35000-AADD-4767-8A24-544D08DEE41F}">
    <text>Annahme</text>
  </threadedComment>
  <threadedComment ref="J24" dT="2019-02-15T12:59:21.04" personId="{51F1A2BF-5699-4337-B875-D53DBF6DE656}" id="{A18B683F-7DFB-4ADB-AC46-2250B945731D}">
    <text>Obergrenze; Tab. 4-7 (S. 69): 270 MW</text>
  </threadedComment>
  <threadedComment ref="N24" dT="2019-02-15T12:59:21.04" personId="{51F1A2BF-5699-4337-B875-D53DBF6DE656}" id="{F5BEA0D3-C462-4981-AD99-D691B4603720}">
    <text>Obergrenze; Tab. 4-7 (S. 69): 270 MW</text>
  </threadedComment>
  <threadedComment ref="W28" dT="2019-02-15T15:39:12.92" personId="{51F1A2BF-5699-4337-B875-D53DBF6DE656}" id="{4FEE3112-6821-415D-955A-4DA09D372C96}">
    <text>0,5 bis 2 h nach Stadler (2005)</text>
  </threadedComment>
  <threadedComment ref="J29" dT="2019-02-15T16:51:11.24" personId="{51F1A2BF-5699-4337-B875-D53DBF6DE656}" id="{076190CB-06BD-4ABE-B89E-401931F6E8B5}">
    <text>Anstieg des Potenzial um ca. 1/3 (S. 73)</text>
  </threadedComment>
  <threadedComment ref="W30" dT="2019-02-15T17:15:23.46" personId="{51F1A2BF-5699-4337-B875-D53DBF6DE656}" id="{A98B7A15-9DCD-4B90-9020-5A2E47C41C39}">
    <text>Verlagerungsdauern bis 3 Stunden in Versuchen in DK festgestellt (S. 74)</text>
  </threadedComment>
  <threadedComment ref="O32" dT="2019-02-15T17:18:20.66" personId="{51F1A2BF-5699-4337-B875-D53DBF6DE656}" id="{1BF91F4A-22C1-41E4-88D4-7CFEE64FB196}">
    <text>Keine Aussagen im Text zu finden.</text>
  </threadedComment>
  <threadedComment ref="Q34" dT="2019-02-15T17:40:44.04" personId="{51F1A2BF-5699-4337-B875-D53DBF6DE656}" id="{7B06DB33-1705-4E01-B19E-15668E7FF4D5}">
    <text>Annahme.</text>
  </threadedComment>
  <threadedComment ref="S35" dT="2019-02-15T17:35:43.58" personId="{51F1A2BF-5699-4337-B875-D53DBF6DE656}" id="{06B79AA8-4AF3-4D94-ADF6-79987787C9CA}">
    <text>lineare Interpolation mit Prognosewerten für 2030 (S. 77).</text>
  </threadedComment>
  <threadedComment ref="U35" dT="2019-02-15T17:35:43.58" personId="{51F1A2BF-5699-4337-B875-D53DBF6DE656}" id="{13CE8E71-75C0-4CC0-94BD-1C85926EEE1A}">
    <text>lineare Interpolation mit Prognosewerten für 2030 (S. 77).</text>
  </threadedComment>
  <threadedComment ref="S37" dT="2019-02-15T17:35:43.58" personId="{51F1A2BF-5699-4337-B875-D53DBF6DE656}" id="{4ABC16C1-8D91-43F3-B8EC-A8995F82F5BE}">
    <text>lineare Interpolation mit Prognosewerten für 2030.</text>
  </threadedComment>
  <threadedComment ref="U37" dT="2019-02-15T17:35:43.58" personId="{51F1A2BF-5699-4337-B875-D53DBF6DE656}" id="{79B7B427-0D49-49C6-9750-F7F5BD8526DD}">
    <text>lineare Interpolation mit Prognosewerten für 2030.</text>
  </threadedComment>
  <threadedComment ref="S39" dT="2019-02-15T17:35:43.58" personId="{51F1A2BF-5699-4337-B875-D53DBF6DE656}" id="{9DCB1874-13E4-4402-A615-A5F7EB2F8918}">
    <text>lineare Interpolation mit Prognosewerten für 2030.</text>
  </threadedComment>
  <threadedComment ref="U39" dT="2019-02-15T17:35:43.58" personId="{51F1A2BF-5699-4337-B875-D53DBF6DE656}" id="{F20F9148-E0D4-4101-B16A-6DB4147CAF3E}">
    <text>lineare Interpolation mit Prognosewerten für 2030.</text>
  </threadedComment>
  <threadedComment ref="S41" dT="2019-02-15T17:35:43.58" personId="{51F1A2BF-5699-4337-B875-D53DBF6DE656}" id="{4A1779F1-52BB-4838-9067-524E62009757}">
    <text>lineare Interpolation mit Prognosewerten für 2030.</text>
  </threadedComment>
  <threadedComment ref="U41" dT="2019-02-15T17:35:43.58" personId="{51F1A2BF-5699-4337-B875-D53DBF6DE656}" id="{9DA53673-71BE-457E-8D6C-72F535BFABEA}">
    <text>lineare Interpolation mit Prognosewerten für 2030.</text>
  </threadedComment>
  <threadedComment ref="R44" dT="2019-02-15T17:53:41.84" personId="{51F1A2BF-5699-4337-B875-D53DBF6DE656}" id="{9574B918-47AB-40B7-A84D-B43B94925CAB}">
    <text>S. 78</text>
  </threadedComment>
  <threadedComment ref="R45" dT="2019-02-15T17:53:47.01" personId="{51F1A2BF-5699-4337-B875-D53DBF6DE656}" id="{1104399C-1F14-466E-952E-456D516B9715}">
    <text>S. 78</text>
  </threadedComment>
  <threadedComment ref="U46" dT="2019-02-15T17:51:41.40" personId="{51F1A2BF-5699-4337-B875-D53DBF6DE656}" id="{39CC0BFB-A574-4405-AF5B-AB5EF1B80A93}">
    <text>Leistung im GHD-Sektor 3 GW (S. 78)</text>
  </threadedComment>
  <threadedComment ref="U47" dT="2019-02-15T17:51:41.40" personId="{51F1A2BF-5699-4337-B875-D53DBF6DE656}" id="{B5F36E8E-D325-41B9-AD9F-EB47AEA717DE}">
    <text>Leistung im GHD-Sektor 3 GW (S. 78)</text>
  </threadedComment>
  <threadedComment ref="A50" dT="2019-02-15T18:11:43.15" personId="{51F1A2BF-5699-4337-B875-D53DBF6DE656}" id="{F5B9767E-8275-43F4-B850-223AF2A7F436}">
    <text>Hochrechnung für Haushalte</text>
  </threadedComment>
  <threadedComment ref="R50" dT="2019-02-15T18:26:47.90" personId="{51F1A2BF-5699-4337-B875-D53DBF6DE656}" id="{C452B2D1-6AF6-4F63-9164-456F565E36FA}">
    <text>Jahresdurchschnitt nicht repräsentativ für Anwendungsprofil (!)</text>
  </threadedComment>
  <threadedComment ref="BB50" dT="2019-02-15T18:32:19.52" personId="{51F1A2BF-5699-4337-B875-D53DBF6DE656}" id="{39E60AA3-24EA-4C06-8679-D9AE0CB964B6}">
    <text>Smart Meter</text>
  </threadedComment>
  <threadedComment ref="X62" dT="2019-02-15T18:17:54.11" personId="{51F1A2BF-5699-4337-B875-D53DBF6DE656}" id="{63046668-B45F-4E72-850F-2A81236815E7}">
    <text>bei kleinen 8</text>
  </threadedComment>
  <threadedComment ref="R64" dT="2019-02-15T18:16:49.93" personId="{51F1A2BF-5699-4337-B875-D53DBF6DE656}" id="{C8EF85D4-A230-4C5E-A1A8-B30134F1B7B3}">
    <text>670 VBH, da nur Betrieb im Winter und in Übergangszeit (S. 83)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E1" dT="2020-01-21T13:53:46.17" personId="{71FC54F3-5E8D-460B-9FCF-F7AD63FF6B98}" id="{C52B5857-94D2-4C82-B0B9-27486F847D3B}">
    <text>Ausweisung uneinheitlich; bei Klobasa et al. (2013) steht Abschaltleistung, die im Rahmen der AbLaV angeboten weren kann im Fokus. Buber et al. (2013) schreiben dagegen, dass möglichst keine Wertschöpfungseinbußen resultieren sollten.</text>
  </threadedComment>
  <threadedComment ref="AP2" dT="2020-01-21T13:50:32.51" personId="{71FC54F3-5E8D-460B-9FCF-F7AD63FF6B98}" id="{E0555771-94D2-4407-BFF0-342D40A653FD}">
    <text>208 Abrufe p.a.</text>
  </threadedComment>
  <threadedComment ref="AQ2" dT="2020-01-21T13:50:24.32" personId="{71FC54F3-5E8D-460B-9FCF-F7AD63FF6B98}" id="{E4554F3F-3938-470B-B424-052345AF12A8}">
    <text>10 Abrufe p.a.</text>
  </threadedComment>
  <threadedComment ref="AL3" dT="2019-02-26T11:21:34.20" personId="{51F1A2BF-5699-4337-B875-D53DBF6DE656}" id="{2B988940-E527-4ED8-A440-8E6CB3CF6545}">
    <text>20-50 mal pro Jahr</text>
  </threadedComment>
  <threadedComment ref="AB7" dT="2019-02-26T11:28:22.32" personId="{51F1A2BF-5699-4337-B875-D53DBF6DE656}" id="{4E592AC3-F5CE-4C59-8237-F53EA67A8D3B}">
    <text>Klo13, S. 45: tagsüber tlw. nur 20 min, da Auskühlen der Anlage droht</text>
  </threadedComment>
  <threadedComment ref="AA9" dT="2019-02-26T11:49:27.05" personId="{51F1A2BF-5699-4337-B875-D53DBF6DE656}" id="{2B6E6050-95BE-4A18-B442-33B10F2515B4}">
    <text>mehrere Stunden (Klo13, S. 60)</text>
  </threadedComment>
  <threadedComment ref="AA10" dT="2019-02-26T11:49:27.05" personId="{51F1A2BF-5699-4337-B875-D53DBF6DE656}" id="{42713FBB-474D-49E1-8290-CF8100CF13C7}">
    <text>mehrere Stunden (Klo13, S. 60)</text>
  </threadedComment>
  <threadedComment ref="Z11" dT="2019-02-26T11:55:27.66" personId="{51F1A2BF-5699-4337-B875-D53DBF6DE656}" id="{F148D38B-973E-40A6-B900-794F1BC6915A}">
    <text>5-6 (je nach Außentemperatur)</text>
  </threadedComment>
  <threadedComment ref="AA11" dT="2019-02-26T11:55:39.00" personId="{51F1A2BF-5699-4337-B875-D53DBF6DE656}" id="{0C67615F-F0F8-41A8-BB89-D09B7B709A01}">
    <text>10-12 (je nach Außentemperatur)</text>
  </threadedComment>
  <threadedComment ref="AI12" dT="2019-02-26T11:58:22.19" personId="{51F1A2BF-5699-4337-B875-D53DBF6DE656}" id="{7946B472-9AEB-4CB6-84A8-916FC12C1C14}">
    <text>vorgegebene Sperrzeit</text>
  </threadedComment>
  <threadedComment ref="A13" dT="2020-01-21T10:02:25.45" personId="{71FC54F3-5E8D-460B-9FCF-F7AD63FF6B98}" id="{97C5246D-2118-4E75-8A24-DAB5ADDBD5D0}">
    <text>Summe aus Wärmepumpen und Nachtspeicherheizungen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E2" dT="2019-09-17T07:45:47.28" personId="{71FC54F3-5E8D-460B-9FCF-F7AD63FF6B98}" id="{6E808FB1-BD31-4697-85F2-64BC0389815C}">
    <text>MRL</text>
  </threadedComment>
  <threadedComment ref="AO2" dT="2019-09-17T07:43:45.83" personId="{71FC54F3-5E8D-460B-9FCF-F7AD63FF6B98}" id="{DFD032E4-F998-4256-8540-314B152AC06E}">
    <text>mehrere hundert (VOLL)</text>
  </threadedComment>
  <threadedComment ref="C3" dT="2019-09-17T07:34:34.29" personId="{71FC54F3-5E8D-460B-9FCF-F7AD63FF6B98}" id="{8E289125-420C-4016-B340-4C999E9B4963}">
    <text>Deklaration als "zukünftig nutzbares Potenzial" -&gt; zeitlicher Bezug unklar, aber wegen herangezogener Quellen wohl eher in der kurzen bis mittleren Frist</text>
  </threadedComment>
  <threadedComment ref="AE3" dT="2019-09-17T07:45:51.27" personId="{71FC54F3-5E8D-460B-9FCF-F7AD63FF6B98}" id="{A3B9ED76-0DB1-42D8-B4CA-E238BEBC3F30}">
    <text>MRL</text>
  </threadedComment>
  <threadedComment ref="AO3" dT="2019-09-17T07:43:45.83" personId="{71FC54F3-5E8D-460B-9FCF-F7AD63FF6B98}" id="{E5042309-4EBD-448A-99C1-3E0F7CE59322}">
    <text>mehrere hundert (VOLL)</text>
  </threadedComment>
  <threadedComment ref="I5" dT="2019-09-17T09:03:16.20" personId="{71FC54F3-5E8D-460B-9FCF-F7AD63FF6B98}" id="{FD5F3595-802A-44B7-AC8E-66FDC24ECFE1}">
    <text>dena (2010): Krzikalla et al. (2013, S. 32) vermuten massive Überschätzung</text>
  </threadedComment>
  <threadedComment ref="Z6" dT="2019-02-26T15:04:22.73" personId="{51F1A2BF-5699-4337-B875-D53DBF6DE656}" id="{6A1F42CD-9EF8-40DA-B3A4-45BAF7CB0327}">
    <text>Celina</text>
  </threadedComment>
  <threadedComment ref="AE6" dT="2019-09-17T09:09:09.84" personId="{71FC54F3-5E8D-460B-9FCF-F7AD63FF6B98}" id="{DD8E90E2-270C-4E86-8E75-3AA6B758472B}">
    <text>Angabe: "mehrere" Stunden</text>
  </threadedComment>
  <threadedComment ref="AI6" dT="2019-02-26T15:04:52.17" personId="{51F1A2BF-5699-4337-B875-D53DBF6DE656}" id="{94448B8F-E82C-4946-AF9E-66D7528E2E7C}">
    <text>max. 3 Abrufungen pro Tag (Celina)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40132A5A-DED2-4319-8B2E-E7EA3D823173}">
    <text>Hinweis: Daten aus Diagrammen S. 34, 35 abgelesen!</text>
  </threadedComment>
  <threadedComment ref="A1" dT="2019-09-14T13:23:20.69" personId="{71FC54F3-5E8D-460B-9FCF-F7AD63FF6B98}" id="{014A9CAF-7FA6-4944-ACC8-85BEC3615499}" parentId="{40132A5A-DED2-4319-8B2E-E7EA3D823173}">
    <text>TODO: Verschneiden mit den Werten aus Apel (2012)!</text>
  </threadedComment>
  <threadedComment ref="G1" dT="2019-10-27T14:11:08.19" personId="{71FC54F3-5E8D-460B-9FCF-F7AD63FF6B98}" id="{34FBD2BC-05DC-4D60-9E56-84F16ECC9947}">
    <text>3 Szenarien betrachtet: MIN, REF und MAX</text>
  </threadedComment>
  <threadedComment ref="H1" dT="2019-10-27T14:11:16.78" personId="{71FC54F3-5E8D-460B-9FCF-F7AD63FF6B98}" id="{0535A5A5-8FB5-4245-9802-9BA214E263CC}">
    <text>3 Szenarien betrachtet: MIN, REF und MAX</text>
  </threadedComment>
  <threadedComment ref="I1" dT="2019-10-27T14:11:19.97" personId="{71FC54F3-5E8D-460B-9FCF-F7AD63FF6B98}" id="{20797AE0-FDD9-413F-BBE6-FF2964343907}">
    <text>3 Szenarien betrachtet: MIN, REF und MAX</text>
  </threadedComment>
  <threadedComment ref="T1" dT="2019-10-27T14:59:07.05" personId="{71FC54F3-5E8D-460B-9FCF-F7AD63FF6B98}" id="{5670BF3C-A1A2-4CAA-A2CE-D3663FBEE297}">
    <text>Abschätzung via Hochrechnung der Potenziale mittels Stromverbrauchsentwicklung!</text>
  </threadedComment>
  <threadedComment ref="V1" dT="2019-09-13T15:07:45.92" personId="{71FC54F3-5E8D-460B-9FCF-F7AD63FF6B98}" id="{B41F072E-271C-4143-A336-EA916252D2C7}">
    <text>Werte abgelesen (S. 34 u. 36)</text>
  </threadedComment>
  <threadedComment ref="W1" dT="2019-09-13T15:07:55.17" personId="{71FC54F3-5E8D-460B-9FCF-F7AD63FF6B98}" id="{A88D4CC7-0265-4DF6-A9D5-56F88B209A65}">
    <text>Werte abgelesen (S. 34)</text>
  </threadedComment>
  <threadedComment ref="X1" dT="2019-09-13T15:07:45.92" personId="{71FC54F3-5E8D-460B-9FCF-F7AD63FF6B98}" id="{936D7620-D151-41A2-B722-C76165853D05}">
    <text>Werte abgelesen (S. 34)</text>
  </threadedComment>
  <threadedComment ref="Y1" dT="2019-09-13T15:07:45.92" personId="{71FC54F3-5E8D-460B-9FCF-F7AD63FF6B98}" id="{B98FE828-DC1A-408F-B562-43A7BA75AF48}">
    <text>Werte abgelesen (S. 34)</text>
  </threadedComment>
  <threadedComment ref="U9" dT="2019-10-27T14:57:16.61" personId="{71FC54F3-5E8D-460B-9FCF-F7AD63FF6B98}" id="{9FFCF79A-B160-43D3-85A0-8B65E3D598DE}">
    <text>BEIDE Verfahren</text>
  </threadedComment>
  <threadedComment ref="T10" dT="2019-10-27T14:56:23.95" personId="{71FC54F3-5E8D-460B-9FCF-F7AD63FF6B98}" id="{CDC5432E-5CEE-4F65-A049-D3CB861DE164}">
    <text>abgelesener Wert</text>
  </threadedComment>
  <threadedComment ref="V10" dT="2019-10-27T14:56:23.95" personId="{71FC54F3-5E8D-460B-9FCF-F7AD63FF6B98}" id="{08D0FDE5-7D23-45BB-A7F8-290A9D0772DD}">
    <text>abgelesener Wert</text>
  </threadedComment>
  <threadedComment ref="T11" dT="2019-10-27T14:56:23.95" personId="{71FC54F3-5E8D-460B-9FCF-F7AD63FF6B98}" id="{2FCC91E6-E798-40B9-8533-58AD9E715427}">
    <text>abgelesener Wert</text>
  </threadedComment>
  <threadedComment ref="U11" dT="2019-10-27T14:56:45.46" personId="{71FC54F3-5E8D-460B-9FCF-F7AD63FF6B98}" id="{5D04B573-5CD0-41AE-928E-35C3B8167CEE}">
    <text>abgelesener Wert</text>
  </threadedComment>
  <threadedComment ref="V11" dT="2019-10-27T14:56:23.95" personId="{71FC54F3-5E8D-460B-9FCF-F7AD63FF6B98}" id="{2F944CA3-AE36-4755-8F09-10643B9244D5}">
    <text>abgelesener Wert</text>
  </threadedComment>
  <threadedComment ref="A18" dT="2019-10-05T15:50:32.06" personId="{71FC54F3-5E8D-460B-9FCF-F7AD63FF6B98}" id="{9A3A6324-8791-4E84-8433-7CFA81788709}">
    <text>Kältespeicher</text>
  </threadedComment>
  <threadedComment ref="AZ18" dT="2019-10-03T16:17:42.68" personId="{71FC54F3-5E8D-460B-9FCF-F7AD63FF6B98}" id="{A8A4819F-B1D7-4FB7-AFF5-812296655B02}">
    <text>&lt;8 pro Tag</text>
  </threadedComment>
  <threadedComment ref="A19" dT="2019-10-05T15:50:32.06" personId="{71FC54F3-5E8D-460B-9FCF-F7AD63FF6B98}" id="{8294BB77-B58E-446F-B38A-EB634F5E341D}">
    <text>Kältespeicher</text>
  </threadedComment>
  <threadedComment ref="A20" dT="2019-10-05T15:50:32.06" personId="{71FC54F3-5E8D-460B-9FCF-F7AD63FF6B98}" id="{8814E792-F602-47EA-B07E-DF22CA2745AF}">
    <text>Kältespeicher</text>
  </threadedComment>
  <threadedComment ref="AZ21" dT="2019-10-03T16:17:49.79" personId="{71FC54F3-5E8D-460B-9FCF-F7AD63FF6B98}" id="{EA32A9C9-25A2-4D21-A596-4DADF2C63448}">
    <text>&lt;12 pro Tag</text>
  </threadedComment>
  <threadedComment ref="AZ22" dT="2019-10-03T16:17:49.79" personId="{71FC54F3-5E8D-460B-9FCF-F7AD63FF6B98}" id="{002C673A-E7CE-4669-9828-EF224478AA0A}">
    <text>&lt;12 pro Tag</text>
  </threadedComment>
  <threadedComment ref="AZ23" dT="2019-10-03T16:17:49.79" personId="{71FC54F3-5E8D-460B-9FCF-F7AD63FF6B98}" id="{E43DB286-E8AC-4C60-978C-EDCE9FF0B7AF}">
    <text>&lt;12 pro Tag</text>
  </threadedComment>
  <threadedComment ref="AZ24" dT="2019-10-03T16:17:49.79" personId="{71FC54F3-5E8D-460B-9FCF-F7AD63FF6B98}" id="{68B7967D-4350-4785-980B-34CC633D1EB6}">
    <text>&lt;12 pro Tag</text>
  </threadedComment>
  <threadedComment ref="AZ25" dT="2019-10-03T16:17:49.79" personId="{71FC54F3-5E8D-460B-9FCF-F7AD63FF6B98}" id="{FAB61CD1-93CD-4A4B-9CC5-CC634DE22978}">
    <text>&lt;12 pro Tag</text>
  </threadedComment>
  <threadedComment ref="AZ26" dT="2019-10-03T16:17:49.79" personId="{71FC54F3-5E8D-460B-9FCF-F7AD63FF6B98}" id="{3955FFBA-885D-4B97-A22E-39EC0806BABF}">
    <text>&lt;12 pro Tag</text>
  </threadedComment>
  <threadedComment ref="AZ27" dT="2019-10-03T16:17:59.38" personId="{71FC54F3-5E8D-460B-9FCF-F7AD63FF6B98}" id="{C2208035-CA19-4F09-8EC7-B0C2C45E8AA4}">
    <text>&lt;8 pro Tag</text>
  </threadedComment>
  <threadedComment ref="AZ28" dT="2019-10-03T16:17:59.38" personId="{71FC54F3-5E8D-460B-9FCF-F7AD63FF6B98}" id="{B943206F-AF6D-40ED-8C3E-3781DE2A6CC4}">
    <text>&lt;8 pro Tag</text>
  </threadedComment>
  <threadedComment ref="AZ29" dT="2019-10-03T16:17:59.38" personId="{71FC54F3-5E8D-460B-9FCF-F7AD63FF6B98}" id="{A2559ECD-B019-4AA2-8A6B-FDE535A28A0D}">
    <text>&lt;8 pro Tag</text>
  </threadedComment>
  <threadedComment ref="AZ30" dT="2019-10-03T16:17:59.38" personId="{71FC54F3-5E8D-460B-9FCF-F7AD63FF6B98}" id="{4B34E1BE-0172-44D7-8EE1-E3EC462FE0D3}">
    <text>&lt;8 pro Tag</text>
  </threadedComment>
  <threadedComment ref="AZ31" dT="2019-10-03T16:17:59.38" personId="{71FC54F3-5E8D-460B-9FCF-F7AD63FF6B98}" id="{A6449AFE-8CA4-4D78-BB0E-EA96F0B6E13F}">
    <text>&lt;8 pro Tag</text>
  </threadedComment>
  <threadedComment ref="AZ32" dT="2019-10-03T16:17:59.38" personId="{71FC54F3-5E8D-460B-9FCF-F7AD63FF6B98}" id="{89785C96-89F4-4CD2-ACA3-1E5FBD91D9BA}">
    <text>&lt;8 pro Tag</text>
  </threadedComment>
  <threadedComment ref="AZ33" dT="2019-10-03T16:17:52.50" personId="{71FC54F3-5E8D-460B-9FCF-F7AD63FF6B98}" id="{E81FB360-0B81-4A7C-8076-B64BA89C8BD2}">
    <text>&lt;12 pro Tag</text>
  </threadedComment>
  <threadedComment ref="AZ34" dT="2019-10-03T16:17:52.50" personId="{71FC54F3-5E8D-460B-9FCF-F7AD63FF6B98}" id="{2E590A01-E7BF-4047-AE8E-C40EB516F3A8}">
    <text>&lt;12 pro Tag</text>
  </threadedComment>
  <threadedComment ref="AZ35" dT="2019-10-03T16:17:52.50" personId="{71FC54F3-5E8D-460B-9FCF-F7AD63FF6B98}" id="{5E54AC2C-CC79-42C5-BE07-F480ABF42B5A}">
    <text>&lt;12 pro Tag</text>
  </threadedComment>
  <threadedComment ref="AZ36" dT="2019-10-03T16:17:52.50" personId="{71FC54F3-5E8D-460B-9FCF-F7AD63FF6B98}" id="{E68B8C0E-5063-499C-9C2E-A5C782C50157}">
    <text>&lt;12 pro Tag</text>
  </threadedComment>
  <threadedComment ref="AZ39" dT="2019-10-03T16:18:22.52" personId="{71FC54F3-5E8D-460B-9FCF-F7AD63FF6B98}" id="{509C2434-7F1C-472D-BEF3-D529AECA42FD}">
    <text>unbegrenzt</text>
  </threadedComment>
  <threadedComment ref="AZ40" dT="2019-10-03T16:18:22.52" personId="{71FC54F3-5E8D-460B-9FCF-F7AD63FF6B98}" id="{28DB589E-1414-4D45-8A13-FDDFDE80464F}">
    <text>unbegrenzt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2" dT="2019-03-08T18:28:35.00" personId="{51F1A2BF-5699-4337-B875-D53DBF6DE656}" id="{EDF45256-C95B-4604-BC04-7E26BE64F9E1}">
    <text>PRL</text>
  </threadedComment>
  <threadedComment ref="H2" dT="2019-03-08T18:28:48.45" personId="{51F1A2BF-5699-4337-B875-D53DBF6DE656}" id="{3BEFDC6A-4DC4-46E7-B066-D8298BDE0FB1}">
    <text>ID/DA</text>
  </threadedComment>
  <threadedComment ref="AF2" dT="2019-03-08T18:20:13.44" personId="{51F1A2BF-5699-4337-B875-D53DBF6DE656}" id="{ABA2591F-B820-436C-9A3A-A5332F0786D0}">
    <text>Großteil der Aktivierungen &lt;= 30 s</text>
  </threadedComment>
  <threadedComment ref="AI2" dT="2019-03-08T18:17:03.08" personId="{51F1A2BF-5699-4337-B875-D53DBF6DE656}" id="{703AD3D1-E30E-48F1-9DC4-B48BD3A6BD40}">
    <text>Vollabschaltung mit Dauer von 1 Stunde möglich.</text>
  </threadedComment>
  <threadedComment ref="AS2" dT="2019-03-08T18:27:36.02" personId="{51F1A2BF-5699-4337-B875-D53DBF6DE656}" id="{B3F52114-DD22-42ED-A49C-9CCFD55C1BDC}">
    <text>Lasterhöhung häufiger -&gt; Luftzerlegung</text>
  </threadedComment>
  <threadedComment ref="AX2" dT="2019-03-08T18:24:01.29" personId="{51F1A2BF-5699-4337-B875-D53DBF6DE656}" id="{30962F40-40C3-4F2C-ABAB-48E87F63E1C3}">
    <text>nachholende Produktion</text>
  </threadedComment>
  <threadedComment ref="K3" dT="2019-02-23T12:59:10.61" personId="{51F1A2BF-5699-4337-B875-D53DBF6DE656}" id="{FDDB87EE-EFAB-4817-94A3-94AC8AA29087}">
    <text>470 MW akzeptiert</text>
  </threadedComment>
  <threadedComment ref="K4" dT="2019-02-23T13:24:22.64" personId="{51F1A2BF-5699-4337-B875-D53DBF6DE656}" id="{D6012168-2E81-4545-9820-7FFA59E7202D}">
    <text>1.100 MW akzeptiert</text>
  </threadedComment>
  <threadedComment ref="G6" dT="2019-03-08T18:04:22.89" personId="{51F1A2BF-5699-4337-B875-D53DBF6DE656}" id="{49B75B7C-D38C-4212-94E9-C57D8606C6BD}">
    <text>SRL</text>
  </threadedComment>
  <threadedComment ref="H6" dT="2019-03-08T18:04:30.26" personId="{51F1A2BF-5699-4337-B875-D53DBF6DE656}" id="{2D2B2FF5-911A-40C0-BDD5-7CF2B7EAC266}">
    <text>MRL II</text>
  </threadedComment>
  <threadedComment ref="K6" dT="2019-03-08T18:10:40.62" personId="{51F1A2BF-5699-4337-B875-D53DBF6DE656}" id="{0D2C46B9-62F1-47DB-93FE-0C9F7481C5CF}">
    <text>in HT-Zeit nur 22 MW</text>
  </threadedComment>
  <threadedComment ref="O6" dT="2019-03-08T18:08:08.05" personId="{51F1A2BF-5699-4337-B875-D53DBF6DE656}" id="{285ADAA8-6F52-495C-A122-66720250C243}">
    <text>ID/DA</text>
  </threadedComment>
  <threadedComment ref="AS6" dT="2019-03-08T18:02:57.41" personId="{51F1A2BF-5699-4337-B875-D53DBF6DE656}" id="{C8F19E2B-46C5-4927-813B-18767F568C3B}">
    <text>Für Lasterhöhungen etwas höher</text>
  </threadedComment>
  <threadedComment ref="A7" dT="2019-03-09T16:18:24.62" personId="{51F1A2BF-5699-4337-B875-D53DBF6DE656}" id="{914E371E-85A0-4467-8FD6-9FE9C6FE80AB}">
    <text>kein Flexinilitätspotenzial bei Raffinerien wegen sicherheitstechnischer Aspekte; Flexibilitätspotenzial bei Braunkohletagebau durch Industriekraftwerke bzw. aus Datenschutzgründen nicht dargelegt.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H4" dT="2019-09-17T11:48:44.68" personId="{71FC54F3-5E8D-460B-9FCF-F7AD63FF6B98}" id="{48424C6E-DB7D-4E80-A6CE-54632708D2E4}">
    <text>10 °C Außentemperatur</text>
  </threadedComment>
  <threadedComment ref="J4" dT="2019-09-17T11:48:55.86" personId="{71FC54F3-5E8D-460B-9FCF-F7AD63FF6B98}" id="{AD464845-2D6B-4D71-8364-17095566BF61}">
    <text>271 MW bei -10 °C Außentemperatur und nur BaWü</text>
  </threadedComment>
  <threadedComment ref="A6" dT="2019-09-17T12:05:49.87" personId="{71FC54F3-5E8D-460B-9FCF-F7AD63FF6B98}" id="{B80B1BD7-A1C3-481D-8880-6BBA22317276}">
    <text>Heute kein nennenswertes Potenzial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H2" dT="2019-02-16T12:49:15.23" personId="{51F1A2BF-5699-4337-B875-D53DBF6DE656}" id="{E4BFB744-B0A5-46CB-A573-80A1EDDEB6FE}">
    <text>Abschätzung aus Abbildung S. 413</text>
  </threadedComment>
  <threadedComment ref="I2" dT="2019-02-16T11:55:18.61" personId="{51F1A2BF-5699-4337-B875-D53DBF6DE656}" id="{D3A3CB8E-634D-4353-BC22-B1C1EE166973}">
    <text>nur während Heizperiode; nicht spezifiziert, ob Maximum oder Durchschnitt</text>
  </threadedComment>
  <threadedComment ref="L2" dT="2019-02-16T11:55:41.42" personId="{51F1A2BF-5699-4337-B875-D53DBF6DE656}" id="{DE79BE23-0387-495B-B52B-8557145C9526}">
    <text>Abschätzung aus Abbildung S. 413</text>
  </threadedComment>
  <threadedComment ref="M2" dT="2019-02-16T11:55:41.42" personId="{51F1A2BF-5699-4337-B875-D53DBF6DE656}" id="{4DEFF1C5-9E82-46BA-9145-56ACC48E0E68}">
    <text>nur während bestimmten Stunden der Heizperiode; nict spezifiziert, ob Maximum oder Durchschnitt</text>
  </threadedComment>
  <threadedComment ref="H3" dT="2019-02-16T12:49:15.23" personId="{51F1A2BF-5699-4337-B875-D53DBF6DE656}" id="{56FCB2BE-04C3-4ED5-ACE2-FB1BA5737F47}">
    <text>Abschätzung aus Abbildung S. 413</text>
  </threadedComment>
  <threadedComment ref="I3" dT="2019-02-16T11:55:18.61" personId="{51F1A2BF-5699-4337-B875-D53DBF6DE656}" id="{91DBE807-34F5-455F-9717-4F4965B1E165}">
    <text>nur während Heizperiode; nicht spezifiziert, ob Maximum oder Durchschnitt</text>
  </threadedComment>
  <threadedComment ref="L3" dT="2019-02-16T11:55:41.42" personId="{51F1A2BF-5699-4337-B875-D53DBF6DE656}" id="{DB085A0F-790B-4ABF-B1AC-582644675691}">
    <text>Abschätzung aus Abbildung S. 413</text>
  </threadedComment>
  <threadedComment ref="M3" dT="2019-02-16T11:55:41.42" personId="{51F1A2BF-5699-4337-B875-D53DBF6DE656}" id="{CD81D0F3-14CC-415D-A096-62C1B673367E}">
    <text>nur während bestimmten Stunden der Heizperiode; nict spezifiziert, ob Maximum oder Durchschnitt</text>
  </threadedComment>
  <threadedComment ref="H4" dT="2019-02-16T12:49:15.23" personId="{51F1A2BF-5699-4337-B875-D53DBF6DE656}" id="{B5FCF81A-A120-4D14-88B6-05B80DDD3C65}">
    <text>Abschätzung aus Abbildung S. 413</text>
  </threadedComment>
  <threadedComment ref="H5" dT="2019-02-16T12:49:15.23" personId="{51F1A2BF-5699-4337-B875-D53DBF6DE656}" id="{55E0F084-1B19-4E04-94EC-6347E888579E}">
    <text>Abschätzung aus Abbildung S. 413</text>
  </threadedComment>
  <threadedComment ref="H6" dT="2019-02-16T12:49:15.23" personId="{51F1A2BF-5699-4337-B875-D53DBF6DE656}" id="{32BA0AC7-3B43-4F09-A1B2-D4BA4859B6C6}">
    <text>Abschätzung aus Abbildung S. 413</text>
  </threadedComment>
  <threadedComment ref="I6" dT="2019-02-16T12:07:50.76" personId="{51F1A2BF-5699-4337-B875-D53DBF6DE656}" id="{FC04E18C-2626-474F-A156-122F164C33A4}">
    <text>Winter</text>
  </threadedComment>
  <threadedComment ref="L6" dT="2019-02-16T11:55:41.42" personId="{51F1A2BF-5699-4337-B875-D53DBF6DE656}" id="{65ED5D12-1403-420F-8E23-C0ADB299F455}">
    <text>Abschätzung aus Abbildung S. 413</text>
  </threadedComment>
  <threadedComment ref="M6" dT="2019-02-16T12:08:12.00" personId="{51F1A2BF-5699-4337-B875-D53DBF6DE656}" id="{A0E4DF02-2C19-4550-8373-EE5EB7F86DA6}">
    <text>Sommer</text>
  </threadedComment>
  <threadedComment ref="H7" dT="2019-02-16T12:49:15.23" personId="{51F1A2BF-5699-4337-B875-D53DBF6DE656}" id="{ECA38B16-2E6A-44F9-B174-6E7A45B4E67B}">
    <text>Abschätzung aus Abbildung S. 413; eigene Hochrechnung</text>
  </threadedComment>
  <threadedComment ref="I7" dT="2019-02-16T12:07:50.76" personId="{51F1A2BF-5699-4337-B875-D53DBF6DE656}" id="{BE2984E6-2531-4D6C-A777-5BBD07A90D8D}">
    <text>Winter</text>
  </threadedComment>
  <threadedComment ref="L7" dT="2019-02-16T12:49:15.23" personId="{51F1A2BF-5699-4337-B875-D53DBF6DE656}" id="{CE7146F0-90E3-4CF6-8E7E-E7F03F40C48B}">
    <text>Abschätzung aus Abbildung S. 413; eigene Hochrechnung</text>
  </threadedComment>
  <threadedComment ref="M7" dT="2019-02-16T12:08:12.00" personId="{51F1A2BF-5699-4337-B875-D53DBF6DE656}" id="{32DC9E10-538E-4626-BEEE-0A358024E089}">
    <text>Sommer</text>
  </threadedComment>
  <threadedComment ref="Y10" dT="2019-02-16T12:14:47.55" personId="{51F1A2BF-5699-4337-B875-D53DBF6DE656}" id="{BDD71445-32CE-44AC-87CC-DE391F3A9437}">
    <text>bei Maximalleistung; bei geringerer deutlich länger (bis zu 12 Stunden)</text>
  </threadedComment>
  <threadedComment ref="AB10" dT="2019-02-16T12:35:35.92" personId="{51F1A2BF-5699-4337-B875-D53DBF6DE656}" id="{B4685EC8-33BA-41C6-B974-C7FDC81FD07E}">
    <text>bei Maximalleistung; bei geringerer deutlich länger (bis zu 7 Stunden)</text>
  </threadedComment>
  <threadedComment ref="Y11" dT="2019-02-16T12:14:47.55" personId="{51F1A2BF-5699-4337-B875-D53DBF6DE656}" id="{F43EFF6B-BE30-4C11-8B8A-43E99B6288D6}">
    <text>bei Maximalleistung; bei geringerer deutlich länger (bis zu 12 Stunden)</text>
  </threadedComment>
  <threadedComment ref="AB11" dT="2019-02-16T12:35:35.92" personId="{51F1A2BF-5699-4337-B875-D53DBF6DE656}" id="{F961DDDF-533B-4CA6-9E96-85E7901EE977}">
    <text>bei Maximalleistung; bei geringerer deutlich länger (bis zu 7 Stunden)</text>
  </threadedComment>
  <threadedComment ref="Y12" dT="2019-02-16T12:35:55.76" personId="{51F1A2BF-5699-4337-B875-D53DBF6DE656}" id="{A4C5058E-F20C-490A-A13E-57818F5B284C}">
    <text>bei Maximalleistung; bei geringerer deutlich länger (bis zu 7 Stunden)</text>
  </threadedComment>
  <threadedComment ref="AB12" dT="2019-02-16T12:36:14.45" personId="{51F1A2BF-5699-4337-B875-D53DBF6DE656}" id="{B5AC5E5C-D305-4489-9068-9917443E2B69}">
    <text>bei Maximalleistung; bei geringerer deutlich länger (bis zu 3 Stunden)</text>
  </threadedComment>
  <threadedComment ref="Y13" dT="2019-02-16T12:35:55.76" personId="{51F1A2BF-5699-4337-B875-D53DBF6DE656}" id="{8B139A3A-9121-4697-9E8B-7397F65F9ABE}">
    <text>bei Maximalleistung; bei geringerer deutlich länger (bis zu 7 Stunden)</text>
  </threadedComment>
  <threadedComment ref="AB13" dT="2019-02-16T12:36:14.45" personId="{51F1A2BF-5699-4337-B875-D53DBF6DE656}" id="{5F5EE21A-1FC9-4DD5-9F00-5B68CBA65CAE}">
    <text>bei Maximalleistung; bei geringerer deutlich länger (bis zu 3 Stunden)</text>
  </threadedComment>
  <threadedComment ref="I14" dT="2019-02-16T12:39:08.19" personId="{51F1A2BF-5699-4337-B875-D53DBF6DE656}" id="{2CD599CA-FA32-497C-AAAD-D4B40833DAB8}">
    <text>11-14 Uhr</text>
  </threadedComment>
  <threadedComment ref="AI14" dT="2019-02-16T12:41:12.11" personId="{51F1A2BF-5699-4337-B875-D53DBF6DE656}" id="{B01D08C9-05D2-499A-B05E-0CA61B79389A}">
    <text>Einmal pro Tag (Annahme)</text>
  </threadedComment>
  <threadedComment ref="I15" dT="2019-02-16T12:39:08.19" personId="{51F1A2BF-5699-4337-B875-D53DBF6DE656}" id="{484A3725-636F-46AC-ADE5-2426E0CDFFF6}">
    <text>11-14 Uhr</text>
  </threadedComment>
  <threadedComment ref="AI15" dT="2019-02-16T12:41:12.11" personId="{51F1A2BF-5699-4337-B875-D53DBF6DE656}" id="{618FA667-1122-4AA4-AFFD-62315F98704A}">
    <text>Einmal pro Tag (Annahme)</text>
  </threadedComment>
  <threadedComment ref="Q16" dT="2019-03-23T12:47:02.27" personId="{51F1A2BF-5699-4337-B875-D53DBF6DE656}" id="{3C360DE0-279E-472B-8B69-0D8A9FDA24AA}">
    <text>Bezug auf installierte Leistung (!)</text>
  </threadedComment>
  <threadedComment ref="AP16" dT="2019-02-16T17:16:14.47" personId="{51F1A2BF-5699-4337-B875-D53DBF6DE656}" id="{B7D9A8BF-A9CD-43C6-89EA-3DCB04B08D4C}">
    <text>kleiner 1</text>
  </threadedComment>
  <threadedComment ref="AQ16" dT="2019-02-16T17:16:14.47" personId="{51F1A2BF-5699-4337-B875-D53DBF6DE656}" id="{32164C69-55B6-4C8D-AAA6-4375387896B4}">
    <text>abweichende Angabe auf S. 531: vglsw. hohe fixe BK mit 90 €/kW*a</text>
  </threadedComment>
  <threadedComment ref="AP17" dT="2019-02-16T17:16:14.47" personId="{51F1A2BF-5699-4337-B875-D53DBF6DE656}" id="{B58A8EDA-A9BF-438C-926D-9A46E25BE4F8}">
    <text>kleiner 1</text>
  </threadedComment>
  <threadedComment ref="AQ17" dT="2019-02-16T17:16:14.47" personId="{51F1A2BF-5699-4337-B875-D53DBF6DE656}" id="{4D0EDDAD-4B39-4913-9D1A-8FE152A4D5C1}">
    <text>abweichende Angabe auf S. 531: vglsw. hohe fixe BK mit 90 €/kW*a</text>
  </threadedComment>
  <threadedComment ref="AL18" dT="2019-02-16T17:16:14.47" personId="{51F1A2BF-5699-4337-B875-D53DBF6DE656}" id="{2D750CCD-9FE5-4E33-917A-62AA63ED38B2}">
    <text>kleiner 1</text>
  </threadedComment>
  <threadedComment ref="AO18" dT="2019-02-16T17:16:14.47" personId="{51F1A2BF-5699-4337-B875-D53DBF6DE656}" id="{DB90334A-56BC-4CB4-BF6B-B6898EDEFDDB}">
    <text>größer 100</text>
  </threadedComment>
  <threadedComment ref="AQ18" dT="2019-02-16T17:16:14.47" personId="{51F1A2BF-5699-4337-B875-D53DBF6DE656}" id="{C1734ED0-047C-4A03-BCD8-FA1D049D3E83}">
    <text>kleiner 1</text>
  </threadedComment>
  <threadedComment ref="E20" dT="2019-02-16T13:04:26.24" personId="{51F1A2BF-5699-4337-B875-D53DBF6DE656}" id="{64F6BED4-7AF4-439F-A1B8-7701FC261B6C}">
    <text>Vollauslastung (8.760 Stunden p.a.)</text>
  </threadedComment>
  <threadedComment ref="AQ20" dT="2019-02-16T17:16:14.47" personId="{51F1A2BF-5699-4337-B875-D53DBF6DE656}" id="{19BEAAC5-AEC5-4FED-99AB-02B9DE5C5CF1}">
    <text>kleiner 1</text>
  </threadedComment>
  <threadedComment ref="E21" dT="2019-02-16T13:04:26.24" personId="{51F1A2BF-5699-4337-B875-D53DBF6DE656}" id="{0D7506F8-7B7A-4D04-93FC-A52A96EEDD70}">
    <text>Vollauslastung (8.760 Stunden p.a.)</text>
  </threadedComment>
  <threadedComment ref="I22" dT="2019-02-16T15:39:47.91" personId="{51F1A2BF-5699-4337-B875-D53DBF6DE656}" id="{0674D3E8-B547-44D6-A52E-7D52D5F112A5}">
    <text>Annahme, dass Prozess mit Maximalleistung betrieben wird.</text>
  </threadedComment>
  <threadedComment ref="Y22" dT="2019-02-16T15:38:16.01" personId="{51F1A2BF-5699-4337-B875-D53DBF6DE656}" id="{DE351524-D469-480B-890C-7E154D1926E4}">
    <text>Schaltdauer bis 30 Min. Prozess sonst neu zu beginnen. Prozessablauf: 45 min Schmelzen + 15 min zum Leeren und Befüllen</text>
  </threadedComment>
  <threadedComment ref="AL22" dT="2019-02-16T17:16:14.47" personId="{51F1A2BF-5699-4337-B875-D53DBF6DE656}" id="{27DAC4CB-A050-4C5F-A3AE-61F3B2B4EA13}">
    <text>kleiner 1</text>
  </threadedComment>
  <threadedComment ref="AO22" dT="2019-02-16T17:16:14.47" personId="{51F1A2BF-5699-4337-B875-D53DBF6DE656}" id="{817C6850-F5D3-41CB-B7FD-4DA88A8F301B}">
    <text>größer 1000</text>
  </threadedComment>
  <threadedComment ref="AQ22" dT="2019-02-16T17:16:14.47" personId="{51F1A2BF-5699-4337-B875-D53DBF6DE656}" id="{EE9E44B8-461E-4C07-8E58-DA9C01EB4EAD}">
    <text>kleiner 1</text>
  </threadedComment>
  <threadedComment ref="I23" dT="2019-02-16T15:39:47.91" personId="{51F1A2BF-5699-4337-B875-D53DBF6DE656}" id="{E97C66FB-2C05-441D-9EFF-FD5B295CCB0D}">
    <text>Annahme, dass Prozess mit Maximalleistung betrieben wird.</text>
  </threadedComment>
  <threadedComment ref="Y23" dT="2019-02-16T15:38:16.01" personId="{51F1A2BF-5699-4337-B875-D53DBF6DE656}" id="{C4911BB4-C371-4F84-9692-9E649CA2036F}">
    <text>Schaltdauer bis 30 Min. Prozess sonst neu zu beginnen. Prozessablauf: 45 min Schmelzen + 15 min zum Leeren und Befüllen</text>
  </threadedComment>
  <threadedComment ref="AO24" dT="2019-02-16T17:16:14.47" personId="{51F1A2BF-5699-4337-B875-D53DBF6DE656}" id="{31E81006-1FBF-4FD9-9924-50FDF93F6BF9}">
    <text>kleiner 10</text>
  </threadedComment>
  <threadedComment ref="AP24" dT="2019-02-16T17:16:14.47" personId="{51F1A2BF-5699-4337-B875-D53DBF6DE656}" id="{9BAAB480-67BB-496C-8AB4-A066FC25C19C}">
    <text>kleiner 1</text>
  </threadedComment>
  <threadedComment ref="AQ24" dT="2019-02-16T17:16:14.47" personId="{51F1A2BF-5699-4337-B875-D53DBF6DE656}" id="{CC08F034-8F6E-4B4F-B20C-04518AE63AE7}">
    <text>abweichende Angabe auf S. 531: vglsw. hohe fixe BK mit 90 €/kW*a</text>
  </threadedComment>
  <threadedComment ref="AP25" dT="2019-02-16T17:16:14.47" personId="{51F1A2BF-5699-4337-B875-D53DBF6DE656}" id="{51B26C77-5485-4706-8CF1-907CC169C0EF}">
    <text>kleiner 1</text>
  </threadedComment>
  <threadedComment ref="AQ25" dT="2019-02-16T17:16:14.47" personId="{51F1A2BF-5699-4337-B875-D53DBF6DE656}" id="{DE8CB550-2141-4765-8E1A-A01D2139DAB5}">
    <text>abweichende Angabe auf S. 531: vglsw. hohe fixe BK mit 90 €/kW*a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J1" dT="2019-03-21T09:39:51.29" personId="{51F1A2BF-5699-4337-B875-D53DBF6DE656}" id="{A65DD986-BC17-49D8-AB9B-5B6A02FBC47E}">
    <text>Für Heizanwendungen: kältester Tag des Jahres</text>
  </threadedComment>
  <threadedComment ref="M1" dT="2019-03-21T09:41:06.14" personId="{51F1A2BF-5699-4337-B875-D53DBF6DE656}" id="{D0EC52C0-E9A0-4C3C-AFE5-DA30C0A936B8}">
    <text>Für Heizungen kältester Tag des Jahres</text>
  </threadedComment>
  <threadedComment ref="N1" dT="2019-03-21T18:23:48.28" personId="{51F1A2BF-5699-4337-B875-D53DBF6DE656}" id="{C35844ED-19FA-450F-98C6-C501953BF2B5}">
    <text>Mittlere Leistungsaufnahme</text>
  </threadedComment>
  <threadedComment ref="X1" dT="2019-03-22T13:31:02.48" personId="{51F1A2BF-5699-4337-B875-D53DBF6DE656}" id="{41597F26-5186-4571-9F05-E83A88531193}">
    <text>bezogen auf die durchschnittliche Leistung (!)</text>
  </threadedComment>
  <threadedComment ref="AF2" dT="2019-03-22T13:19:46.42" personId="{51F1A2BF-5699-4337-B875-D53DBF6DE656}" id="{460841BC-0A04-4C12-B86E-C1ACC9F1E76B}">
    <text>Aussage S. 242: Schaltung binnen Sekunden bis wenigen Minuten</text>
  </threadedComment>
  <threadedComment ref="AY2" dT="2019-03-22T13:00:24.48" personId="{51F1A2BF-5699-4337-B875-D53DBF6DE656}" id="{7AE74D33-57E8-4BCD-B069-2827CD5BF32C}">
    <text>Lastverschiebung</text>
  </threadedComment>
  <threadedComment ref="AZ2" dT="2019-03-22T11:20:25.48" personId="{51F1A2BF-5699-4337-B875-D53DBF6DE656}" id="{F62EDD0B-1788-487C-81C3-67CD41066478}">
    <text>Lastverzicht</text>
  </threadedComment>
  <threadedComment ref="AF3" dT="2019-03-22T13:19:46.42" personId="{51F1A2BF-5699-4337-B875-D53DBF6DE656}" id="{CEF4D5B6-B72A-4731-ACB1-F8DA98DF7324}">
    <text>Aussage S. 242: Schaltung binnen Sekunden bis wenigen Minuten</text>
  </threadedComment>
  <threadedComment ref="AY3" dT="2019-03-22T13:00:24.48" personId="{51F1A2BF-5699-4337-B875-D53DBF6DE656}" id="{237605FD-1B06-43DB-8ABD-6CC4285B78CC}">
    <text>Lastverschiebung</text>
  </threadedComment>
  <threadedComment ref="AZ3" dT="2019-03-22T11:20:25.48" personId="{51F1A2BF-5699-4337-B875-D53DBF6DE656}" id="{9A205F06-10AF-4301-A438-E86213BE00EE}">
    <text>Lastverzicht</text>
  </threadedComment>
  <threadedComment ref="AF4" dT="2019-03-22T13:19:46.42" personId="{51F1A2BF-5699-4337-B875-D53DBF6DE656}" id="{02B2F7DE-9331-4817-8FCA-75A333A05B96}">
    <text>Aussage S. 242: Schaltung binnen Sekunden bis wenigen Minuten</text>
  </threadedComment>
  <threadedComment ref="AY4" dT="2019-03-22T13:00:24.48" personId="{51F1A2BF-5699-4337-B875-D53DBF6DE656}" id="{AF6D0AB4-140D-4D2B-A6BC-349CCFF64A7F}">
    <text>Lastverschiebung</text>
  </threadedComment>
  <threadedComment ref="AZ4" dT="2019-03-22T11:20:25.48" personId="{51F1A2BF-5699-4337-B875-D53DBF6DE656}" id="{4ECF5971-0285-43F5-B16E-E6896A615FA1}">
    <text>Lastverzicht</text>
  </threadedComment>
  <threadedComment ref="AF5" dT="2019-03-22T13:19:46.42" personId="{51F1A2BF-5699-4337-B875-D53DBF6DE656}" id="{1E17797E-31CA-456F-8AA8-D06F18E09839}">
    <text>Aussage S. 242: Schaltung binnen Sekunden bis wenigen Minuten</text>
  </threadedComment>
  <threadedComment ref="AY5" dT="2019-03-22T13:00:24.48" personId="{51F1A2BF-5699-4337-B875-D53DBF6DE656}" id="{24D88EEE-12DE-4986-A3FE-657F72D0DC44}">
    <text>Lastverschiebung</text>
  </threadedComment>
  <threadedComment ref="AZ5" dT="2019-03-22T11:20:25.48" personId="{51F1A2BF-5699-4337-B875-D53DBF6DE656}" id="{78A5C715-56D1-4B5A-A2A3-8758916111E1}">
    <text>Lastverzicht</text>
  </threadedComment>
  <threadedComment ref="AF6" dT="2019-03-22T13:19:46.42" personId="{51F1A2BF-5699-4337-B875-D53DBF6DE656}" id="{4EF61836-8E45-4D67-85CD-A7825E62300F}">
    <text>Aussage S. 242: Schaltung binnen Sekunden bis wenigen Minuten</text>
  </threadedComment>
  <threadedComment ref="AY6" dT="2019-03-22T13:00:24.48" personId="{51F1A2BF-5699-4337-B875-D53DBF6DE656}" id="{91EE9041-6615-47B6-92B2-B6D052856ACB}">
    <text>Lastverschiebung</text>
  </threadedComment>
  <threadedComment ref="AZ6" dT="2019-03-22T11:20:25.48" personId="{51F1A2BF-5699-4337-B875-D53DBF6DE656}" id="{99B0E8B1-7B3B-4000-B04C-31F0495A7B90}">
    <text>Lastverzicht</text>
  </threadedComment>
  <threadedComment ref="M7" dT="2019-03-22T13:41:40.66" personId="{51F1A2BF-5699-4337-B875-D53DBF6DE656}" id="{FF3FDE26-AA3C-46F4-A387-63950B8CE91A}">
    <text>Annahme, dass Aufteilung DE/AT identisch bleibt</text>
  </threadedComment>
  <threadedComment ref="N7" dT="2019-03-21T18:42:29.67" personId="{51F1A2BF-5699-4337-B875-D53DBF6DE656}" id="{94A7FB52-6288-45A5-8D48-CD1C8BB52803}">
    <text>Annahme, dass Aufteilung D/AT identisch bleibt</text>
  </threadedComment>
  <threadedComment ref="AF7" dT="2019-03-22T13:19:46.42" personId="{51F1A2BF-5699-4337-B875-D53DBF6DE656}" id="{BE92335F-BC06-4B78-93FC-80E3529D60A8}">
    <text>Aussage S. 242: Schaltung binnen Sekunden bis wenigen Minuten</text>
  </threadedComment>
  <threadedComment ref="AY7" dT="2019-03-22T13:00:24.48" personId="{51F1A2BF-5699-4337-B875-D53DBF6DE656}" id="{5A18B9C5-55EB-4ACF-82A9-4F4B645BCD2E}">
    <text>Lastverschiebung</text>
  </threadedComment>
  <threadedComment ref="AZ7" dT="2019-03-22T11:20:25.48" personId="{51F1A2BF-5699-4337-B875-D53DBF6DE656}" id="{B45B08C0-833C-436C-8BD4-B55619D5D221}">
    <text>Lastverzicht</text>
  </threadedComment>
  <threadedComment ref="AF8" dT="2019-03-22T13:19:46.42" personId="{51F1A2BF-5699-4337-B875-D53DBF6DE656}" id="{9052D0D0-05B2-43B2-902E-15F4C6C07F37}">
    <text>Aussage S. 242: Schaltung binnen Sekunden bis wenigen Minuten</text>
  </threadedComment>
  <threadedComment ref="AY8" dT="2019-03-22T13:00:24.48" personId="{51F1A2BF-5699-4337-B875-D53DBF6DE656}" id="{390966D2-119B-494F-AB4C-2E1A3CD2A8F5}">
    <text>Lastverschiebung</text>
  </threadedComment>
  <threadedComment ref="AZ8" dT="2019-03-22T11:20:25.48" personId="{51F1A2BF-5699-4337-B875-D53DBF6DE656}" id="{04CA81DD-399C-4E46-9DBD-3E692BD23D91}">
    <text>Lastverzicht</text>
  </threadedComment>
  <threadedComment ref="AF9" dT="2019-03-22T13:19:46.42" personId="{51F1A2BF-5699-4337-B875-D53DBF6DE656}" id="{5115D410-0E4F-417C-BD9C-7B3426578204}">
    <text>Aussage S. 242: Schaltung binnen Sekunden bis wenigen Minuten</text>
  </threadedComment>
  <threadedComment ref="AY9" dT="2019-03-22T13:00:24.48" personId="{51F1A2BF-5699-4337-B875-D53DBF6DE656}" id="{F8D147C2-607E-40D0-86D2-6F7D35995B6A}">
    <text>Lastverschiebung</text>
  </threadedComment>
  <threadedComment ref="AZ9" dT="2019-03-22T11:20:25.48" personId="{51F1A2BF-5699-4337-B875-D53DBF6DE656}" id="{3B6C4750-2297-4D3E-B888-F522538E49A6}">
    <text>Lastverzicht</text>
  </threadedComment>
  <threadedComment ref="M10" dT="2019-03-21T18:14:54.88" personId="{51F1A2BF-5699-4337-B875-D53DBF6DE656}" id="{1ABAA499-8950-43A9-88FD-43179BB9B0D0}">
    <text>inkl. TMP-Verfahren</text>
  </threadedComment>
  <threadedComment ref="T10" dT="2019-03-21T18:14:54.88" personId="{51F1A2BF-5699-4337-B875-D53DBF6DE656}" id="{2767DFC5-F3D3-443E-808B-8CEAED4D09D8}">
    <text>inkl. TMP-Verfahren</text>
  </threadedComment>
  <threadedComment ref="AF10" dT="2019-03-22T13:19:46.42" personId="{51F1A2BF-5699-4337-B875-D53DBF6DE656}" id="{22A7B1C2-27F2-4565-845A-C4A37C06CFDA}">
    <text>Aussage S. 242: Schaltung binnen Sekunden bis wenigen Minuten</text>
  </threadedComment>
  <threadedComment ref="AY10" dT="2019-03-22T13:00:24.48" personId="{51F1A2BF-5699-4337-B875-D53DBF6DE656}" id="{901674A5-5CB3-450C-A8FE-356EBE294716}">
    <text>Lastverschiebung</text>
  </threadedComment>
  <threadedComment ref="AZ10" dT="2019-03-22T11:20:25.48" personId="{51F1A2BF-5699-4337-B875-D53DBF6DE656}" id="{8BCB4973-35E4-46BD-A129-C66BB532D42E}">
    <text>Lastverzicht</text>
  </threadedComment>
  <threadedComment ref="M11" dT="2019-03-22T13:42:41.87" personId="{51F1A2BF-5699-4337-B875-D53DBF6DE656}" id="{5F5C7B7D-99C9-4A30-8A4E-2186A6D10B38}">
    <text>Annahme, dass Aufteilung DE/AT identisch bleibt</text>
  </threadedComment>
  <threadedComment ref="AF11" dT="2019-03-22T13:19:46.42" personId="{51F1A2BF-5699-4337-B875-D53DBF6DE656}" id="{1146AE96-27EE-44DD-B682-1449CE0A2038}">
    <text>Aussage S. 242: Schaltung binnen Sekunden bis wenigen Minuten</text>
  </threadedComment>
  <threadedComment ref="AY11" dT="2019-03-22T13:00:24.48" personId="{51F1A2BF-5699-4337-B875-D53DBF6DE656}" id="{01C84C66-C0DF-463A-A3B8-D6F94B10C81C}">
    <text>Lastverschiebung</text>
  </threadedComment>
  <threadedComment ref="AZ11" dT="2019-03-22T11:20:25.48" personId="{51F1A2BF-5699-4337-B875-D53DBF6DE656}" id="{8F0AACF3-1AF2-4436-8C16-7381AC66419C}">
    <text>Lastverzicht</text>
  </threadedComment>
  <threadedComment ref="AF12" dT="2019-03-22T13:19:46.42" personId="{51F1A2BF-5699-4337-B875-D53DBF6DE656}" id="{8DE399A9-1B23-4B05-838D-91051BFE31E2}">
    <text>Aussage S. 242: Schaltung binnen Sekunden bis wenigen Minuten</text>
  </threadedComment>
  <threadedComment ref="AY12" dT="2019-03-22T13:00:24.48" personId="{51F1A2BF-5699-4337-B875-D53DBF6DE656}" id="{DCC06660-6263-428E-B84A-6776BF9893FB}">
    <text>Lastverschiebung</text>
  </threadedComment>
  <threadedComment ref="AZ12" dT="2019-03-22T11:20:25.48" personId="{51F1A2BF-5699-4337-B875-D53DBF6DE656}" id="{95D1FB6E-90AB-47F0-A42E-943E49932678}">
    <text>Lastverzicht</text>
  </threadedComment>
  <threadedComment ref="AF13" dT="2019-03-22T13:19:46.42" personId="{51F1A2BF-5699-4337-B875-D53DBF6DE656}" id="{8D9721C7-F2FE-4D86-A425-0D51AA3FE3B1}">
    <text>Aussage S. 242: Schaltung binnen Sekunden bis wenigen Minuten</text>
  </threadedComment>
  <threadedComment ref="AY13" dT="2019-03-22T13:00:24.48" personId="{51F1A2BF-5699-4337-B875-D53DBF6DE656}" id="{0FB39A13-5439-4B91-9EBC-CA005F91DD0B}">
    <text>Lastverschiebung</text>
  </threadedComment>
  <threadedComment ref="AZ13" dT="2019-03-22T11:20:25.48" personId="{51F1A2BF-5699-4337-B875-D53DBF6DE656}" id="{A0B93097-E0BF-4903-BC06-FB746AD70FD5}">
    <text>Lastverzicht</text>
  </threadedComment>
  <threadedComment ref="AY14" dT="2019-03-22T13:00:24.48" personId="{51F1A2BF-5699-4337-B875-D53DBF6DE656}" id="{1A2046F3-4ED3-473C-B939-992248ED9D05}">
    <text>Lastverschiebung</text>
  </threadedComment>
  <threadedComment ref="AZ14" dT="2019-03-22T11:20:25.48" personId="{51F1A2BF-5699-4337-B875-D53DBF6DE656}" id="{BF337FC9-E87D-489A-A32F-6AC15E232FAD}">
    <text>Lastverzicht</text>
  </threadedComment>
  <threadedComment ref="N15" dT="2019-03-21T18:39:45.76" personId="{51F1A2BF-5699-4337-B875-D53DBF6DE656}" id="{BB2CA876-F78D-4089-A02F-35A9C7A6091B}">
    <text>Annahme, dass Aufteilung D/AT identisch bleibt.</text>
  </threadedComment>
  <threadedComment ref="AY15" dT="2019-03-22T13:00:24.48" personId="{51F1A2BF-5699-4337-B875-D53DBF6DE656}" id="{EB421FDC-FD34-4DA3-A064-A0FA5E8F5558}">
    <text>Lastverschiebung</text>
  </threadedComment>
  <threadedComment ref="AZ15" dT="2019-03-22T11:20:25.48" personId="{51F1A2BF-5699-4337-B875-D53DBF6DE656}" id="{84E9E13E-531A-49C6-A68A-DD31D9BB1871}">
    <text>Lastverzicht</text>
  </threadedComment>
  <threadedComment ref="AY16" dT="2019-03-22T13:00:24.48" personId="{51F1A2BF-5699-4337-B875-D53DBF6DE656}" id="{1CDE2AD8-F704-48CE-9DAE-AB26DB365C6B}">
    <text>Lastverschiebung</text>
  </threadedComment>
  <threadedComment ref="AZ16" dT="2019-03-22T11:20:25.48" personId="{51F1A2BF-5699-4337-B875-D53DBF6DE656}" id="{FBAD1FB3-8D86-426E-8BC0-E0583AA2F3CA}">
    <text>Lastverzicht</text>
  </threadedComment>
  <threadedComment ref="AY17" dT="2019-03-22T13:00:24.48" personId="{51F1A2BF-5699-4337-B875-D53DBF6DE656}" id="{76249C28-D235-4E59-9A9A-804B0AA50118}">
    <text>Lastverschiebung</text>
  </threadedComment>
  <threadedComment ref="AZ17" dT="2019-03-22T11:20:25.48" personId="{51F1A2BF-5699-4337-B875-D53DBF6DE656}" id="{A86A1221-7577-4C3C-A39E-96C45746EE33}">
    <text>Lastverzicht</text>
  </threadedComment>
  <threadedComment ref="AF18" dT="2019-03-22T13:19:46.42" personId="{51F1A2BF-5699-4337-B875-D53DBF6DE656}" id="{462655CF-BD51-49EA-A142-671957591B6B}">
    <text>Aussage S. 242: Schaltung binnen Sekunden bis wenigen Minuten</text>
  </threadedComment>
  <threadedComment ref="AY18" dT="2019-03-22T13:00:24.48" personId="{51F1A2BF-5699-4337-B875-D53DBF6DE656}" id="{D964847E-D60B-45BF-B738-69170D7CA832}">
    <text>Lastverschiebung</text>
  </threadedComment>
  <threadedComment ref="AZ18" dT="2019-03-22T11:20:25.48" personId="{51F1A2BF-5699-4337-B875-D53DBF6DE656}" id="{CBA541BC-47C8-4018-967B-4D4F1431DCC3}">
    <text>Lastverzicht</text>
  </threadedComment>
  <threadedComment ref="M19" dT="2019-03-22T13:44:00.09" personId="{51F1A2BF-5699-4337-B875-D53DBF6DE656}" id="{E40C3BB2-6CD0-47C2-A08D-8B7089F0F6B9}">
    <text>Annahme, dass Aufteilung DE/AT identisch bleibt</text>
  </threadedComment>
  <threadedComment ref="N19" dT="2019-03-21T18:43:07.56" personId="{51F1A2BF-5699-4337-B875-D53DBF6DE656}" id="{2795010D-A197-40D5-A19F-143A0C85E363}">
    <text>Annahme, dass Aufteilung D/AT identisch bleibt</text>
  </threadedComment>
  <threadedComment ref="AF19" dT="2019-03-22T13:19:46.42" personId="{51F1A2BF-5699-4337-B875-D53DBF6DE656}" id="{2A074857-BB15-4797-81D4-7F0CA707C185}">
    <text>Aussage S. 242: Schaltung binnen Sekunden bis wenigen Minuten</text>
  </threadedComment>
  <threadedComment ref="AY19" dT="2019-03-22T13:00:24.48" personId="{51F1A2BF-5699-4337-B875-D53DBF6DE656}" id="{9BECD6FB-FC16-40B6-AC66-D844B91172B2}">
    <text>Lastverschiebung</text>
  </threadedComment>
  <threadedComment ref="AZ19" dT="2019-03-22T11:20:25.48" personId="{51F1A2BF-5699-4337-B875-D53DBF6DE656}" id="{71C69080-5C9E-4612-8E0A-8B83D7EB4D4F}">
    <text>Lastverzicht</text>
  </threadedComment>
  <threadedComment ref="AF20" dT="2019-03-22T13:19:46.42" personId="{51F1A2BF-5699-4337-B875-D53DBF6DE656}" id="{81321553-6C30-4906-B9BE-8201F5F630FA}">
    <text>Aussage S. 242: Schaltung binnen Sekunden bis wenigen Minuten</text>
  </threadedComment>
  <threadedComment ref="AY20" dT="2019-03-22T13:00:24.48" personId="{51F1A2BF-5699-4337-B875-D53DBF6DE656}" id="{2452AC36-E0AC-4997-AA01-12F34AA5B0AC}">
    <text>Lastverschiebung</text>
  </threadedComment>
  <threadedComment ref="AZ20" dT="2019-03-22T11:20:25.48" personId="{51F1A2BF-5699-4337-B875-D53DBF6DE656}" id="{76CAB102-43A7-43A6-B228-D3792D9B5C81}">
    <text>Lastverzicht</text>
  </threadedComment>
  <threadedComment ref="AF21" dT="2019-03-22T13:19:46.42" personId="{51F1A2BF-5699-4337-B875-D53DBF6DE656}" id="{0DD36166-77F6-420C-ABE5-195AB1AC6DB0}">
    <text>Aussage S. 242: Schaltung binnen Sekunden bis wenigen Minuten</text>
  </threadedComment>
  <threadedComment ref="AY21" dT="2019-03-22T13:00:24.48" personId="{51F1A2BF-5699-4337-B875-D53DBF6DE656}" id="{4A978F11-7A7D-46DF-B76B-34DDBB125E2E}">
    <text>Lastverschiebung</text>
  </threadedComment>
  <threadedComment ref="AZ21" dT="2019-03-22T11:20:25.48" personId="{51F1A2BF-5699-4337-B875-D53DBF6DE656}" id="{E689A699-9833-42EC-9F35-40AAEA2184D0}">
    <text>Lastverzicht</text>
  </threadedComment>
  <threadedComment ref="AF22" dT="2019-03-22T13:19:46.42" personId="{51F1A2BF-5699-4337-B875-D53DBF6DE656}" id="{FF6F44D7-58B5-43AA-80FA-CCE1597E5F69}">
    <text>Aussage S. 242: Schaltung binnen Sekunden bis wenigen Minuten</text>
  </threadedComment>
  <threadedComment ref="AY22" dT="2019-03-22T13:00:24.48" personId="{51F1A2BF-5699-4337-B875-D53DBF6DE656}" id="{E61778A0-2EF5-423B-BE7E-FE115B643C47}">
    <text>Lastverschiebung</text>
  </threadedComment>
  <threadedComment ref="AZ22" dT="2019-03-22T11:20:25.48" personId="{51F1A2BF-5699-4337-B875-D53DBF6DE656}" id="{71452997-5ECD-4BD6-94ED-3DEB7BFBBB83}">
    <text>Lastverzicht</text>
  </threadedComment>
  <threadedComment ref="M23" dT="2019-03-22T13:44:14.14" personId="{51F1A2BF-5699-4337-B875-D53DBF6DE656}" id="{0DB4BAE5-C12F-469F-BFBD-A07737AD7512}">
    <text>Annahme, dass Aufteilung DE/AT identisch bleibt</text>
  </threadedComment>
  <threadedComment ref="N23" dT="2019-03-21T18:43:22.00" personId="{51F1A2BF-5699-4337-B875-D53DBF6DE656}" id="{81F98D7B-3688-4296-BF76-B58DCD7405C3}">
    <text>Annahme, dass Aufteilung D/AT identisch bleibt</text>
  </threadedComment>
  <threadedComment ref="AF23" dT="2019-03-22T13:19:46.42" personId="{51F1A2BF-5699-4337-B875-D53DBF6DE656}" id="{DC9E1437-B930-4F81-A051-946D0A3C0AE7}">
    <text>Aussage S. 242: Schaltung binnen Sekunden bis wenigen Minuten</text>
  </threadedComment>
  <threadedComment ref="AY23" dT="2019-03-22T13:00:24.48" personId="{51F1A2BF-5699-4337-B875-D53DBF6DE656}" id="{ABAB29ED-CA1E-4659-8747-0F09931C4F94}">
    <text>Lastverschiebung</text>
  </threadedComment>
  <threadedComment ref="AZ23" dT="2019-03-22T11:20:25.48" personId="{51F1A2BF-5699-4337-B875-D53DBF6DE656}" id="{9A18DC09-E511-4209-8B94-7E768B5A04F0}">
    <text>Lastverzicht</text>
  </threadedComment>
  <threadedComment ref="AF24" dT="2019-03-22T13:19:46.42" personId="{51F1A2BF-5699-4337-B875-D53DBF6DE656}" id="{09AC6F39-B913-40E6-BA51-10B870657E37}">
    <text>Aussage S. 242: Schaltung binnen Sekunden bis wenigen Minuten</text>
  </threadedComment>
  <threadedComment ref="AY24" dT="2019-03-22T13:00:24.48" personId="{51F1A2BF-5699-4337-B875-D53DBF6DE656}" id="{0952EC1D-489E-4A4E-98B3-737C9F54F1CE}">
    <text>Lastverschiebung</text>
  </threadedComment>
  <threadedComment ref="AZ24" dT="2019-03-22T11:20:25.48" personId="{51F1A2BF-5699-4337-B875-D53DBF6DE656}" id="{0CF447F4-A80A-410D-B489-1C546019C636}">
    <text>Lastverzicht</text>
  </threadedComment>
  <threadedComment ref="AF25" dT="2019-03-22T13:19:46.42" personId="{51F1A2BF-5699-4337-B875-D53DBF6DE656}" id="{8BBE540B-3905-4F6B-A872-D032FC7230B6}">
    <text>Aussage S. 242: Schaltung binnen Sekunden bis wenigen Minuten</text>
  </threadedComment>
  <threadedComment ref="AY25" dT="2019-03-22T13:00:24.48" personId="{51F1A2BF-5699-4337-B875-D53DBF6DE656}" id="{49EC804F-2350-4163-9F5D-986D5B9E7BAC}">
    <text>Lastverschiebung</text>
  </threadedComment>
  <threadedComment ref="AZ25" dT="2019-03-22T11:20:25.48" personId="{51F1A2BF-5699-4337-B875-D53DBF6DE656}" id="{971BE820-88D4-4B9C-9323-7B80B5A9B7B6}">
    <text>Lastverzicht</text>
  </threadedComment>
  <threadedComment ref="AX26" dT="2019-03-22T13:07:55.84" personId="{51F1A2BF-5699-4337-B875-D53DBF6DE656}" id="{369C8F21-2329-4F7E-8AB9-884DCFB781C6}">
    <text>ab 500 kW Leistung; darunter pauschal 3.000 €</text>
  </threadedComment>
  <threadedComment ref="BE26" dT="2019-03-22T13:07:55.84" personId="{51F1A2BF-5699-4337-B875-D53DBF6DE656}" id="{79055818-B7AF-4C60-B059-77D90B5B6A96}">
    <text>Pauschalwert; ab 500 kW Leistung 6,2 €/kW</text>
  </threadedComment>
  <threadedComment ref="AX27" dT="2019-03-22T13:07:55.84" personId="{51F1A2BF-5699-4337-B875-D53DBF6DE656}" id="{A068564E-CE7A-4392-BE22-1EE16279AEC8}">
    <text>ab 500 kW Leistung; darunter pauschal 2.550 €</text>
  </threadedComment>
  <threadedComment ref="BE27" dT="2019-03-22T13:07:55.84" personId="{51F1A2BF-5699-4337-B875-D53DBF6DE656}" id="{B12C1CED-D7DB-4895-894F-F3012EB816F7}">
    <text>Pauschalwert; ab 500 kW Leistung 5,6€/kW</text>
  </threadedComment>
  <threadedComment ref="AX28" dT="2019-03-22T13:07:55.84" personId="{51F1A2BF-5699-4337-B875-D53DBF6DE656}" id="{BD2E1FD6-0322-4F74-A8FF-339B9832DAA3}">
    <text>ab 500 kW Leistung; darunter pauschal 2.100 €</text>
  </threadedComment>
  <threadedComment ref="BE28" dT="2019-03-22T13:07:55.84" personId="{51F1A2BF-5699-4337-B875-D53DBF6DE656}" id="{4B473858-F4BD-42EF-874D-B97230B94EB2}">
    <text>Pauschalwert; ab 500 kW Leistung 5,3 €/kW</text>
  </threadedComment>
  <threadedComment ref="AX29" dT="2019-03-22T13:07:55.84" personId="{51F1A2BF-5699-4337-B875-D53DBF6DE656}" id="{E600ED1E-B00B-413B-A70C-FFA594F46B5C}">
    <text>ab 500 kW Leistung; darunter pauschal 1.650 €</text>
  </threadedComment>
  <threadedComment ref="BE29" dT="2019-03-22T13:07:55.84" personId="{51F1A2BF-5699-4337-B875-D53DBF6DE656}" id="{22CFD6B4-025D-4EC9-A65E-AFC0B9CA72C4}">
    <text>Pauschalwert; ab 500 kW Leistung 4,9 €/kW</text>
  </threadedComment>
  <threadedComment ref="A30" dT="2019-02-26T12:50:21.40" personId="{51F1A2BF-5699-4337-B875-D53DBF6DE656}" id="{70E38203-3AFF-42AD-A3AB-95BFDF9850BA}">
    <text>Samira: Belüftung und Klimatisierung</text>
  </threadedComment>
  <threadedComment ref="AX30" dT="2019-03-22T13:07:55.84" personId="{51F1A2BF-5699-4337-B875-D53DBF6DE656}" id="{EACC701D-F800-4C4F-9945-B56CB39522B5}">
    <text>ab 500 kW Leistung; darunter pauschal 3.000 €</text>
  </threadedComment>
  <threadedComment ref="BE30" dT="2019-03-22T13:07:55.84" personId="{51F1A2BF-5699-4337-B875-D53DBF6DE656}" id="{AC366BA3-7646-4580-BCE7-62D1563D94EA}">
    <text>Pauschalwert; ab 500 kW Leistung 6,2 €/kW</text>
  </threadedComment>
  <threadedComment ref="A31" dT="2019-02-26T12:50:21.40" personId="{51F1A2BF-5699-4337-B875-D53DBF6DE656}" id="{112FF432-07AD-4D4A-B250-D43F394A092E}">
    <text>Samira: Belüftung und Klimatisierung</text>
  </threadedComment>
  <threadedComment ref="AX31" dT="2019-03-22T13:07:55.84" personId="{51F1A2BF-5699-4337-B875-D53DBF6DE656}" id="{4DB109A5-70D0-4BA4-AB95-3D717753423C}">
    <text>ab 500 kW Leistung; darunter pauschal 2.550 €</text>
  </threadedComment>
  <threadedComment ref="BE31" dT="2019-03-22T13:07:55.84" personId="{51F1A2BF-5699-4337-B875-D53DBF6DE656}" id="{CD40D9C5-835C-4765-B5AC-703793CAFDB9}">
    <text>Pauschalwert; ab 500 kW Leistung 5,6€/kW</text>
  </threadedComment>
  <threadedComment ref="A32" dT="2019-02-26T12:50:21.40" personId="{51F1A2BF-5699-4337-B875-D53DBF6DE656}" id="{6734934E-B1CC-45E6-AB60-D4919C456B88}">
    <text>Samira: Belüftung und Klimatisierung</text>
  </threadedComment>
  <threadedComment ref="AX32" dT="2019-03-22T13:07:55.84" personId="{51F1A2BF-5699-4337-B875-D53DBF6DE656}" id="{C0B89CC9-D25E-4A60-973F-C1A36432B037}">
    <text>ab 500 kW Leistung; darunter pauschal 2.100 €</text>
  </threadedComment>
  <threadedComment ref="BE32" dT="2019-03-22T13:07:55.84" personId="{51F1A2BF-5699-4337-B875-D53DBF6DE656}" id="{2F5AFD12-28DB-46A3-ABC6-B1ECB6834D69}">
    <text>Pauschalwert; ab 500 kW Leistung 5,3 €/kW</text>
  </threadedComment>
  <threadedComment ref="A33" dT="2019-02-26T12:50:21.40" personId="{51F1A2BF-5699-4337-B875-D53DBF6DE656}" id="{2938EE5C-693F-49C0-B836-5701D0478B7F}">
    <text>Samira: Belüftung und Klimatisierung</text>
  </threadedComment>
  <threadedComment ref="AX33" dT="2019-03-22T13:07:55.84" personId="{51F1A2BF-5699-4337-B875-D53DBF6DE656}" id="{4430E896-904B-4E1C-A712-18BB534EBAE4}">
    <text>ab 500 kW Leistung; darunter pauschal 1.650 €</text>
  </threadedComment>
  <threadedComment ref="BE33" dT="2019-03-22T13:07:55.84" personId="{51F1A2BF-5699-4337-B875-D53DBF6DE656}" id="{FEA5224A-A34A-4A9D-8DD2-450AF4FD0AA1}">
    <text>Pauschalwert; ab 500 kW Leistung 4,9 €/kW</text>
  </threadedComment>
  <threadedComment ref="AX34" dT="2019-03-22T13:07:55.84" personId="{51F1A2BF-5699-4337-B875-D53DBF6DE656}" id="{C5B9DA9D-6318-42F9-B09A-3091745476C6}">
    <text>ab 500 kW Leistung; darunter pauschal 3.000 €</text>
  </threadedComment>
  <threadedComment ref="BE34" dT="2019-03-22T13:07:55.84" personId="{51F1A2BF-5699-4337-B875-D53DBF6DE656}" id="{CD4942B0-BE1A-43F6-8AA4-D7E15234D1AC}">
    <text>Pauschalwert; ab 500 kW Leistung 6,2 €/kW</text>
  </threadedComment>
  <threadedComment ref="AX35" dT="2019-03-22T13:07:55.84" personId="{51F1A2BF-5699-4337-B875-D53DBF6DE656}" id="{8B1C7811-BF24-4CD3-9847-2E8734376A12}">
    <text>ab 500 kW Leistung; darunter pauschal 2.550 €</text>
  </threadedComment>
  <threadedComment ref="BE35" dT="2019-03-22T13:07:55.84" personId="{51F1A2BF-5699-4337-B875-D53DBF6DE656}" id="{9EB740E8-F0D0-4940-B168-00BE8372699A}">
    <text>Pauschalwert; ab 500 kW Leistung 5,6€/kW</text>
  </threadedComment>
  <threadedComment ref="AX36" dT="2019-03-22T13:07:55.84" personId="{51F1A2BF-5699-4337-B875-D53DBF6DE656}" id="{7D26131E-D55E-4C58-8A73-FCA2D35704CC}">
    <text>ab 500 kW Leistung; darunter pauschal 2.100 €</text>
  </threadedComment>
  <threadedComment ref="BE36" dT="2019-03-22T13:07:55.84" personId="{51F1A2BF-5699-4337-B875-D53DBF6DE656}" id="{05FA1B98-2E69-4B92-9670-904357959A8F}">
    <text>Pauschalwert; ab 500 kW Leistung 5,3 €/kW</text>
  </threadedComment>
  <threadedComment ref="AX37" dT="2019-03-22T13:07:55.84" personId="{51F1A2BF-5699-4337-B875-D53DBF6DE656}" id="{FC2B9C33-E898-470A-9C12-019013541F2C}">
    <text>ab 500 kW Leistung; darunter pauschal 1.650 €</text>
  </threadedComment>
  <threadedComment ref="BE37" dT="2019-03-22T13:07:55.84" personId="{51F1A2BF-5699-4337-B875-D53DBF6DE656}" id="{9C12C573-D1C7-4011-9D7D-FE7D50E8D77B}">
    <text>Pauschalwert; ab 500 kW Leistung 4,9 €/kW</text>
  </threadedComment>
  <threadedComment ref="D38" dT="2019-03-21T10:43:43.78" personId="{51F1A2BF-5699-4337-B875-D53DBF6DE656}" id="{7AA89F44-9FD0-426A-ACBF-FF93F7E12AEB}">
    <text>Implizit, da funktionale Speicher (mit Nachholung) betrachtet werden.</text>
  </threadedComment>
  <threadedComment ref="J38" dT="2019-03-21T09:37:57.43" personId="{51F1A2BF-5699-4337-B875-D53DBF6DE656}" id="{FE343DD5-3FFD-48CC-A20E-70A20044C1EC}">
    <text>kältester Tag</text>
  </threadedComment>
  <threadedComment ref="M38" dT="2019-03-21T09:38:10.11" personId="{51F1A2BF-5699-4337-B875-D53DBF6DE656}" id="{01B4994C-B99F-4B17-9FAB-44D0123279D2}">
    <text>kältester Tag</text>
  </threadedComment>
  <threadedComment ref="AF38" dT="2019-03-21T10:19:47.44" personId="{51F1A2BF-5699-4337-B875-D53DBF6DE656}" id="{6B3E57A1-F934-49D5-BE60-2E8736FA48CE}">
    <text>Annahme</text>
  </threadedComment>
  <threadedComment ref="AG38" dT="2019-03-21T10:20:53.89" personId="{51F1A2BF-5699-4337-B875-D53DBF6DE656}" id="{66B8CC35-27D6-4B82-B0EE-1AACDFAF05F1}">
    <text>2 (S. 96, 109)</text>
  </threadedComment>
  <threadedComment ref="AH38" dT="2019-03-21T10:21:02.37" personId="{51F1A2BF-5699-4337-B875-D53DBF6DE656}" id="{735D7AE3-91D9-48C6-9E7C-CC7F4EFB8181}">
    <text>30 (S.96, 109)</text>
  </threadedComment>
  <threadedComment ref="AM38" dT="2019-03-21T10:20:53.89" personId="{51F1A2BF-5699-4337-B875-D53DBF6DE656}" id="{38221BB5-900D-4A35-BA4F-72FEFA1F1524}">
    <text>wärmster Tag</text>
  </threadedComment>
  <threadedComment ref="AN38" dT="2019-03-21T09:44:26.51" personId="{51F1A2BF-5699-4337-B875-D53DBF6DE656}" id="{81EEFF94-9A75-4F3D-8826-AC88BE9BC6CD}">
    <text>kältester Tag</text>
  </threadedComment>
  <threadedComment ref="D39" dT="2019-03-21T10:43:43.78" personId="{51F1A2BF-5699-4337-B875-D53DBF6DE656}" id="{ADB2BC00-91BE-49CD-9F22-64E4EF9CF556}">
    <text>Implizit, da funktionale Speicher (mit Nachholung) betrachtet werden.</text>
  </threadedComment>
  <threadedComment ref="J39" dT="2019-03-21T09:56:58.94" personId="{51F1A2BF-5699-4337-B875-D53DBF6DE656}" id="{B6A9A49F-BA5B-4FDD-B9E6-8D9C976B494F}">
    <text>Skalierung über Stromverbrauch in Referenzentwicklung</text>
  </threadedComment>
  <threadedComment ref="M39" dT="2019-03-21T09:56:58.94" personId="{51F1A2BF-5699-4337-B875-D53DBF6DE656}" id="{E60FEF4C-A563-420B-8ADC-8E5D4061FD84}">
    <text>lineare Interpolation</text>
  </threadedComment>
  <threadedComment ref="O39" dT="2019-03-21T09:56:58.94" personId="{51F1A2BF-5699-4337-B875-D53DBF6DE656}" id="{66FC6EAA-0A2B-45A0-B554-8ECE6AE2B2AF}">
    <text>Skalierung über Stromverbrauch in Referenzentwicklung</text>
  </threadedComment>
  <threadedComment ref="R39" dT="2019-03-21T09:56:58.94" personId="{51F1A2BF-5699-4337-B875-D53DBF6DE656}" id="{47EC7FF8-ECFC-4556-809B-B510D3590DD8}">
    <text>Skalierung über Stromverbrauch in Referenzentwicklung</text>
  </threadedComment>
  <threadedComment ref="T39" dT="2019-03-21T09:56:58.94" personId="{51F1A2BF-5699-4337-B875-D53DBF6DE656}" id="{81EC4312-D316-44E4-8C4C-74761CA0A7BB}">
    <text>lineare Interpolation</text>
  </threadedComment>
  <threadedComment ref="U39" dT="2019-03-21T09:56:58.94" personId="{51F1A2BF-5699-4337-B875-D53DBF6DE656}" id="{108E56FA-DE5A-4891-9E40-EA435D077B33}">
    <text>Skalierung über Stromverbrauch in Referenzentwicklung</text>
  </threadedComment>
  <threadedComment ref="AG39" dT="2019-03-21T10:20:53.89" personId="{51F1A2BF-5699-4337-B875-D53DBF6DE656}" id="{D470EF98-432C-4405-8E62-CB17C1A55C3D}">
    <text>2 (S. 96, 109)</text>
  </threadedComment>
  <threadedComment ref="AH39" dT="2019-03-21T10:21:02.37" personId="{51F1A2BF-5699-4337-B875-D53DBF6DE656}" id="{8D9492D9-8D4D-4AA2-B106-C6BF506FBDCC}">
    <text>30 (S.96, 109)</text>
  </threadedComment>
  <threadedComment ref="AM39" dT="2019-03-21T10:20:53.89" personId="{51F1A2BF-5699-4337-B875-D53DBF6DE656}" id="{5F88BF63-438D-42E0-83DF-00F38A167DAC}">
    <text>wärmster Tag</text>
  </threadedComment>
  <threadedComment ref="AN39" dT="2019-03-21T09:44:26.51" personId="{51F1A2BF-5699-4337-B875-D53DBF6DE656}" id="{2D2C3F36-73D3-4634-99D2-32E7BC0D56B3}">
    <text>kältester Tag</text>
  </threadedComment>
  <threadedComment ref="D40" dT="2019-03-21T10:43:43.78" personId="{51F1A2BF-5699-4337-B875-D53DBF6DE656}" id="{2B7CB082-EC47-4A92-BE53-2244CAEAED86}">
    <text>Implizit, da funktionale Speicher (mit Nachholung) betrachtet werden.</text>
  </threadedComment>
  <threadedComment ref="J40" dT="2019-03-21T09:56:58.94" personId="{51F1A2BF-5699-4337-B875-D53DBF6DE656}" id="{6F99E905-DA18-45D3-BAA8-CEA9F3BE4A5E}">
    <text>Skalierung über Stromverbrauch in Referenzentwicklung</text>
  </threadedComment>
  <threadedComment ref="M40" dT="2019-03-21T09:56:58.94" personId="{51F1A2BF-5699-4337-B875-D53DBF6DE656}" id="{40E921B3-7DAC-4BBB-8364-FCDF434BD64E}">
    <text>lineare Interpolation</text>
  </threadedComment>
  <threadedComment ref="O40" dT="2019-03-21T09:56:58.94" personId="{51F1A2BF-5699-4337-B875-D53DBF6DE656}" id="{D756BAA0-46F8-4F9C-8AC3-6DBBB67597BE}">
    <text>Skalierung über Stromverbrauch in Referenzentwicklung</text>
  </threadedComment>
  <threadedComment ref="R40" dT="2019-03-21T09:56:58.94" personId="{51F1A2BF-5699-4337-B875-D53DBF6DE656}" id="{78384D7E-2D7C-42D6-853F-CA1F049106A6}">
    <text>Skalierung über Stromverbrauch in Referenzentwicklung</text>
  </threadedComment>
  <threadedComment ref="T40" dT="2019-03-21T09:56:58.94" personId="{51F1A2BF-5699-4337-B875-D53DBF6DE656}" id="{ED29123A-DE84-4D88-AA93-D35CE2566103}">
    <text>lineare Interpolation</text>
  </threadedComment>
  <threadedComment ref="U40" dT="2019-03-21T09:56:58.94" personId="{51F1A2BF-5699-4337-B875-D53DBF6DE656}" id="{ABC9DEC2-E0CD-4956-BD86-574327758A48}">
    <text>Skalierung über Stromverbrauch in Referenzentwicklung</text>
  </threadedComment>
  <threadedComment ref="AG40" dT="2019-03-21T10:20:53.89" personId="{51F1A2BF-5699-4337-B875-D53DBF6DE656}" id="{38E857D4-CD08-488B-AE0D-F70D6A49947D}">
    <text>2 (S. 96, 109)</text>
  </threadedComment>
  <threadedComment ref="AH40" dT="2019-03-21T10:21:02.37" personId="{51F1A2BF-5699-4337-B875-D53DBF6DE656}" id="{D91CEC75-EFB1-46F0-972C-CB23EBA56570}">
    <text>30 (S.96, 109)</text>
  </threadedComment>
  <threadedComment ref="AM40" dT="2019-03-21T10:20:53.89" personId="{51F1A2BF-5699-4337-B875-D53DBF6DE656}" id="{7DC27E12-A6F8-4AC0-8BC0-DFC78942E8BE}">
    <text>wärmster Tag</text>
  </threadedComment>
  <threadedComment ref="AN40" dT="2019-03-21T09:44:26.51" personId="{51F1A2BF-5699-4337-B875-D53DBF6DE656}" id="{CE0EE21D-A5FD-4ABC-810E-4D9837D6D9D2}">
    <text>kältester Tag</text>
  </threadedComment>
  <threadedComment ref="D41" dT="2019-03-21T10:43:43.78" personId="{51F1A2BF-5699-4337-B875-D53DBF6DE656}" id="{5A2992BF-75D8-41EC-9B12-952BAB2643F7}">
    <text>Implizit, da funktionale Speicher (mit Nachholung) betrachtet werden.</text>
  </threadedComment>
  <threadedComment ref="J41" dT="2019-03-21T09:56:58.94" personId="{51F1A2BF-5699-4337-B875-D53DBF6DE656}" id="{347D2CB8-5A84-4A42-ADC7-05F77CF1EF27}">
    <text>Skalierung über Stromverbrauch in Referenzentwicklung</text>
  </threadedComment>
  <threadedComment ref="M41" dT="2019-03-21T09:12:36.91" personId="{51F1A2BF-5699-4337-B875-D53DBF6DE656}" id="{4D3D51C5-8AF9-4AA2-BD97-E38A010ECCA3}">
    <text>Wert für Referenzszenario</text>
  </threadedComment>
  <threadedComment ref="O41" dT="2019-03-21T09:56:58.94" personId="{51F1A2BF-5699-4337-B875-D53DBF6DE656}" id="{24437DCB-DD2D-49F3-A82E-10BD5654E340}">
    <text>Skalierung über Stromverbrauch in Referenzentwicklung</text>
  </threadedComment>
  <threadedComment ref="R41" dT="2019-03-21T09:56:58.94" personId="{51F1A2BF-5699-4337-B875-D53DBF6DE656}" id="{6C52C4A7-F61B-43DE-B809-A47163A10382}">
    <text>Skalierung über Stromverbrauch in Referenzentwicklung</text>
  </threadedComment>
  <threadedComment ref="T41" dT="2019-03-21T09:12:36.91" personId="{51F1A2BF-5699-4337-B875-D53DBF6DE656}" id="{52044294-6ED0-464F-A39F-3C5EEC86A319}">
    <text>Wert für Referenzszenario</text>
  </threadedComment>
  <threadedComment ref="U41" dT="2019-03-21T09:56:58.94" personId="{51F1A2BF-5699-4337-B875-D53DBF6DE656}" id="{523E97FC-A4FA-434B-B615-1A7BE200A552}">
    <text>Skalierung über Stromverbrauch in Referenzentwicklung</text>
  </threadedComment>
  <threadedComment ref="AM41" dT="2019-03-21T10:20:53.89" personId="{51F1A2BF-5699-4337-B875-D53DBF6DE656}" id="{EB5BFACA-B131-45D4-AB40-1F4D9981FEBE}">
    <text>wärmster Tag</text>
  </threadedComment>
  <threadedComment ref="AN41" dT="2019-03-21T09:44:26.51" personId="{51F1A2BF-5699-4337-B875-D53DBF6DE656}" id="{CF80ADC7-2FCE-4FC3-94B5-12A1A5ABD420}">
    <text>kältester Tag</text>
  </threadedComment>
  <threadedComment ref="D42" dT="2019-03-21T10:43:43.78" personId="{51F1A2BF-5699-4337-B875-D53DBF6DE656}" id="{36FC6B85-B587-4CE0-9EFB-A2B431425097}">
    <text>Implizit, da funktionale Speicher (mit Nachholung) betrachtet werden.</text>
  </threadedComment>
  <threadedComment ref="AF42" dT="2019-03-21T10:19:47.44" personId="{51F1A2BF-5699-4337-B875-D53DBF6DE656}" id="{5437B899-6361-41F6-A6DF-5771CD8E31C4}">
    <text>Annahme</text>
  </threadedComment>
  <threadedComment ref="AG42" dT="2019-03-21T09:21:59.06" personId="{51F1A2BF-5699-4337-B875-D53DBF6DE656}" id="{FE00EE58-F608-4AA6-BFCF-E132FB9529B0}">
    <text>kältester Tag des Jahres</text>
  </threadedComment>
  <threadedComment ref="AH42" dT="2019-03-21T09:22:08.67" personId="{51F1A2BF-5699-4337-B875-D53DBF6DE656}" id="{17AD6DD9-F961-47AD-83EC-E810E415D28F}">
    <text>wärmster Tag des Jahres</text>
  </threadedComment>
  <threadedComment ref="AL42" dT="2019-03-21T09:44:17.23" personId="{51F1A2BF-5699-4337-B875-D53DBF6DE656}" id="{D428F92E-41D3-454D-8155-F3DEA6FF1033}">
    <text>3 h (S. 109; wärmster Tag)</text>
  </threadedComment>
  <threadedComment ref="AM42" dT="2019-03-21T10:20:53.89" personId="{51F1A2BF-5699-4337-B875-D53DBF6DE656}" id="{1C88E484-68CC-4085-A3C2-7F23FA3E645C}">
    <text>wärmster Tag</text>
  </threadedComment>
  <threadedComment ref="AN42" dT="2019-03-21T09:44:26.51" personId="{51F1A2BF-5699-4337-B875-D53DBF6DE656}" id="{EAD98E80-5FA2-4F7D-8886-59D0B5A7B373}">
    <text>kältester Tag</text>
  </threadedComment>
  <threadedComment ref="D43" dT="2019-03-21T10:43:43.78" personId="{51F1A2BF-5699-4337-B875-D53DBF6DE656}" id="{3E2AED2F-67C9-4B37-A923-4C9E618A20FC}">
    <text>Implizit, da funktionale Speicher (mit Nachholung) betrachtet werden.</text>
  </threadedComment>
  <threadedComment ref="J43" dT="2019-03-21T09:56:58.94" personId="{51F1A2BF-5699-4337-B875-D53DBF6DE656}" id="{B34F2732-06AE-4DAC-8AE6-6B83D10B8995}">
    <text>Skalierung über Stromverbrauch in Referenzentwicklung</text>
  </threadedComment>
  <threadedComment ref="K43" dT="2019-03-21T09:56:58.94" personId="{51F1A2BF-5699-4337-B875-D53DBF6DE656}" id="{0D1935BD-13CA-46BE-AB66-E5BCE329CDD6}">
    <text>Skalierung über Stromverbrauch in Referenzentwicklung</text>
  </threadedComment>
  <threadedComment ref="M43" dT="2019-03-21T09:56:58.94" personId="{51F1A2BF-5699-4337-B875-D53DBF6DE656}" id="{D2D6895C-4A1E-4A7B-97F2-2330773436F7}">
    <text>lineare Interpolation</text>
  </threadedComment>
  <threadedComment ref="O43" dT="2019-03-21T09:56:58.94" personId="{51F1A2BF-5699-4337-B875-D53DBF6DE656}" id="{EF0A61FD-4C83-4AAF-910E-365AB787B3C9}">
    <text>Skalierung über Stromverbrauch in Referenzentwicklung</text>
  </threadedComment>
  <threadedComment ref="R43" dT="2019-03-21T09:56:58.94" personId="{51F1A2BF-5699-4337-B875-D53DBF6DE656}" id="{3F593FF6-C495-4C3F-9172-7033BD7FE6EC}">
    <text>Skalierung über Stromverbrauch in Referenzentwicklung</text>
  </threadedComment>
  <threadedComment ref="T43" dT="2019-03-21T09:56:58.94" personId="{51F1A2BF-5699-4337-B875-D53DBF6DE656}" id="{853591AD-D81E-4CD0-89C4-FCC8187B150A}">
    <text>Skalierung über Stromverbrauch in Referenzentwicklung</text>
  </threadedComment>
  <threadedComment ref="U43" dT="2019-03-21T09:56:58.94" personId="{51F1A2BF-5699-4337-B875-D53DBF6DE656}" id="{56581990-D245-426E-A4AD-53F1A2FD1F90}">
    <text>Skalierung über Stromverbrauch in Referenzentwicklung</text>
  </threadedComment>
  <threadedComment ref="AL43" dT="2019-03-21T09:44:17.23" personId="{51F1A2BF-5699-4337-B875-D53DBF6DE656}" id="{85699336-0396-4904-BCCB-FFB8ED851D1E}">
    <text>3 h (S. 109; wärmster Tag)</text>
  </threadedComment>
  <threadedComment ref="AM43" dT="2019-03-21T10:20:53.89" personId="{51F1A2BF-5699-4337-B875-D53DBF6DE656}" id="{5E48F251-7DF2-4FEB-BA36-E263B8D5C61D}">
    <text>wärmster Tag</text>
  </threadedComment>
  <threadedComment ref="AN43" dT="2019-03-21T09:44:26.51" personId="{51F1A2BF-5699-4337-B875-D53DBF6DE656}" id="{11E003CC-171D-47E3-9E72-31216BAE641A}">
    <text>kältester Tag</text>
  </threadedComment>
  <threadedComment ref="D44" dT="2019-03-21T10:43:43.78" personId="{51F1A2BF-5699-4337-B875-D53DBF6DE656}" id="{5196CC84-8F4B-4689-9B2E-E93F417E83A6}">
    <text>Implizit, da funktionale Speicher (mit Nachholung) betrachtet werden.</text>
  </threadedComment>
  <threadedComment ref="J44" dT="2019-03-21T09:56:58.94" personId="{51F1A2BF-5699-4337-B875-D53DBF6DE656}" id="{FC0C574F-E02D-4A87-96EA-09D8E1A6154C}">
    <text>Skalierung über Stromverbrauch in Referenzentwicklung</text>
  </threadedComment>
  <threadedComment ref="K44" dT="2019-03-21T09:56:58.94" personId="{51F1A2BF-5699-4337-B875-D53DBF6DE656}" id="{A046DA41-BD43-4EFE-B5EC-DAFD9242CFE9}">
    <text>Skalierung über Stromverbrauch in Referenzentwicklung</text>
  </threadedComment>
  <threadedComment ref="M44" dT="2019-03-21T09:56:58.94" personId="{51F1A2BF-5699-4337-B875-D53DBF6DE656}" id="{63971614-6DD8-4059-96DF-EE6096DB0BB9}">
    <text>lineare Interpolation</text>
  </threadedComment>
  <threadedComment ref="O44" dT="2019-03-21T09:56:58.94" personId="{51F1A2BF-5699-4337-B875-D53DBF6DE656}" id="{56BFBB61-B376-45A7-A1D6-CEC6BC457465}">
    <text>Skalierung über Stromverbrauch in Referenzentwicklung</text>
  </threadedComment>
  <threadedComment ref="R44" dT="2019-03-21T09:56:58.94" personId="{51F1A2BF-5699-4337-B875-D53DBF6DE656}" id="{57D383CB-2A7C-486F-B682-0B2E4696A9AC}">
    <text>Skalierung über Stromverbrauch in Referenzentwicklung</text>
  </threadedComment>
  <threadedComment ref="T44" dT="2019-03-21T09:56:58.94" personId="{51F1A2BF-5699-4337-B875-D53DBF6DE656}" id="{ABEE3702-593B-47A4-AC2E-9B5C3711FFAF}">
    <text>Skalierung über Stromverbrauch in Referenzentwicklung</text>
  </threadedComment>
  <threadedComment ref="U44" dT="2019-03-21T09:56:58.94" personId="{51F1A2BF-5699-4337-B875-D53DBF6DE656}" id="{BEC87A2D-FF74-4EAD-BFA8-8BB2B090FF74}">
    <text>Skalierung über Stromverbrauch in Referenzentwicklung</text>
  </threadedComment>
  <threadedComment ref="AL44" dT="2019-03-21T09:44:17.23" personId="{51F1A2BF-5699-4337-B875-D53DBF6DE656}" id="{B6EC0A38-D5F5-491F-89A4-BE3D9DFC1CC8}">
    <text>3 h (S. 109; wärmster Tag)</text>
  </threadedComment>
  <threadedComment ref="AM44" dT="2019-03-21T10:20:53.89" personId="{51F1A2BF-5699-4337-B875-D53DBF6DE656}" id="{2F011D1D-D4A0-43D5-9DF9-29F19076464C}">
    <text>wärmster Tag</text>
  </threadedComment>
  <threadedComment ref="AN44" dT="2019-03-21T09:44:26.51" personId="{51F1A2BF-5699-4337-B875-D53DBF6DE656}" id="{B6A4611E-0119-47DC-B7F3-4923B66BBFBA}">
    <text>kältester Tag</text>
  </threadedComment>
  <threadedComment ref="D45" dT="2019-03-21T10:43:43.78" personId="{51F1A2BF-5699-4337-B875-D53DBF6DE656}" id="{74FA45D0-4C4E-4585-B55A-E628C6113C45}">
    <text>Implizit, da funktionale Speicher (mit Nachholung) betrachtet werden.</text>
  </threadedComment>
  <threadedComment ref="J45" dT="2019-03-21T09:56:58.94" personId="{51F1A2BF-5699-4337-B875-D53DBF6DE656}" id="{16A15FDF-21BC-4B88-A4B9-72744371E7D3}">
    <text>Skalierung über Stromverbrauch in Referenzentwicklung</text>
  </threadedComment>
  <threadedComment ref="K45" dT="2019-03-21T09:56:58.94" personId="{51F1A2BF-5699-4337-B875-D53DBF6DE656}" id="{C83BAF5F-A712-44F8-9686-6917D75104C0}">
    <text>Skalierung über Stromverbrauch in Referenzentwicklung</text>
  </threadedComment>
  <threadedComment ref="O45" dT="2019-03-21T09:56:58.94" personId="{51F1A2BF-5699-4337-B875-D53DBF6DE656}" id="{8792E949-2470-4A0C-AF37-3E9C4186F73A}">
    <text>Skalierung über Stromverbrauch in Referenzentwicklung</text>
  </threadedComment>
  <threadedComment ref="R45" dT="2019-03-21T09:56:58.94" personId="{51F1A2BF-5699-4337-B875-D53DBF6DE656}" id="{55EC1CD2-C6FE-4574-A5C9-9338E9C3AF6C}">
    <text>Skalierung über Stromverbrauch in Referenzentwicklung</text>
  </threadedComment>
  <threadedComment ref="T45" dT="2019-03-21T09:56:58.94" personId="{51F1A2BF-5699-4337-B875-D53DBF6DE656}" id="{314A6992-81AA-4E27-80E4-A9EE1AFEC3AF}">
    <text>Skalierung über Stromverbrauch in Referenzentwicklung</text>
  </threadedComment>
  <threadedComment ref="U45" dT="2019-03-21T09:56:58.94" personId="{51F1A2BF-5699-4337-B875-D53DBF6DE656}" id="{5EBEFA85-2E5E-43EC-A52F-4C5A7ABBCECA}">
    <text>Skalierung über Stromverbrauch in Referenzentwicklung</text>
  </threadedComment>
  <threadedComment ref="AL45" dT="2019-03-21T09:44:17.23" personId="{51F1A2BF-5699-4337-B875-D53DBF6DE656}" id="{CA45A569-371F-42BD-9030-DEF614585CAA}">
    <text>3 h (S. 109; wärmster Tag)</text>
  </threadedComment>
  <threadedComment ref="AM45" dT="2019-03-21T10:20:53.89" personId="{51F1A2BF-5699-4337-B875-D53DBF6DE656}" id="{D84F4380-8608-4D2F-9448-DCA21B71FC66}">
    <text>wärmster Tag</text>
  </threadedComment>
  <threadedComment ref="AN45" dT="2019-03-21T09:44:26.51" personId="{51F1A2BF-5699-4337-B875-D53DBF6DE656}" id="{FB8FC3CB-C7E6-484F-8BE3-A34553CBBEC3}">
    <text>kältester Tag</text>
  </threadedComment>
  <threadedComment ref="D46" dT="2019-03-21T10:43:43.78" personId="{51F1A2BF-5699-4337-B875-D53DBF6DE656}" id="{68C98BB4-4652-46A0-A7A9-0DE2DF2AACAC}">
    <text>Implizit, da funktionale Speicher (mit Nachholung) betrachtet werden.</text>
  </threadedComment>
  <threadedComment ref="M46" dT="2019-03-21T09:55:07.39" personId="{51F1A2BF-5699-4337-B875-D53DBF6DE656}" id="{C0A01F35-67DD-429F-9DAB-6AC3BE7F1537}">
    <text>Angabe 500+x</text>
  </threadedComment>
  <threadedComment ref="O46" dT="2019-03-21T09:55:07.39" personId="{51F1A2BF-5699-4337-B875-D53DBF6DE656}" id="{AC130A6B-9638-4FB1-9251-039EFED912D1}">
    <text>Angabe 500+x</text>
  </threadedComment>
  <threadedComment ref="D47" dT="2019-03-21T10:43:43.78" personId="{51F1A2BF-5699-4337-B875-D53DBF6DE656}" id="{2018B371-6548-4352-BACA-375D24CC5F41}">
    <text>Implizit, da funktionale Speicher (mit Nachholung) betrachtet werden.</text>
  </threadedComment>
  <threadedComment ref="J47" dT="2019-03-21T10:09:30.75" personId="{51F1A2BF-5699-4337-B875-D53DBF6DE656}" id="{276B2C7A-E7B4-493E-8F72-9A0660F6A337}">
    <text>näherungsweise konstante Durchdringung wird unterstellt (S. 106)</text>
  </threadedComment>
  <threadedComment ref="K47" dT="2019-03-21T10:09:30.75" personId="{51F1A2BF-5699-4337-B875-D53DBF6DE656}" id="{0ADA5375-21A3-461D-8C43-E0EA9FC640E3}">
    <text>näherungsweise konstante Durchdringung wird unterstellt (S. 106)</text>
  </threadedComment>
  <threadedComment ref="M47" dT="2019-03-21T10:09:30.75" personId="{51F1A2BF-5699-4337-B875-D53DBF6DE656}" id="{AB7BD124-759D-43A4-BD1D-4C0101BDAF2D}">
    <text>näherungsweise konstante Durchdringung wird unterstellt (S. 106)</text>
  </threadedComment>
  <threadedComment ref="O47" dT="2019-03-21T10:09:30.75" personId="{51F1A2BF-5699-4337-B875-D53DBF6DE656}" id="{9621318F-6554-439C-8CEE-7425DF402D7F}">
    <text>näherungsweise konstante Durchdringung wird unterstellt (S. 106)</text>
  </threadedComment>
  <threadedComment ref="Q47" dT="2019-03-21T10:09:30.75" personId="{51F1A2BF-5699-4337-B875-D53DBF6DE656}" id="{64C13703-A273-4EF0-B9AC-A56A47871B84}">
    <text>näherungsweise konstante Durchdringung wird unterstellt (S. 106)</text>
  </threadedComment>
  <threadedComment ref="R47" dT="2019-03-21T10:09:30.75" personId="{51F1A2BF-5699-4337-B875-D53DBF6DE656}" id="{D3AFCE91-B4EE-426E-95FF-AF027BB3FD18}">
    <text>näherungsweise konstante Durchdringung wird unterstellt (S. 106)</text>
  </threadedComment>
  <threadedComment ref="T47" dT="2019-03-21T10:09:30.75" personId="{51F1A2BF-5699-4337-B875-D53DBF6DE656}" id="{406FF110-8C5D-4484-8768-CC5D87BD8B83}">
    <text>näherungsweise konstante Durchdringung wird unterstellt (S. 106)</text>
  </threadedComment>
  <threadedComment ref="U47" dT="2019-03-21T10:09:30.75" personId="{51F1A2BF-5699-4337-B875-D53DBF6DE656}" id="{46C2723F-9A43-4913-9887-C0EDAC29A06E}">
    <text>näherungsweise konstante Durchdringung wird unterstellt (S. 106)</text>
  </threadedComment>
  <threadedComment ref="D48" dT="2019-03-21T10:43:43.78" personId="{51F1A2BF-5699-4337-B875-D53DBF6DE656}" id="{E2023B7D-8223-416B-BF0A-4B598F066E67}">
    <text>Implizit, da funktionale Speicher (mit Nachholung) betrachtet werden.</text>
  </threadedComment>
  <threadedComment ref="J48" dT="2019-03-21T10:09:30.75" personId="{51F1A2BF-5699-4337-B875-D53DBF6DE656}" id="{EA04EAAB-88FF-45D0-B91C-01FF5874DCE6}">
    <text>näherungsweise konstante Durchdringung wird unterstellt (S. 106)</text>
  </threadedComment>
  <threadedComment ref="K48" dT="2019-03-21T10:09:30.75" personId="{51F1A2BF-5699-4337-B875-D53DBF6DE656}" id="{5BB590B8-EFDA-4430-8C6B-DD970DE65704}">
    <text>näherungsweise konstante Durchdringung wird unterstellt (S. 106)</text>
  </threadedComment>
  <threadedComment ref="M48" dT="2019-03-21T10:09:30.75" personId="{51F1A2BF-5699-4337-B875-D53DBF6DE656}" id="{FC462716-E5FB-4885-998C-A0DD12C1C7AF}">
    <text>näherungsweise konstante Durchdringung wird unterstellt (S. 106)</text>
  </threadedComment>
  <threadedComment ref="O48" dT="2019-03-21T10:09:30.75" personId="{51F1A2BF-5699-4337-B875-D53DBF6DE656}" id="{DE995F5A-1E47-4410-86FF-AE28BE288B0E}">
    <text>näherungsweise konstante Durchdringung wird unterstellt (S. 106)</text>
  </threadedComment>
  <threadedComment ref="Q48" dT="2019-03-21T10:09:30.75" personId="{51F1A2BF-5699-4337-B875-D53DBF6DE656}" id="{FDEA2661-1E54-4620-B218-FAB1D55FFD11}">
    <text>näherungsweise konstante Durchdringung wird unterstellt (S. 106)</text>
  </threadedComment>
  <threadedComment ref="R48" dT="2019-03-21T10:09:30.75" personId="{51F1A2BF-5699-4337-B875-D53DBF6DE656}" id="{4F37555E-086A-4527-9632-0074F7BB836A}">
    <text>näherungsweise konstante Durchdringung wird unterstellt (S. 106)</text>
  </threadedComment>
  <threadedComment ref="T48" dT="2019-03-21T10:09:30.75" personId="{51F1A2BF-5699-4337-B875-D53DBF6DE656}" id="{DE168CB1-746F-4C95-84C2-E0C3F386B532}">
    <text>näherungsweise konstante Durchdringung wird unterstellt (S. 106)</text>
  </threadedComment>
  <threadedComment ref="U48" dT="2019-03-21T10:09:30.75" personId="{51F1A2BF-5699-4337-B875-D53DBF6DE656}" id="{C0BB0937-B3C4-44A4-9915-F11A25E622B3}">
    <text>näherungsweise konstante Durchdringung wird unterstellt (S. 106)</text>
  </threadedComment>
  <threadedComment ref="D49" dT="2019-03-21T10:43:43.78" personId="{51F1A2BF-5699-4337-B875-D53DBF6DE656}" id="{F46DCF97-3556-4D72-898D-CD588458B25A}">
    <text>Implizit, da funktionale Speicher (mit Nachholung) betrachtet werden.</text>
  </threadedComment>
  <threadedComment ref="J49" dT="2019-03-21T10:09:30.75" personId="{51F1A2BF-5699-4337-B875-D53DBF6DE656}" id="{78D3CE11-7053-4D90-9629-8B4FCC0A2F0B}">
    <text>näherungsweise konstante Durchdringung wird unterstellt (S. 106)</text>
  </threadedComment>
  <threadedComment ref="K49" dT="2019-03-21T10:09:30.75" personId="{51F1A2BF-5699-4337-B875-D53DBF6DE656}" id="{94530F2C-302A-411C-A027-E451B26DAC4F}">
    <text>näherungsweise konstante Durchdringung wird unterstellt (S. 106)</text>
  </threadedComment>
  <threadedComment ref="M49" dT="2019-03-21T10:09:30.75" personId="{51F1A2BF-5699-4337-B875-D53DBF6DE656}" id="{636E2B6E-F022-4C24-8EF9-BA330CA684BB}">
    <text>näherungsweise konstante Durchdringung wird unterstellt (S. 106)</text>
  </threadedComment>
  <threadedComment ref="O49" dT="2019-03-21T10:09:30.75" personId="{51F1A2BF-5699-4337-B875-D53DBF6DE656}" id="{8349FC27-C9EF-4712-AA09-CC10C3CFDA47}">
    <text>näherungsweise konstante Durchdringung wird unterstellt (S. 106)</text>
  </threadedComment>
  <threadedComment ref="Q49" dT="2019-03-21T10:09:30.75" personId="{51F1A2BF-5699-4337-B875-D53DBF6DE656}" id="{E2AA62B0-5600-4908-868D-7B3705118A2C}">
    <text>näherungsweise konstante Durchdringung wird unterstellt (S. 106)</text>
  </threadedComment>
  <threadedComment ref="R49" dT="2019-03-21T10:09:30.75" personId="{51F1A2BF-5699-4337-B875-D53DBF6DE656}" id="{DF89C04D-FF65-4B56-AA30-04E8B5184CCB}">
    <text>näherungsweise konstante Durchdringung wird unterstellt (S. 106)</text>
  </threadedComment>
  <threadedComment ref="T49" dT="2019-03-21T10:09:30.75" personId="{51F1A2BF-5699-4337-B875-D53DBF6DE656}" id="{7A774721-5936-4F89-8F1E-A7643E8D58C9}">
    <text>näherungsweise konstante Durchdringung wird unterstellt (S. 106)</text>
  </threadedComment>
  <threadedComment ref="U49" dT="2019-03-21T10:09:30.75" personId="{51F1A2BF-5699-4337-B875-D53DBF6DE656}" id="{1F6CCF41-2535-41CD-8EA9-DD113387B46D}">
    <text>näherungsweise konstante Durchdringung wird unterstellt (S. 106)</text>
  </threadedComment>
  <threadedComment ref="D50" dT="2019-03-21T10:43:43.78" personId="{51F1A2BF-5699-4337-B875-D53DBF6DE656}" id="{75B2D925-4F42-4BCA-8F81-6FAEFBC4121F}">
    <text>Implizit, da funktionale Speicher (mit Nachholung) betrachtet werden.</text>
  </threadedComment>
  <threadedComment ref="M50" dT="2019-03-21T12:16:33.05" personId="{51F1A2BF-5699-4337-B875-D53DBF6DE656}" id="{33B579F3-A90B-401D-9D96-1EC8C4193083}">
    <text>Ausgewiesene Potenziale als symmetrisch unterstellt</text>
  </threadedComment>
  <threadedComment ref="T50" dT="2019-03-21T12:16:15.97" personId="{51F1A2BF-5699-4337-B875-D53DBF6DE656}" id="{38647591-0E4D-4DB6-AA73-B628C0588480}">
    <text>Ausgewiesene Potenziale als symmetrisch unterstellt.</text>
  </threadedComment>
  <threadedComment ref="D51" dT="2019-03-21T10:43:43.78" personId="{51F1A2BF-5699-4337-B875-D53DBF6DE656}" id="{BCA6707F-7D69-4F3E-AFFA-ABE00519022B}">
    <text>Implizit, da funktionale Speicher (mit Nachholung) betrachtet werden.</text>
  </threadedComment>
  <threadedComment ref="D52" dT="2019-03-21T10:43:43.78" personId="{51F1A2BF-5699-4337-B875-D53DBF6DE656}" id="{9FD466BB-E258-43FA-BDD0-81B31288C60C}">
    <text>Implizit, da funktionale Speicher (mit Nachholung) betrachtet werden.</text>
  </threadedComment>
  <threadedComment ref="D53" dT="2019-03-21T10:43:43.78" personId="{51F1A2BF-5699-4337-B875-D53DBF6DE656}" id="{E6DB736E-DA93-4207-9C41-FD99126BC2F4}">
    <text>Implizit, da funktionale Speicher (mit Nachholung) betrachtet werden.</text>
  </threadedComment>
  <threadedComment ref="D54" dT="2019-03-21T10:43:43.78" personId="{51F1A2BF-5699-4337-B875-D53DBF6DE656}" id="{C8B4AACC-2A69-4F9C-8C8A-D8A1633E2C1C}">
    <text>Implizit, da funktionale Speicher (mit Nachholung) betrachtet werden.</text>
  </threadedComment>
  <threadedComment ref="AM54" dT="2019-03-21T11:53:59.43" personId="{51F1A2BF-5699-4337-B875-D53DBF6DE656}" id="{DC37A05F-525E-4E49-A928-57D4DE0446D7}">
    <text>Tag</text>
  </threadedComment>
  <threadedComment ref="AN54" dT="2019-03-21T11:54:04.51" personId="{51F1A2BF-5699-4337-B875-D53DBF6DE656}" id="{D5490529-A72E-44A1-BDAD-859CE479CF56}">
    <text>Nacht</text>
  </threadedComment>
  <threadedComment ref="D55" dT="2019-03-21T10:43:43.78" personId="{51F1A2BF-5699-4337-B875-D53DBF6DE656}" id="{A0198E2A-DA05-4DB0-B8D0-B0B2D7C4C281}">
    <text>Implizit, da funktionale Speicher (mit Nachholung) betrachtet werden.</text>
  </threadedComment>
  <threadedComment ref="AM55" dT="2019-03-21T11:53:59.43" personId="{51F1A2BF-5699-4337-B875-D53DBF6DE656}" id="{93E79508-8A59-41AE-B914-D80D28C4C0FD}">
    <text>Tag</text>
  </threadedComment>
  <threadedComment ref="AN55" dT="2019-03-21T11:54:04.51" personId="{51F1A2BF-5699-4337-B875-D53DBF6DE656}" id="{07DBD97F-1880-49B9-B77C-E506F7BE3211}">
    <text>Nacht</text>
  </threadedComment>
  <threadedComment ref="D56" dT="2019-03-21T10:43:43.78" personId="{51F1A2BF-5699-4337-B875-D53DBF6DE656}" id="{8DC145D3-A680-42EF-9585-E5E395B11F77}">
    <text>Implizit, da funktionale Speicher (mit Nachholung) betrachtet werden.</text>
  </threadedComment>
  <threadedComment ref="AM56" dT="2019-03-21T11:53:59.43" personId="{51F1A2BF-5699-4337-B875-D53DBF6DE656}" id="{3F881113-FD8A-479E-8B7A-09989EC68501}">
    <text>Tag</text>
  </threadedComment>
  <threadedComment ref="AN56" dT="2019-03-21T11:54:04.51" personId="{51F1A2BF-5699-4337-B875-D53DBF6DE656}" id="{0BFC8415-CEE5-427A-AA36-F751AD6182E8}">
    <text>Nacht</text>
  </threadedComment>
  <threadedComment ref="D57" dT="2019-03-21T10:43:43.78" personId="{51F1A2BF-5699-4337-B875-D53DBF6DE656}" id="{153E8956-9748-4BD3-A54E-5E165F85128A}">
    <text>Implizit, da funktionale Speicher (mit Nachholung) betrachtet werden.</text>
  </threadedComment>
  <threadedComment ref="AM57" dT="2019-03-21T11:53:59.43" personId="{51F1A2BF-5699-4337-B875-D53DBF6DE656}" id="{D9D4B359-8D01-45D3-9951-C302D5ADE133}">
    <text>Tag</text>
  </threadedComment>
  <threadedComment ref="AN57" dT="2019-03-21T11:54:04.51" personId="{51F1A2BF-5699-4337-B875-D53DBF6DE656}" id="{9643E4F5-B1B4-4054-AAC3-D532C32BC3E3}">
    <text>Nacht</text>
  </threadedComment>
  <threadedComment ref="Z61" dT="2019-03-22T14:39:00.24" personId="{51F1A2BF-5699-4337-B875-D53DBF6DE656}" id="{A1227423-6253-4F63-8C6F-6AD0E5E1FCA7}">
    <text>mittlere Verfügbarkeit (!); Betriebsstunden können mitunter deutlich darüber liegen</text>
  </threadedComment>
  <threadedComment ref="AX61" dT="2019-03-22T13:07:55.84" personId="{51F1A2BF-5699-4337-B875-D53DBF6DE656}" id="{ACF833A8-26B5-4DFE-B220-E1ADF310CE69}">
    <text>ab 500 kW Leistung; darunter pauschal 3.000 €</text>
  </threadedComment>
  <threadedComment ref="Z62" dT="2019-03-22T14:39:00.24" personId="{51F1A2BF-5699-4337-B875-D53DBF6DE656}" id="{485229A9-337D-4A5D-A419-869629C8DDB5}">
    <text>mittlere Verfügbarkeit (!); Betriebsstunden können mitunter deutlich darüber liegen</text>
  </threadedComment>
  <threadedComment ref="AX62" dT="2019-03-22T13:07:55.84" personId="{51F1A2BF-5699-4337-B875-D53DBF6DE656}" id="{40AFF255-6B76-4D47-9004-689002884DCE}">
    <text>ab 500 kW Leistung; darunter pauschal 2.550 €</text>
  </threadedComment>
  <threadedComment ref="Z63" dT="2019-03-22T14:39:00.24" personId="{51F1A2BF-5699-4337-B875-D53DBF6DE656}" id="{90094D3F-B1FA-4026-BDA4-D1A3C78593BC}">
    <text>mittlere Verfügbarkeit (!); Betriebsstunden können mitunter deutlich darüber liegen</text>
  </threadedComment>
  <threadedComment ref="AX63" dT="2019-03-22T13:07:55.84" personId="{51F1A2BF-5699-4337-B875-D53DBF6DE656}" id="{44A78650-3A5A-44C6-9995-D23C2CD7CDAE}">
    <text>ab 500 kW Leistung; darunter pauschal 2.100 €</text>
  </threadedComment>
  <threadedComment ref="Z64" dT="2019-03-22T14:39:00.24" personId="{51F1A2BF-5699-4337-B875-D53DBF6DE656}" id="{3D00C463-B70F-45D7-AA25-B46B07215542}">
    <text>mittlere Verfügbarkeit (!); Betriebsstunden können mitunter deutlich darüber liegen</text>
  </threadedComment>
  <threadedComment ref="AX64" dT="2019-03-22T13:07:55.84" personId="{51F1A2BF-5699-4337-B875-D53DBF6DE656}" id="{6F962807-9629-4BF1-84F5-E713034C3884}">
    <text>ab 500 kW Leistung; darunter pauschal 1.650 €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40C1633-2421-4D4C-B0FA-8F7EE2001942}">
    <text>Hinweis: Daten aus Diagrammen S. 34, 35 abgelesen!</text>
  </threadedComment>
  <threadedComment ref="A1" dT="2019-09-14T13:23:20.69" personId="{71FC54F3-5E8D-460B-9FCF-F7AD63FF6B98}" id="{BD666AB1-FE3D-4B1B-98E5-FBC621FEDAEA}" parentId="{F40C1633-2421-4D4C-B0FA-8F7EE2001942}">
    <text>TODO: Verschneiden mit den Werten aus Apel (2012)!</text>
  </threadedComment>
  <threadedComment ref="H1" dT="2019-10-27T14:11:08.19" personId="{71FC54F3-5E8D-460B-9FCF-F7AD63FF6B98}" id="{D79BB86F-53AA-415F-80F9-DFBDD4FA127B}">
    <text>3 Szenarien betrachtet: MIN, REF und MAX</text>
  </threadedComment>
  <threadedComment ref="K1" dT="2019-10-27T14:59:07.05" personId="{71FC54F3-5E8D-460B-9FCF-F7AD63FF6B98}" id="{91A73B24-706F-4124-9A59-25BC3745AAC6}">
    <text>Abschätzung via Hochrechnung der Potenziale mittels Stromverbrauchsentwicklung!</text>
  </threadedComment>
  <threadedComment ref="M1" dT="2019-09-13T15:07:45.92" personId="{71FC54F3-5E8D-460B-9FCF-F7AD63FF6B98}" id="{6473B44D-1E40-4428-BEA2-CA326B22E35B}">
    <text>Werte abgelesen (S. 34 u. 36)</text>
  </threadedComment>
  <threadedComment ref="N1" dT="2019-09-13T15:07:55.17" personId="{71FC54F3-5E8D-460B-9FCF-F7AD63FF6B98}" id="{BADCA036-E654-41B7-A169-9098F9ED4828}">
    <text>Werte abgelesen (S. 34)</text>
  </threadedComment>
  <threadedComment ref="O1" dT="2019-09-13T15:07:45.92" personId="{71FC54F3-5E8D-460B-9FCF-F7AD63FF6B98}" id="{CBB13608-78A9-4B5D-B614-1FB253F8FBA3}">
    <text>Werte abgelesen (S. 34)</text>
  </threadedComment>
  <threadedComment ref="P1" dT="2019-09-13T15:07:45.92" personId="{71FC54F3-5E8D-460B-9FCF-F7AD63FF6B98}" id="{7C5D5C86-F9E6-4D20-8372-7E1FB6411CFA}">
    <text>Werte abgelesen (S. 34)</text>
  </threadedComment>
  <threadedComment ref="E2" dT="2020-01-04T15:30:14.93" personId="{71FC54F3-5E8D-460B-9FCF-F7AD63FF6B98}" id="{D9EB4A29-7754-4F3C-AE55-6F2E35114C3C}">
    <text>Implizit aus Kontext der Studie</text>
  </threadedComment>
  <threadedComment ref="E3" dT="2020-01-04T15:30:14.93" personId="{71FC54F3-5E8D-460B-9FCF-F7AD63FF6B98}" id="{7C4671D3-9925-4459-BC4A-968E88927B6C}">
    <text>Implizit aus Kontext der Studie</text>
  </threadedComment>
  <threadedComment ref="E4" dT="2020-01-04T15:30:14.93" personId="{71FC54F3-5E8D-460B-9FCF-F7AD63FF6B98}" id="{35FEF1BB-61D3-46FC-B72E-C4E42659E9A9}">
    <text>Implizit aus Kontext der Studie</text>
  </threadedComment>
  <threadedComment ref="E5" dT="2020-01-04T15:30:14.93" personId="{71FC54F3-5E8D-460B-9FCF-F7AD63FF6B98}" id="{608AD71B-F8D7-4814-9E44-B0E2DB448855}">
    <text>Implizit aus Kontext der Studie</text>
  </threadedComment>
  <threadedComment ref="E6" dT="2020-01-04T15:30:14.93" personId="{71FC54F3-5E8D-460B-9FCF-F7AD63FF6B98}" id="{FE453C0E-AEB4-4F88-BFEE-82E0B82A3D9E}">
    <text>Implizit aus Kontext der Studie</text>
  </threadedComment>
  <threadedComment ref="E7" dT="2020-01-04T15:30:14.93" personId="{71FC54F3-5E8D-460B-9FCF-F7AD63FF6B98}" id="{1E022595-E5F3-4506-9C9E-317C76D2492A}">
    <text>Implizit aus Kontext der Studie</text>
  </threadedComment>
  <threadedComment ref="E8" dT="2020-01-04T15:30:14.93" personId="{71FC54F3-5E8D-460B-9FCF-F7AD63FF6B98}" id="{EF54A784-7926-4127-9F01-11DE52FD9817}">
    <text>Implizit aus Kontext der Studie</text>
  </threadedComment>
  <threadedComment ref="E9" dT="2020-01-04T15:30:14.93" personId="{71FC54F3-5E8D-460B-9FCF-F7AD63FF6B98}" id="{45CF02F1-3804-4EC2-B012-DF1EFFF2E42C}">
    <text>Implizit aus Kontext der Studie</text>
  </threadedComment>
  <threadedComment ref="E10" dT="2020-01-04T15:30:14.93" personId="{71FC54F3-5E8D-460B-9FCF-F7AD63FF6B98}" id="{5DD02952-A5B3-49D6-84C6-8962663F5DE7}">
    <text>Implizit aus Kontext der Studie</text>
  </threadedComment>
  <threadedComment ref="E11" dT="2020-01-04T15:30:14.93" personId="{71FC54F3-5E8D-460B-9FCF-F7AD63FF6B98}" id="{2993BE54-9DF8-4708-98E2-A3ADD09B0793}">
    <text>Implizit aus Kontext der Studie</text>
  </threadedComment>
  <threadedComment ref="E12" dT="2020-01-04T15:30:14.93" personId="{71FC54F3-5E8D-460B-9FCF-F7AD63FF6B98}" id="{EEADB1E7-33F3-4D68-9465-EFA9AF15116C}">
    <text>Implizit aus Kontext der Studie</text>
  </threadedComment>
  <threadedComment ref="E13" dT="2020-01-04T15:30:14.93" personId="{71FC54F3-5E8D-460B-9FCF-F7AD63FF6B98}" id="{09FF5934-D251-47A0-B26D-0DE898F132F5}">
    <text>Implizit aus Kontext der Studie</text>
  </threadedComment>
  <threadedComment ref="A14" dT="2019-11-26T06:15:17.06" personId="{71FC54F3-5E8D-460B-9FCF-F7AD63FF6B98}" id="{5B35CADB-D991-4802-B990-67E559343D44}">
    <text>ausgewiesen als mechanische Energie; Beschreibungstext (S. 764) legt allerdings dar, dass nur Belüftung einbezogen wurde.</text>
  </threadedComment>
  <threadedComment ref="E14" dT="2020-01-04T15:30:14.93" personId="{71FC54F3-5E8D-460B-9FCF-F7AD63FF6B98}" id="{C813DE76-EE7E-43C4-9A79-0E47508FD018}">
    <text>Implizit aus Kontext der Studie</text>
  </threadedComment>
  <threadedComment ref="E15" dT="2020-01-04T15:30:14.93" personId="{71FC54F3-5E8D-460B-9FCF-F7AD63FF6B98}" id="{3CE9C4DF-5E12-4590-A844-BC65F7EAA3B9}">
    <text>Implizit aus Kontext der Studie</text>
  </threadedComment>
  <threadedComment ref="E16" dT="2020-01-04T15:30:14.93" personId="{71FC54F3-5E8D-460B-9FCF-F7AD63FF6B98}" id="{54E0A2D2-4CDD-40D4-A6E5-2677B913756B}">
    <text>Implizit aus Kontext der Studie</text>
  </threadedComment>
  <threadedComment ref="E17" dT="2020-01-04T15:30:14.93" personId="{71FC54F3-5E8D-460B-9FCF-F7AD63FF6B98}" id="{716DD388-AB3D-466A-9FAB-1898494F0D4F}">
    <text>Implizit aus Kontext der Studie</text>
  </threadedComment>
  <threadedComment ref="E18" dT="2020-01-04T15:30:14.93" personId="{71FC54F3-5E8D-460B-9FCF-F7AD63FF6B98}" id="{46CD3C0F-6EAB-4CC2-AF51-FDA9C9BE5A85}">
    <text>Implizit aus Kontext der Studie</text>
  </threadedComment>
  <threadedComment ref="E19" dT="2020-01-04T15:30:14.93" personId="{71FC54F3-5E8D-460B-9FCF-F7AD63FF6B98}" id="{C44FD56D-9705-4407-80B0-943C520D0D6E}">
    <text>Implizit aus Kontext der Studie</text>
  </threadedComment>
  <threadedComment ref="E20" dT="2020-01-04T15:30:14.93" personId="{71FC54F3-5E8D-460B-9FCF-F7AD63FF6B98}" id="{2312E256-8F03-41AB-A548-6F286361FE00}">
    <text>Implizit aus Kontext der Studie</text>
  </threadedComment>
  <threadedComment ref="E21" dT="2020-01-04T15:30:14.93" personId="{71FC54F3-5E8D-460B-9FCF-F7AD63FF6B98}" id="{F533937C-E4FB-46E9-B0AD-1926E1DA6936}">
    <text>Implizit aus Kontext der Studie</text>
  </threadedComment>
  <threadedComment ref="E22" dT="2020-01-04T15:30:14.93" personId="{71FC54F3-5E8D-460B-9FCF-F7AD63FF6B98}" id="{BE76AE40-4E4E-4724-82D7-D9BBC8C764FC}">
    <text>Implizit aus Kontext der Studie</text>
  </threadedComment>
  <threadedComment ref="E23" dT="2020-01-04T15:30:14.93" personId="{71FC54F3-5E8D-460B-9FCF-F7AD63FF6B98}" id="{56D6DEC5-FCD6-43E1-9867-C2D55B1AD3CA}">
    <text>Implizit aus Kontext der Studie</text>
  </threadedComment>
  <threadedComment ref="A24" dT="2019-11-26T15:25:48.81" personId="{71FC54F3-5E8D-460B-9FCF-F7AD63FF6B98}" id="{1474DFB6-F764-412E-BDCB-3704097EF776}">
    <text>Potenziale leider nur aggregiert dargestellt; Disaggregierungsmöglichkeit ggf. über die unterstellten zeitlichen Limitationen der Prozesse / Anwendungen möglich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50" dT="2019-02-26T12:47:49.52" personId="{51F1A2BF-5699-4337-B875-D53DBF6DE656}" id="{B30C8BE7-5968-4CD1-8BB9-2A12F4B801C3}">
    <text>Samira: Belüftung und Klimatisierung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FB42DF06-10E3-4E37-A6A6-28A07FA9FB3F}">
    <text>Hinweis: Daten aus Diagrammen S. 34, 35 abgelesen!</text>
  </threadedComment>
  <threadedComment ref="A1" dT="2019-09-14T13:23:20.69" personId="{71FC54F3-5E8D-460B-9FCF-F7AD63FF6B98}" id="{E0753A1D-56AE-4B61-9709-50B4BA2F2E94}" parentId="{FB42DF06-10E3-4E37-A6A6-28A07FA9FB3F}">
    <text>TODO: Verschneiden mit den Werten aus Apel (2012)!</text>
  </threadedComment>
  <threadedComment ref="E1" dT="2019-11-22T14:38:45.64" personId="{71FC54F3-5E8D-460B-9FCF-F7AD63FF6B98}" id="{83B22062-F3BB-4DA9-9304-B34ED6811005}">
    <text>keine Aussagen getroffen; Annahme, dass jeweils Lastverschiebung betrachtet wird, da positive und negative Regelpotenziale ausgewiesen werden...</text>
  </threadedComment>
  <threadedComment ref="H1" dT="2019-10-27T14:11:16.78" personId="{71FC54F3-5E8D-460B-9FCF-F7AD63FF6B98}" id="{942DFEEA-40BE-4C49-8C97-D68218B77F73}">
    <text>3 Szenarien betrachtet: MIN, REF und MAX</text>
  </threadedComment>
  <threadedComment ref="R1" dT="2019-10-27T14:59:07.05" personId="{71FC54F3-5E8D-460B-9FCF-F7AD63FF6B98}" id="{A4755949-C1AD-47B1-BAC0-A38D452F164C}">
    <text>Abschätzung via Hochrechnung der Potenziale mittels Stromverbrauchsentwicklung!</text>
  </threadedComment>
  <threadedComment ref="T1" dT="2019-09-13T15:07:45.92" personId="{71FC54F3-5E8D-460B-9FCF-F7AD63FF6B98}" id="{C1231DC0-6E35-41C4-9083-61CD6FA3574C}">
    <text>Werte abgelesen (S. 34 u. 36)</text>
  </threadedComment>
  <threadedComment ref="U1" dT="2019-09-13T15:07:55.17" personId="{71FC54F3-5E8D-460B-9FCF-F7AD63FF6B98}" id="{2B203EE6-A954-4CF2-BC3B-825A44ABAF79}">
    <text>Werte abgelesen (S. 34)</text>
  </threadedComment>
  <threadedComment ref="V1" dT="2019-09-13T15:07:45.92" personId="{71FC54F3-5E8D-460B-9FCF-F7AD63FF6B98}" id="{A04BD5AB-8B3E-4CCE-9B87-50EDB93F87D4}">
    <text>Werte abgelesen (S. 34)</text>
  </threadedComment>
  <threadedComment ref="W1" dT="2019-09-13T15:07:45.92" personId="{71FC54F3-5E8D-460B-9FCF-F7AD63FF6B98}" id="{B5B5E688-B286-4E70-A488-8EB3E9D6F2C9}">
    <text>Werte abgelesen (S. 34)</text>
  </threadedComment>
  <threadedComment ref="AM1" dT="2019-11-22T14:21:25.76" personId="{71FC54F3-5E8D-460B-9FCF-F7AD63FF6B98}" id="{49C805F7-915C-46AA-A538-9F53C8ACDD93}">
    <text>Schaltdauern korrespondieren mit maximaler / minimaler Potenzialhöhe (Potenzial nichtlinear abnehmend mit zunehmender Schaltdauer)</text>
  </threadedComment>
  <threadedComment ref="AM1" dT="2019-11-22T14:24:20.25" personId="{71FC54F3-5E8D-460B-9FCF-F7AD63FF6B98}" id="{EFAC9EFA-65D6-446C-BF07-3955A32CFB48}" parentId="{49C805F7-915C-46AA-A538-9F53C8ACDD93}">
    <text>grobe Abschätzung von zwei (arbiträren) Stützwerten auf Diagrammen</text>
  </threadedComment>
  <threadedComment ref="B2" dT="2019-11-22T11:04:40.49" personId="{71FC54F3-5E8D-460B-9FCF-F7AD63FF6B98}" id="{01D0519E-4C7D-43D0-8A37-679BD57C5B3C}">
    <text>überwiegend in Haushalten zu finden (S. 49)</text>
  </threadedComment>
  <threadedComment ref="L3" dT="2019-11-22T11:33:45.23" personId="{71FC54F3-5E8D-460B-9FCF-F7AD63FF6B98}" id="{DF290441-950E-49F7-BFC0-751A668CD9A8}">
    <text>Anzahl in Haushalten; davon 4.000 Tsd. mit zentraler elektrischer Warmwasserbereitung</text>
  </threadedComment>
  <threadedComment ref="Q3" dT="2019-11-22T11:32:47.14" personId="{71FC54F3-5E8D-460B-9FCF-F7AD63FF6B98}" id="{CDD362D8-A8F6-47D3-9E42-85BE49D93285}">
    <text>(konservative) Annahme: 1/4 des Stromverbrauchs kann genutzt werden für DR</text>
  </threadedComment>
  <threadedComment ref="R3" dT="2019-11-22T12:45:24.21" personId="{71FC54F3-5E8D-460B-9FCF-F7AD63FF6B98}" id="{046E425C-0033-433C-A9FA-24E22D4F5D51}">
    <text>abgelesene Werte (S. 68)</text>
  </threadedComment>
  <threadedComment ref="T3" dT="2019-11-22T12:45:14.15" personId="{71FC54F3-5E8D-460B-9FCF-F7AD63FF6B98}" id="{7AAB506C-C6D4-4C60-8B40-1FA3692B7110}">
    <text>abgelesene Werte (S. 68)</text>
  </threadedComment>
  <threadedComment ref="Z3" dT="2019-11-22T12:45:04.56" personId="{71FC54F3-5E8D-460B-9FCF-F7AD63FF6B98}" id="{FEBCC5B2-A179-4B75-BDFC-376CDBDC7727}">
    <text>abgelesene Werte (S. 69)</text>
  </threadedComment>
  <threadedComment ref="B4" dT="2019-11-22T13:17:24.03" personId="{71FC54F3-5E8D-460B-9FCF-F7AD63FF6B98}" id="{54BCD683-CE8E-4415-BD38-DAAA53CF374B}">
    <text>überwiegend Industrie</text>
  </threadedComment>
  <threadedComment ref="P5" dT="2019-11-22T14:00:53.49" personId="{71FC54F3-5E8D-460B-9FCF-F7AD63FF6B98}" id="{25A7567F-FC63-434A-BE53-27BE96BFC102}">
    <text>Gesamstrombedarf Kühl- und Gefrieranwendungen; davon 18,63 bei der Lagerung in Haushalten</text>
  </threadedComment>
  <threadedComment ref="P6" dT="2019-11-22T14:00:53.49" personId="{71FC54F3-5E8D-460B-9FCF-F7AD63FF6B98}" id="{D9E72B01-1DA5-40BE-A92B-A9EDD41DF071}">
    <text>Gesamstrombedarf Kühl- und Gefrieranwendungen; davon 18,63 bei der Lagerung in Haushalten</text>
  </threadedComment>
  <threadedComment ref="A7" dT="2019-11-22T14:26:03.68" personId="{71FC54F3-5E8D-460B-9FCF-F7AD63FF6B98}" id="{C9AC1E5E-CA20-4518-A2A9-18EA93114341}">
    <text>Kühl- und Gefriergeräte im Lebensmitteleinzelhandel</text>
  </threadedComment>
  <threadedComment ref="P7" dT="2019-11-22T14:00:53.49" personId="{71FC54F3-5E8D-460B-9FCF-F7AD63FF6B98}" id="{100795C4-C14F-40C8-85C2-01E5748A46D4}">
    <text>Gesamstrombedarf Kühl- und Gefrieranwendungen; davon 18,63 bei der Lagerung in Haushalten</text>
  </threadedComment>
  <threadedComment ref="A8" dT="2019-11-22T14:37:12.04" personId="{71FC54F3-5E8D-460B-9FCF-F7AD63FF6B98}" id="{4973EA7A-C0BE-4DD7-8936-C3A57A9EDD10}">
    <text>Sonderfall: Umwälzpumpen für Warmwasserheizungen</text>
  </threadedComment>
  <threadedComment ref="F8" dT="2019-11-22T14:47:56.47" personId="{71FC54F3-5E8D-460B-9FCF-F7AD63FF6B98}" id="{5C44675F-8D80-46FB-8EB4-50A880E44CC4}">
    <text>nur positive Regelleistung (S. 140)</text>
  </threadedComment>
  <threadedComment ref="P8" dT="2019-11-22T14:38:05.04" personId="{71FC54F3-5E8D-460B-9FCF-F7AD63FF6B98}" id="{13809119-DE0E-46A4-B893-E08398126FEA}">
    <text>Strombedarf für Umwälzpumpen in Deutschland</text>
  </threadedComment>
  <threadedComment ref="A9" dT="2019-11-22T14:37:12.04" personId="{71FC54F3-5E8D-460B-9FCF-F7AD63FF6B98}" id="{F5CED530-AD75-4D0B-ABD9-E26485FEA056}">
    <text>Sonderfall: Umwälzpumpen für Warmwasserheizungen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1" dT="2019-11-26T12:53:59.91" personId="{71FC54F3-5E8D-460B-9FCF-F7AD63FF6B98}" id="{FBF3ADD0-B56D-4DAE-8F21-CC2347C73D5C}">
    <text>Tabellenblatt enthält Werte, die je Prozess aggregiert dargestellt wurden (Aggregation jeweils durch Mittelwert- oder Summenbildung erfolgt -&gt; s. Aufbereitungsnotebook)</text>
  </threadedComment>
  <threadedComment ref="A186" dT="2019-04-01T14:13:46.45" personId="{51F1A2BF-5699-4337-B875-D53DBF6DE656}" id="{94C10CB7-65DC-4B1E-83E5-0941AF46AFE8}">
    <text>Behälterglas</text>
  </threadedComment>
  <threadedComment ref="A202" dT="2019-04-01T14:05:13.19" personId="{51F1A2BF-5699-4337-B875-D53DBF6DE656}" id="{D115012A-AA3D-402B-BF85-D767EFAA4ACC}">
    <text>Holzschleifer und TMP-Verfahren</text>
  </threadedComment>
  <threadedComment ref="A226" dT="2019-04-01T14:05:36.11" personId="{51F1A2BF-5699-4337-B875-D53DBF6DE656}" id="{A06263FC-8A2A-435B-9472-EFF9B92A9514}">
    <text>Zellstoff- und Altpapieraufbereitung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A1" dT="2019-09-13T14:46:03.98" personId="{71FC54F3-5E8D-460B-9FCF-F7AD63FF6B98}" id="{EE6E04F9-26E9-482D-A026-FC2281CEC518}">
    <text>Hinweis: Daten aus Diagrammen S. 34, 35 abgelesen!</text>
  </threadedComment>
  <threadedComment ref="A1" dT="2019-09-14T13:23:20.69" personId="{71FC54F3-5E8D-460B-9FCF-F7AD63FF6B98}" id="{7B10DA75-7AAA-495A-BCB0-2FA0C691504A}" parentId="{EE6E04F9-26E9-482D-A026-FC2281CEC518}">
    <text>TODO: Verschneiden mit den Werten aus Apel (2012)!</text>
  </threadedComment>
  <threadedComment ref="H1" dT="2019-09-13T15:07:45.92" personId="{71FC54F3-5E8D-460B-9FCF-F7AD63FF6B98}" id="{AA34A7A7-DDCC-4A71-8170-389DA35A0E2F}">
    <text>Werte abgelesen (S. 34 u. 36)</text>
  </threadedComment>
  <threadedComment ref="I1" dT="2019-09-13T15:07:55.17" personId="{71FC54F3-5E8D-460B-9FCF-F7AD63FF6B98}" id="{9544F0BA-48F1-430C-B777-5EB04D213E44}">
    <text>Werte abgelesen (S. 34)</text>
  </threadedComment>
  <threadedComment ref="J1" dT="2019-09-13T15:07:45.92" personId="{71FC54F3-5E8D-460B-9FCF-F7AD63FF6B98}" id="{C1DB94E9-D1B1-43A6-BE62-0032FBE2EA36}">
    <text>Werte abgelesen (S. 34)</text>
  </threadedComment>
  <threadedComment ref="K1" dT="2019-09-13T15:07:45.92" personId="{71FC54F3-5E8D-460B-9FCF-F7AD63FF6B98}" id="{168F2958-2C35-4D6E-A9BF-27CAAFDB4F0D}">
    <text>Werte abgelesen (S. 34)</text>
  </threadedComment>
  <threadedComment ref="AH8" dT="2019-02-26T15:03:08.25" personId="{51F1A2BF-5699-4337-B875-D53DBF6DE656}" id="{223D4FBC-D6B7-417C-B27A-66564245BE70}">
    <text>Celina</text>
  </threadedComment>
  <threadedComment ref="H17" dT="2019-09-13T14:52:51.98" personId="{71FC54F3-5E8D-460B-9FCF-F7AD63FF6B98}" id="{34DEAD6B-52E4-4A32-B4E8-9485C64B0686}">
    <text>Zusammenfassung: Kühl/Gefrierkombination sowie Gefrierschrank/-truhe</text>
  </threadedComment>
  <threadedComment ref="I17" dT="2019-09-13T14:52:51.98" personId="{71FC54F3-5E8D-460B-9FCF-F7AD63FF6B98}" id="{3E05DEB4-FDCE-4D4C-BF20-B42C75ECB962}">
    <text>Zusammenfassung: Kühl/Gefrierkombination sowie Gefrierschrank/-truhe</text>
  </threadedComment>
  <threadedComment ref="J17" dT="2019-09-13T14:52:51.98" personId="{71FC54F3-5E8D-460B-9FCF-F7AD63FF6B98}" id="{FF23A1BB-6B37-48B5-B84E-8C79244A88FD}">
    <text>Zusammenfassung: Kühl/Gefrierkombination sowie Gefrierschrank/-truhe</text>
  </threadedComment>
  <threadedComment ref="K17" dT="2019-09-13T14:52:51.98" personId="{71FC54F3-5E8D-460B-9FCF-F7AD63FF6B98}" id="{65193C96-4AB2-4A39-8097-FBB0DBD031CE}">
    <text>Zusammenfassung: Kühl/Gefrierkombination sowie Gefrierschrank/-truhe</text>
  </threadedComment>
  <threadedComment ref="AH23" dT="2019-02-26T15:07:02.24" personId="{51F1A2BF-5699-4337-B875-D53DBF6DE656}" id="{92F93B64-5FA1-4E67-A2BC-3BCCB5FFD2C4}">
    <text>Celina</text>
  </threadedComment>
  <threadedComment ref="AI23" dT="2019-02-26T15:07:16.45" personId="{51F1A2BF-5699-4337-B875-D53DBF6DE656}" id="{B7BBC7AE-7AAB-4E0C-BF45-2A7FE8CB16AD}">
    <text>Celina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CEA1FD89-1504-4013-9A33-6737BFA3FA3D}">
    <text>Auf eine gesonderte Darstellung der Potenziale für den Industriesektor wird verzichtet, da diese aus Buber et al. (2013) übernommen wurden und bereits dort aufgeführt werden.</text>
  </threadedComment>
  <threadedComment ref="S2" dT="2019-03-16T16:50:06.91" personId="{51F1A2BF-5699-4337-B875-D53DBF6DE656}" id="{6B249502-2D9A-4EDD-8F0D-E18FF7151946}">
    <text>Minimalwert: 4.000</text>
  </threadedComment>
  <threadedComment ref="S3" dT="2019-03-16T16:50:19.38" personId="{51F1A2BF-5699-4337-B875-D53DBF6DE656}" id="{850613CD-B1FE-4F8E-8640-7E0785E01F2C}">
    <text>Minimalwert: 4.100</text>
  </threadedComment>
  <threadedComment ref="S4" dT="2019-03-16T16:50:19.38" personId="{51F1A2BF-5699-4337-B875-D53DBF6DE656}" id="{8BD9C0A2-F337-46DB-A0A0-CF75DD1BB350}">
    <text>Minimalwert: 4.100</text>
  </threadedComment>
  <threadedComment ref="S5" dT="2019-03-16T16:58:45.21" personId="{51F1A2BF-5699-4337-B875-D53DBF6DE656}" id="{D0277F0E-3D3A-430B-809F-33E385404677}">
    <text>Minimalwert: 1.600</text>
  </threadedComment>
  <threadedComment ref="S6" dT="2019-03-16T16:58:52.03" personId="{51F1A2BF-5699-4337-B875-D53DBF6DE656}" id="{0A684F61-118C-4186-A8F0-E2DFB54825EC}">
    <text>Minimalwert: 1.640</text>
  </threadedComment>
  <threadedComment ref="S7" dT="2019-03-16T16:58:58.59" personId="{51F1A2BF-5699-4337-B875-D53DBF6DE656}" id="{F6F526D0-02EC-4667-B09D-E24EBE07B009}">
    <text>Minimalwert: 1.640</text>
  </threadedComment>
  <threadedComment ref="Q8" dT="2019-03-16T17:05:49.55" personId="{51F1A2BF-5699-4337-B875-D53DBF6DE656}" id="{4D5655EB-FF18-4EC9-949A-2D704DB1B644}">
    <text>abgestellt auf Maximalwerte</text>
  </threadedComment>
  <threadedComment ref="S8" dT="2019-03-16T17:06:28.33" personId="{51F1A2BF-5699-4337-B875-D53DBF6DE656}" id="{62EEDFFD-23DF-4882-9CC7-C48796C7089A}">
    <text>Minimalwert: 32.000</text>
  </threadedComment>
  <threadedComment ref="S9" dT="2019-03-16T17:06:37.63" personId="{51F1A2BF-5699-4337-B875-D53DBF6DE656}" id="{3F765E9F-E4AB-4FF5-A6AF-217158F779A9}">
    <text>Minimalwert: 16.400</text>
  </threadedComment>
  <threadedComment ref="S10" dT="2019-03-16T17:06:46.54" personId="{51F1A2BF-5699-4337-B875-D53DBF6DE656}" id="{76070A1F-64E7-454A-B26A-1A465FB2F42E}">
    <text>Minimalwert: 10.250</text>
  </threadedComment>
  <threadedComment ref="S11" dT="2019-03-16T17:21:34.44" personId="{51F1A2BF-5699-4337-B875-D53DBF6DE656}" id="{67CE0A31-1EFA-4DB6-BB10-99D3C54C2789}">
    <text>Minimalwert: 3.400</text>
  </threadedComment>
  <threadedComment ref="S12" dT="2019-03-16T17:21:50.98" personId="{51F1A2BF-5699-4337-B875-D53DBF6DE656}" id="{7365EF40-3031-4C27-B82E-B138B7C9FD76}">
    <text>Minimalwert: 13.940</text>
  </threadedComment>
  <threadedComment ref="S13" dT="2019-03-16T17:22:01.44" personId="{51F1A2BF-5699-4337-B875-D53DBF6DE656}" id="{9396D2FB-4BE7-4226-8910-E1602C925784}">
    <text>Minimalwert: 27.880</text>
  </threadedComment>
  <threadedComment ref="S14" dT="2019-03-16T17:27:43.48" personId="{51F1A2BF-5699-4337-B875-D53DBF6DE656}" id="{A1EEE7B4-D4C7-4FA5-B43E-4DA83E132365}">
    <text>Minimalwert: 2.500</text>
  </threadedComment>
  <threadedComment ref="S15" dT="2019-03-16T17:27:51.61" personId="{51F1A2BF-5699-4337-B875-D53DBF6DE656}" id="{D448AF66-6203-440A-A0A6-5C6418C8B224}">
    <text>Minimalwert: 1.281</text>
  </threadedComment>
  <threadedComment ref="S16" dT="2019-03-16T17:28:01.89" personId="{51F1A2BF-5699-4337-B875-D53DBF6DE656}" id="{2D554695-7E68-47FA-9B37-3549FF2111A8}">
    <text>Minimalwert: 256</text>
  </threadedComment>
  <threadedComment ref="Q17" dT="2019-03-16T17:34:25.11" personId="{51F1A2BF-5699-4337-B875-D53DBF6DE656}" id="{4F464C07-F1BF-488E-B0A5-A1B6378BCF93}">
    <text>Minimalwert: 1.059 Vollbenutzungsstunden</text>
  </threadedComment>
  <threadedComment ref="S17" dT="2019-03-16T17:35:10.28" personId="{51F1A2BF-5699-4337-B875-D53DBF6DE656}" id="{E17887BC-E2F7-4415-AA9A-E619BA05D0CC}">
    <text>Minimalwert: 15.200</text>
  </threadedComment>
  <threadedComment ref="S18" dT="2019-03-16T17:35:18.61" personId="{51F1A2BF-5699-4337-B875-D53DBF6DE656}" id="{A412C09A-F9C0-4EA1-8446-9182E7838AEA}">
    <text>Minimalwert: 15.580</text>
  </threadedComment>
  <threadedComment ref="S19" dT="2019-03-16T17:35:26.72" personId="{51F1A2BF-5699-4337-B875-D53DBF6DE656}" id="{D05C0518-1169-4D08-B0B6-136BE90DA9E6}">
    <text>Minimalwert: 15.580</text>
  </threadedComment>
  <threadedComment ref="S20" dT="2019-03-16T17:53:59.94" personId="{51F1A2BF-5699-4337-B875-D53DBF6DE656}" id="{9DC8650D-8F7D-42A4-9044-9DBA02A3A53E}">
    <text>Minimalwert: 2.700</text>
  </threadedComment>
  <threadedComment ref="S21" dT="2019-03-16T17:54:06.95" personId="{51F1A2BF-5699-4337-B875-D53DBF6DE656}" id="{F484E73A-8782-4642-AFDC-2CA045D83D53}">
    <text>Minimalwert: 4.000</text>
  </threadedComment>
  <threadedComment ref="S22" dT="2019-03-16T17:54:20.10" personId="{51F1A2BF-5699-4337-B875-D53DBF6DE656}" id="{05E3FD7B-1E3A-41A3-B98B-C3175779CDDE}">
    <text>Minimalwert: 5.400</text>
  </threadedComment>
  <threadedComment ref="S23" dT="2019-03-16T18:03:36.09" personId="{51F1A2BF-5699-4337-B875-D53DBF6DE656}" id="{65B20F49-A09B-4A29-A272-9DF6DB951849}">
    <text>Minimalwert: 22.655</text>
  </threadedComment>
  <threadedComment ref="S24" dT="2019-03-16T18:03:48.65" personId="{51F1A2BF-5699-4337-B875-D53DBF6DE656}" id="{6A4833E7-379F-4F6F-B529-9AEF460D73D6}">
    <text>Minimalwert: 21.715</text>
  </threadedComment>
  <threadedComment ref="S25" dT="2019-03-16T18:03:58.08" personId="{51F1A2BF-5699-4337-B875-D53DBF6DE656}" id="{A64FC9A4-252E-48E0-A5C0-82B313044CEF}">
    <text>Minimalwert: 19.912</text>
  </threadedComment>
  <threadedComment ref="S26" dT="2019-03-16T18:09:44.59" personId="{51F1A2BF-5699-4337-B875-D53DBF6DE656}" id="{1E36F65A-3104-449C-B538-27CCCBFD7058}">
    <text>Minimalwert: 1.284</text>
  </threadedComment>
  <threadedComment ref="S27" dT="2019-03-16T18:09:44.59" personId="{51F1A2BF-5699-4337-B875-D53DBF6DE656}" id="{7887E1AE-11FC-4685-8429-533BC863B0DE}">
    <text>Minimalwert: 1.284</text>
  </threadedComment>
  <threadedComment ref="S28" dT="2019-03-16T18:09:44.59" personId="{51F1A2BF-5699-4337-B875-D53DBF6DE656}" id="{065B56C8-126F-4D8B-8A20-5628D12CE25B}">
    <text>Minimalwert: 1.284</text>
  </threadedComment>
  <threadedComment ref="S29" dT="2019-03-16T18:13:13.06" personId="{51F1A2BF-5699-4337-B875-D53DBF6DE656}" id="{B04231C8-34AD-4FA5-8EFF-E03BBF0E30AD}">
    <text>Minimalwert: 2.945</text>
  </threadedComment>
  <threadedComment ref="S30" dT="2019-03-16T18:13:13.06" personId="{51F1A2BF-5699-4337-B875-D53DBF6DE656}" id="{5EE1D81D-5AE0-40C7-8A96-605C6F7E1C5A}">
    <text>Minimalwert: 2.945</text>
  </threadedComment>
  <threadedComment ref="S31" dT="2019-03-16T18:13:13.06" personId="{51F1A2BF-5699-4337-B875-D53DBF6DE656}" id="{A553FF40-6F33-47C3-815C-71061EDE08FD}">
    <text>Minimalwert: 2.945</text>
  </threadedComment>
  <threadedComment ref="S32" dT="2019-03-16T18:18:33.73" personId="{51F1A2BF-5699-4337-B875-D53DBF6DE656}" id="{FDA1B1E1-C358-4B3D-AE39-F253E9070D39}">
    <text>Minimalwert: 10.781</text>
  </threadedComment>
  <threadedComment ref="S33" dT="2019-03-16T18:18:33.73" personId="{51F1A2BF-5699-4337-B875-D53DBF6DE656}" id="{E1B032F5-B370-4C21-82B3-C7730E626F97}">
    <text>Minimalwert: 10.781</text>
  </threadedComment>
  <threadedComment ref="S34" dT="2019-03-16T18:18:33.73" personId="{51F1A2BF-5699-4337-B875-D53DBF6DE656}" id="{58A425E6-C3F3-4796-90AE-C9A8C7F62F54}">
    <text>Minimalwert: 10.781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8" dT="2019-03-21T17:31:30.60" personId="{51F1A2BF-5699-4337-B875-D53DBF6DE656}" id="{CC38F092-F1EC-400D-82EF-62FABF45AD3E}">
    <text>+GHD</text>
  </threadedComment>
  <threadedComment ref="B9" dT="2019-03-21T17:31:30.60" personId="{51F1A2BF-5699-4337-B875-D53DBF6DE656}" id="{D0D10A1D-037F-4330-BFA1-4239240AD855}">
    <text>+GHD</text>
  </threadedComment>
  <threadedComment ref="B10" dT="2019-03-21T17:31:30.60" personId="{51F1A2BF-5699-4337-B875-D53DBF6DE656}" id="{91878450-2B39-4430-9195-0F80744AEB00}">
    <text>+GHD</text>
  </threadedComment>
  <threadedComment ref="B11" dT="2019-03-21T17:31:30.60" personId="{51F1A2BF-5699-4337-B875-D53DBF6DE656}" id="{BBF38ADF-868E-4ABE-8150-31325C33D55D}">
    <text>+GHD</text>
  </threadedComment>
  <threadedComment ref="B12" dT="2019-03-21T17:31:30.60" personId="{51F1A2BF-5699-4337-B875-D53DBF6DE656}" id="{76F768A2-5825-4AFC-BF79-3D2BC6222FE5}">
    <text>+GHD</text>
  </threadedComment>
  <threadedComment ref="B13" dT="2019-03-21T17:31:30.60" personId="{51F1A2BF-5699-4337-B875-D53DBF6DE656}" id="{FD4C7762-1275-4156-A48B-82ABD30985BD}">
    <text>+GHD</text>
  </threadedComment>
  <threadedComment ref="B14" dT="2019-03-21T17:31:30.60" personId="{51F1A2BF-5699-4337-B875-D53DBF6DE656}" id="{D1BC916A-07F8-41CB-A895-E76FBF945AC4}">
    <text>+GHD</text>
  </threadedComment>
  <threadedComment ref="B15" dT="2019-03-21T17:31:30.60" personId="{51F1A2BF-5699-4337-B875-D53DBF6DE656}" id="{FACA42EA-474B-433F-AA8F-9C011F8E42A9}">
    <text>+GHD</text>
  </threadedComment>
  <threadedComment ref="B16" dT="2019-03-21T17:31:30.60" personId="{51F1A2BF-5699-4337-B875-D53DBF6DE656}" id="{3EDC4EFD-A5EC-4108-B1F8-BA3890ECF5A7}">
    <text>+GHD</text>
  </threadedComment>
  <threadedComment ref="B17" dT="2019-03-21T17:31:30.60" personId="{51F1A2BF-5699-4337-B875-D53DBF6DE656}" id="{8BCBF14E-E2DF-4C85-A606-F28153B3011E}">
    <text>+GHD</text>
  </threadedComment>
  <threadedComment ref="B18" dT="2019-03-21T17:31:30.60" personId="{51F1A2BF-5699-4337-B875-D53DBF6DE656}" id="{F81394D2-84E1-4177-947D-3EB42DC4875F}">
    <text>+GHD</text>
  </threadedComment>
  <threadedComment ref="B19" dT="2019-03-21T17:31:30.60" personId="{51F1A2BF-5699-4337-B875-D53DBF6DE656}" id="{4BB0AD5F-61E4-4D1E-A14C-0326526EE034}">
    <text>+GHD</text>
  </threadedComment>
  <threadedComment ref="B20" dT="2019-03-21T17:31:30.60" personId="{51F1A2BF-5699-4337-B875-D53DBF6DE656}" id="{6AEB550C-C2B9-4E81-A815-2913C0C3F5CE}">
    <text>+GHD</text>
  </threadedComment>
  <threadedComment ref="B21" dT="2019-03-21T17:31:30.60" personId="{51F1A2BF-5699-4337-B875-D53DBF6DE656}" id="{25C4E9D5-71E4-49A2-8CF7-35E1A942A6F8}">
    <text>+GHD</text>
  </threadedComment>
  <threadedComment ref="B22" dT="2019-03-21T17:31:30.60" personId="{51F1A2BF-5699-4337-B875-D53DBF6DE656}" id="{A656CD98-4594-4065-B7D3-4278699E57A4}">
    <text>+GHD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7B5332E6-8577-4F18-8BAB-CF0399BB62AB}">
    <text>Waschmaschin, Spülmaschine, Trockner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BA910BFF-6BA7-4440-85D8-3F38862DF00B}">
    <text>Waschmaschin, Spülmaschine, Trockner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A34" dT="2019-02-16T12:37:56.21" personId="{51F1A2BF-5699-4337-B875-D53DBF6DE656}" id="{C0BAED97-AB2D-413D-AD6B-149E9186FC44}">
    <text>Waschmaschin, Spülmaschine, Trockner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B1" dT="2020-01-13T10:14:22.99" personId="{71FC54F3-5E8D-460B-9FCF-F7AD63FF6B98}" id="{71F5162E-A185-4405-AC55-1222C05701A0}">
    <text>Siehe matplotlib documentation: https://matplotlib.org/3.1.0/gallery/color/named_colors.html</text>
  </threadedComment>
  <threadedComment ref="A33" dT="2019-02-16T12:37:56.21" personId="{51F1A2BF-5699-4337-B875-D53DBF6DE656}" id="{491EB1E2-BDE1-4324-922D-DB218AFA07E8}">
    <text>Waschmaschine, Spülmaschine, Trockner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2" dT="2020-01-20T16:10:25.41" personId="{71FC54F3-5E8D-460B-9FCF-F7AD63FF6B98}" id="{3343CC46-B642-4711-A37F-E30B4CDAEDE6}">
    <text>offenbar Datenfehler</text>
  </threadedComment>
  <threadedComment ref="Z2" dT="2020-01-20T16:10:25.41" personId="{71FC54F3-5E8D-460B-9FCF-F7AD63FF6B98}" id="{20888235-6E85-4BB8-AC3B-827139F075CA}">
    <text>offenbar Datenfehler</text>
  </threadedComment>
  <threadedComment ref="A4" dT="2020-01-04T15:35:56.09" personId="{71FC54F3-5E8D-460B-9FCF-F7AD63FF6B98}" id="{6AC0FD0F-BD60-4635-9AFD-295774DE7423}">
    <text>Zell- und Holzstoffherstellung (S. 5)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7" dT="2019-02-26T14:32:14.13" personId="{51F1A2BF-5699-4337-B875-D53DBF6DE656}" id="{5185CF36-782A-4B45-9DD3-14EE3199423D}">
    <text>Werte Celina; kritisch prüfen!</text>
  </threadedComment>
  <threadedComment ref="Y7" dT="2019-02-26T15:02:00.31" personId="{51F1A2BF-5699-4337-B875-D53DBF6DE656}" id="{A4D23BA3-8718-43B5-9741-2BD3224DF571}">
    <text>kurze Pausen (Celina)</text>
  </threadedComment>
  <threadedComment ref="W10" dT="2019-02-26T15:06:06.21" personId="{51F1A2BF-5699-4337-B875-D53DBF6DE656}" id="{053F4F42-AE94-44F3-9BC8-C50A19A6E3EB}">
    <text>Celina</text>
  </threadedComment>
  <threadedComment ref="AE11" dT="2019-02-26T15:02:17.88" personId="{51F1A2BF-5699-4337-B875-D53DBF6DE656}" id="{212E9F89-28EA-4E48-97B1-015E2B1D4CB8}">
    <text>nur vorziehbar (Celina)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2" dT="2019-09-16T16:35:14.44" personId="{71FC54F3-5E8D-460B-9FCF-F7AD63FF6B98}" id="{81887FEC-DDC5-418E-9BB2-3F6F3CB6CB16}">
    <text>nicht explizit angegeben, aber implizit ableitbar</text>
  </threadedComment>
  <threadedComment ref="AV2" dT="2019-09-17T06:09:24.81" personId="{71FC54F3-5E8D-460B-9FCF-F7AD63FF6B98}" id="{D04B2933-B873-48C3-893E-4CF2A541F51A}">
    <text>Aktivierungskosten I: Personalkosten umgelegt auf Aktivierungen</text>
  </threadedComment>
  <threadedComment ref="AW2" dT="2019-09-17T06:09:44.02" personId="{71FC54F3-5E8D-460B-9FCF-F7AD63FF6B98}" id="{9ADCAFC6-26CA-43E4-9ED5-1FFE2003EF8D}">
    <text>Aktivierungskosten II: VOLL</text>
  </threadedComment>
  <threadedComment ref="D3" dT="2019-09-16T16:35:14.44" personId="{71FC54F3-5E8D-460B-9FCF-F7AD63FF6B98}" id="{FB37EDFD-0A01-421E-AC89-ED380B2B59DD}">
    <text>nicht explizit angegeben, aber implizit ableitbar</text>
  </threadedComment>
  <threadedComment ref="D4" dT="2019-09-16T16:35:14.44" personId="{71FC54F3-5E8D-460B-9FCF-F7AD63FF6B98}" id="{FE324868-3EED-419B-854F-53AB56A9F95A}">
    <text>nicht explizit angegeben, aber implizit ableitbar</text>
  </threadedComment>
  <threadedComment ref="G4" dT="2019-09-14T15:18:04.15" personId="{71FC54F3-5E8D-460B-9FCF-F7AD63FF6B98}" id="{F82E82CF-082C-4DBE-8805-BAF21B1C1F2B}">
    <text>2007</text>
  </threadedComment>
  <threadedComment ref="S4" dT="2019-09-14T15:22:10.07" personId="{71FC54F3-5E8D-460B-9FCF-F7AD63FF6B98}" id="{D7206562-633D-4495-AC3F-CAFAA2D72D6D}">
    <text>+/- 10 %</text>
  </threadedComment>
  <threadedComment ref="AV4" dT="2019-09-17T06:09:21.95" personId="{71FC54F3-5E8D-460B-9FCF-F7AD63FF6B98}" id="{F0057087-7EC1-4BE9-959D-15A7A4FFF81C}">
    <text>Aktivierungskosten I: Personalkosten umgelegt auf Aktivierungen</text>
  </threadedComment>
  <threadedComment ref="AW4" dT="2019-09-17T06:09:40.86" personId="{71FC54F3-5E8D-460B-9FCF-F7AD63FF6B98}" id="{644BBC7F-A37D-404E-93E0-421C4E06DB1B}">
    <text>Aktivierungskosten II: VOLL</text>
  </threadedComment>
  <threadedComment ref="D5" dT="2019-09-16T16:35:14.44" personId="{71FC54F3-5E8D-460B-9FCF-F7AD63FF6B98}" id="{E9F9D5A6-706A-4C60-9A9D-3E04F013C22C}">
    <text>nicht explizit angegeben, aber implizit ableitbar</text>
  </threadedComment>
  <threadedComment ref="D6" dT="2019-09-16T16:35:14.44" personId="{71FC54F3-5E8D-460B-9FCF-F7AD63FF6B98}" id="{F100EA9D-87E1-4261-BB6B-BBDC71DAE940}">
    <text>nicht explizit angegeben, aber implizit ableitbar</text>
  </threadedComment>
  <threadedComment ref="D7" dT="2019-09-16T16:35:14.44" personId="{71FC54F3-5E8D-460B-9FCF-F7AD63FF6B98}" id="{4DDF85CE-5F56-44FC-8504-04DF55CA0E23}">
    <text>nicht explizit angegeben, aber implizit ableitbar</text>
  </threadedComment>
  <threadedComment ref="A8" dT="2019-09-14T15:32:42.73" personId="{71FC54F3-5E8D-460B-9FCF-F7AD63FF6B98}" id="{4AA08DEE-9468-403B-84DA-B4E71848E299}">
    <text>Recycling-Industrie; Fallbeispiele für Hochrechnung: n = 2</text>
  </threadedComment>
  <threadedComment ref="D8" dT="2019-09-16T16:35:14.44" personId="{71FC54F3-5E8D-460B-9FCF-F7AD63FF6B98}" id="{36768E8C-A75E-49FD-8134-A67AE851F97E}">
    <text>nicht explizit angegeben, aber implizit ableitbar</text>
  </threadedComment>
  <threadedComment ref="AV8" dT="2019-09-17T06:09:18.97" personId="{71FC54F3-5E8D-460B-9FCF-F7AD63FF6B98}" id="{3D5AFC60-A394-4B3E-AAC1-A09B896092DE}">
    <text>Aktivierungskosten I: Personalkosten umgelegt auf Aktivierungen</text>
  </threadedComment>
  <threadedComment ref="AW8" dT="2019-09-17T06:09:38.14" personId="{71FC54F3-5E8D-460B-9FCF-F7AD63FF6B98}" id="{0A570BFA-02B9-4ECB-8F92-F7D854791896}">
    <text>Aktivierungskosten II: VOLL</text>
  </threadedComment>
  <threadedComment ref="D9" dT="2019-09-16T16:35:14.44" personId="{71FC54F3-5E8D-460B-9FCF-F7AD63FF6B98}" id="{FC2F993C-CA62-4147-9590-95D9B07BE144}">
    <text>nicht explizit angegeben, aber implizit ableitbar</text>
  </threadedComment>
  <threadedComment ref="D10" dT="2019-09-16T16:35:14.44" personId="{71FC54F3-5E8D-460B-9FCF-F7AD63FF6B98}" id="{E0016CF1-9A91-49E1-BE01-2C1FD7FB5B6A}">
    <text>nicht explizit angegeben, aber implizit ableitbar</text>
  </threadedComment>
  <threadedComment ref="O10" dT="2019-02-26T13:17:08.34" personId="{51F1A2BF-5699-4337-B875-D53DBF6DE656}" id="{15A83F11-EDF5-4903-BD8F-68E05957AB4C}">
    <text>Lara</text>
  </threadedComment>
  <threadedComment ref="D11" dT="2019-09-16T16:35:14.44" personId="{71FC54F3-5E8D-460B-9FCF-F7AD63FF6B98}" id="{791838BC-5F30-4E94-9AF3-E8F90DF06043}">
    <text>nicht explizit angegeben, aber implizit ableitbar</text>
  </threadedComment>
  <threadedComment ref="D12" dT="2019-09-16T16:35:14.44" personId="{71FC54F3-5E8D-460B-9FCF-F7AD63FF6B98}" id="{B40DEBB1-8615-4C86-92DD-797A31200019}">
    <text>nicht explizit angegeben, aber implizit ableitbar</text>
  </threadedComment>
  <threadedComment ref="D13" dT="2019-09-16T16:35:14.44" personId="{71FC54F3-5E8D-460B-9FCF-F7AD63FF6B98}" id="{CA537709-0A0D-4EE4-ACD0-D67FCF091BC8}">
    <text>nicht explizit angegeben, aber implizit ableitbar</text>
  </threadedComment>
  <threadedComment ref="D14" dT="2019-09-16T16:35:14.44" personId="{71FC54F3-5E8D-460B-9FCF-F7AD63FF6B98}" id="{7B251C24-7CC9-4873-AE68-55B6104A52E0}">
    <text>nicht explizit angegeben, aber implizit ableitbar</text>
  </threadedComment>
  <threadedComment ref="A15" dT="2020-01-09T13:06:43.01" personId="{71FC54F3-5E8D-460B-9FCF-F7AD63FF6B98}" id="{F8DE9911-E9D2-45CD-8938-AE9884848014}">
    <text>Fallbeispiele für Hochrechnung: n = 2</text>
  </threadedComment>
  <threadedComment ref="D15" dT="2019-09-16T16:35:14.44" personId="{71FC54F3-5E8D-460B-9FCF-F7AD63FF6B98}" id="{5976597A-677B-44BF-BDFB-FD92873DE3B1}">
    <text>nicht explizit angegeben, aber implizit ableitbar</text>
  </threadedComment>
  <threadedComment ref="AV15" dT="2019-09-17T06:09:15.70" personId="{71FC54F3-5E8D-460B-9FCF-F7AD63FF6B98}" id="{4AC5E621-505E-479E-AA32-6F1A1A42009C}">
    <text>Aktivierungskosten I: Personalkosten umgelegt auf Aktivierungen</text>
  </threadedComment>
  <threadedComment ref="AW15" dT="2019-09-17T06:09:35.13" personId="{71FC54F3-5E8D-460B-9FCF-F7AD63FF6B98}" id="{1A23B923-CBAC-458C-A07D-8B06BD7F8E81}">
    <text>Aktivierungskosten II: VOLL</text>
  </threadedComment>
  <threadedComment ref="A16" dT="2019-09-14T14:55:12.15" personId="{71FC54F3-5E8D-460B-9FCF-F7AD63FF6B98}" id="{DA5059DB-65DB-4A6E-B76B-91AFF9180B3B}">
    <text>Beleuchtung im Gartenbau; Fallbeispiele für Hochrechnung: n = 2</text>
  </threadedComment>
  <threadedComment ref="D16" dT="2019-09-16T16:35:14.44" personId="{71FC54F3-5E8D-460B-9FCF-F7AD63FF6B98}" id="{06F80E9A-F362-4962-8FA4-F3A2611228F9}">
    <text>nicht explizit angegeben, aber implizit ableitbar</text>
  </threadedComment>
  <threadedComment ref="AM16" dT="2019-09-16T14:30:38.51" personId="{71FC54F3-5E8D-460B-9FCF-F7AD63FF6B98}" id="{AF96A984-A1A3-4DEC-B3E0-A889205CBEDC}">
    <text>mehrere Tage...; Annahme für Fallbeispiel bei 2 Tagen</text>
  </threadedComment>
  <threadedComment ref="AP16" dT="2019-09-16T14:29:05.18" personId="{71FC54F3-5E8D-460B-9FCF-F7AD63FF6B98}" id="{1583A8C4-936D-400B-9362-7012ABE1D904}">
    <text>Erfolgt tatsächlich nachts eine Beleuchtung?! Ist dies nicht schädlich für Pflanzen?</text>
  </threadedComment>
  <threadedComment ref="AQ16" dT="2019-09-16T14:35:30.19" personId="{71FC54F3-5E8D-460B-9FCF-F7AD63FF6B98}" id="{38A6B47D-4738-4615-B4B0-4E4E5E45377F}">
    <text>innerhalb von 2 Tagen einmal schaltbar</text>
  </threadedComment>
  <threadedComment ref="A17" dT="2020-01-09T13:07:14.77" personId="{71FC54F3-5E8D-460B-9FCF-F7AD63FF6B98}" id="{CF070B4E-C835-4898-A896-A2839AE9D649}">
    <text>Fallbeispiele für Hochrechnung: n = 4</text>
  </threadedComment>
  <threadedComment ref="D17" dT="2019-09-16T16:35:14.44" personId="{71FC54F3-5E8D-460B-9FCF-F7AD63FF6B98}" id="{25D6FDD9-C8BB-4509-95E5-15E6B95AA34E}">
    <text>nicht explizit angegeben, aber implizit ableitbar</text>
  </threadedComment>
  <threadedComment ref="AV17" dT="2019-09-16T16:31:44.69" personId="{71FC54F3-5E8D-460B-9FCF-F7AD63FF6B98}" id="{C53ED492-2D6C-4728-BE2D-4CB41A0F6BC9}">
    <text>Aktivierungskosten I: Personalkosten umgelegt auf Aktivierungen</text>
  </threadedComment>
  <threadedComment ref="AW17" dT="2019-09-16T16:31:53.32" personId="{71FC54F3-5E8D-460B-9FCF-F7AD63FF6B98}" id="{3BADFFF8-34F5-4370-AD2F-D0F826B17644}">
    <text>Aktivierungskosten II: VOLL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F1" dT="2019-03-19T12:15:26.05" personId="{51F1A2BF-5699-4337-B875-D53DBF6DE656}" id="{87FAC640-56F2-4033-B588-A566BBE1139A}">
    <text>Wirkungsgrad sinkt mit Länge der Aktivierung.</text>
  </threadedComment>
  <threadedComment ref="U6" dT="2019-02-26T16:44:51.26" personId="{51F1A2BF-5699-4337-B875-D53DBF6DE656}" id="{085364D3-7CFF-4717-BDBF-43D2A01089E4}">
    <text>arithmetisches Mittel über Stromverbrauchsanteile von Membran- und Amalgamverfahren</text>
  </threadedComment>
  <threadedComment ref="W6" dT="2019-02-26T16:44:51.26" personId="{51F1A2BF-5699-4337-B875-D53DBF6DE656}" id="{085364D3-7CFF-4718-BDBF-43D2A01089E4}">
    <text>arithmetisches Mittel über Stromverbrauchsanteile von Membran- und Amalgamverfahren</text>
  </threadedComment>
  <threadedComment ref="A50" dT="2019-02-26T12:47:49.52" personId="{51F1A2BF-5699-4337-B875-D53DBF6DE656}" id="{B30C8BE7-5968-4CCF-8BB9-2A12F4B801C3}">
    <text>Samira: Belüftung und Klimatisierung</text>
  </threadedComment>
  <threadedComment ref="BE50" dT="2019-03-19T12:29:22.53" personId="{51F1A2BF-5699-4337-B875-D53DBF6DE656}" id="{19CD1575-8317-4227-B5F4-DA834BE63447}">
    <text>3 %</text>
  </threadedComment>
  <threadedComment ref="BE90" dT="2019-03-19T12:24:54.03" personId="{51F1A2BF-5699-4337-B875-D53DBF6DE656}" id="{1BFB4C6D-6867-441C-9189-60A9B5366CBE}">
    <text>3 %</text>
  </threadedComment>
  <threadedComment ref="M91" dT="2019-02-26T14:12:28.62" personId="{51F1A2BF-5699-4337-B875-D53DBF6DE656}" id="{B4E0E783-EC0A-4D10-B330-1010A79C5B13}">
    <text>Überprüfen; Werte Celina</text>
  </threadedComment>
  <threadedComment ref="AR98" dT="2019-02-26T15:12:28.72" personId="{51F1A2BF-5699-4337-B875-D53DBF6DE656}" id="{26B66002-3AD0-41BF-866F-17FFE4839BB6}">
    <text>Celina</text>
  </threadedComment>
  <threadedComment ref="AR99" dT="2019-02-26T15:12:28.72" personId="{51F1A2BF-5699-4337-B875-D53DBF6DE656}" id="{26B66002-3AD0-41C0-866F-17FFE4839BB6}">
    <text>Celina</text>
  </threadedComment>
  <threadedComment ref="AR100" dT="2019-02-26T15:12:28.72" personId="{51F1A2BF-5699-4337-B875-D53DBF6DE656}" id="{26B66002-3AD0-41C1-866F-17FFE4839BB6}">
    <text>Celina</text>
  </threadedComment>
  <threadedComment ref="AR101" dT="2019-02-26T15:12:28.72" personId="{51F1A2BF-5699-4337-B875-D53DBF6DE656}" id="{26B66002-3AD0-41C2-866F-17FFE4839BB6}">
    <text>Celina</text>
  </threadedComment>
  <threadedComment ref="AR102" dT="2019-02-26T15:12:28.72" personId="{51F1A2BF-5699-4337-B875-D53DBF6DE656}" id="{26B66002-3AD0-41C3-866F-17FFE4839BB6}">
    <text>Celina</text>
  </threadedComment>
  <threadedComment ref="AR103" dT="2019-02-26T15:12:28.72" personId="{51F1A2BF-5699-4337-B875-D53DBF6DE656}" id="{26B66002-3AD0-41C4-866F-17FFE4839BB6}">
    <text>Celina</text>
  </threadedComment>
  <threadedComment ref="AR104" dT="2019-02-26T15:12:28.72" personId="{51F1A2BF-5699-4337-B875-D53DBF6DE656}" id="{26B66002-3AD0-41C5-866F-17FFE4839BB6}">
    <text>Celina</text>
  </threadedComment>
  <threadedComment ref="AR105" dT="2019-02-26T15:12:28.72" personId="{51F1A2BF-5699-4337-B875-D53DBF6DE656}" id="{26B66002-3AD0-41C6-866F-17FFE4839BB6}">
    <text>Celina</text>
  </threadedComment>
  <threadedComment ref="AR106" dT="2019-02-26T15:12:28.72" personId="{51F1A2BF-5699-4337-B875-D53DBF6DE656}" id="{26B66002-3AD0-41C7-866F-17FFE4839BB6}">
    <text>Celina</text>
  </threadedComment>
  <threadedComment ref="AR107" dT="2019-02-26T15:12:28.72" personId="{51F1A2BF-5699-4337-B875-D53DBF6DE656}" id="{26B66002-3AD0-41C8-866F-17FFE4839BB6}">
    <text>Celina</text>
  </threadedComment>
  <threadedComment ref="AR108" dT="2019-02-26T15:12:28.72" personId="{51F1A2BF-5699-4337-B875-D53DBF6DE656}" id="{26B66002-3AD0-41C9-866F-17FFE4839BB6}">
    <text>Celina</text>
  </threadedComment>
  <threadedComment ref="AR109" dT="2019-02-26T15:12:28.72" personId="{51F1A2BF-5699-4337-B875-D53DBF6DE656}" id="{26B66002-3AD0-41CA-866F-17FFE4839BB6}">
    <text>Celina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1" dT="2020-01-20T18:14:11.79" personId="{71FC54F3-5E8D-460B-9FCF-F7AD63FF6B98}" id="{885E4A94-FB6A-41DE-B30D-9B9547517552}">
    <text>Werte scheinen unplausibel; ggf. andere Interpretation des flexiblen Anteils / Anteils an den Energiemärkten</text>
  </threadedComment>
  <threadedComment ref="B20" dT="2019-09-21T15:15:49.18" personId="{71FC54F3-5E8D-460B-9FCF-F7AD63FF6B98}" id="{67001094-AC4E-4496-B794-54322D685FA1}">
    <text>und Haushalte!</text>
  </threadedComment>
  <threadedComment ref="B21" dT="2019-09-21T15:15:49.18" personId="{71FC54F3-5E8D-460B-9FCF-F7AD63FF6B98}" id="{A523BF2E-E4AA-407F-9BB4-C51E938A9162}">
    <text>und Haushalte!</text>
  </threadedComment>
  <threadedComment ref="A22" dT="2019-09-21T15:15:28.31" personId="{71FC54F3-5E8D-460B-9FCF-F7AD63FF6B98}" id="{D1269D35-AE27-4571-AEE7-DE054EEEB92E}">
    <text>Gesamtheit aller Industrieprozesse</text>
  </threadedComment>
  <threadedComment ref="A23" dT="2019-09-21T15:15:28.31" personId="{71FC54F3-5E8D-460B-9FCF-F7AD63FF6B98}" id="{E31ADA97-82D8-4606-96A3-FC11B193DD12}">
    <text>Gesamtheit aller Industrieprozesse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19-03-16T18:27:10.30" personId="{51F1A2BF-5699-4337-B875-D53DBF6DE656}" id="{253CB2AB-FA7A-47C9-ACB8-E01B36106653}">
    <text>Auf eine gesonderte Darstellung der Potenziale für den Industriesektor wird verzichtet, da diese aus Buber et al. (2013) übernommen wurden und bereits dort aufgeführt werden.</text>
  </threadedComment>
  <threadedComment ref="J1" dT="2020-01-20T18:13:06.50" personId="{71FC54F3-5E8D-460B-9FCF-F7AD63FF6B98}" id="{3E208A53-E842-47B0-B1A6-BEBA4D3AEF51}">
    <text>keine Spezifizierung, daher Annahme, dass durchschnittliche Potenziale ausgewiesen</text>
  </threadedComment>
  <threadedComment ref="N1" dT="2020-01-20T18:13:25.08" personId="{71FC54F3-5E8D-460B-9FCF-F7AD63FF6B98}" id="{2A946C5C-A7E6-462B-87B4-BE6F256A9450}">
    <text>keine Spezifizierung, daher Annahme, dass durchschnittliche Werte ausgewiesen</text>
  </threadedComment>
  <threadedComment ref="AQ1" dT="2019-09-21T16:48:41.86" personId="{71FC54F3-5E8D-460B-9FCF-F7AD63FF6B98}" id="{8EE90534-19EF-4D64-A5D1-75257E336028}">
    <text>exklusive Stromkosten!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Z2" dT="2019-03-23T14:59:42.31" personId="{51F1A2BF-5699-4337-B875-D53DBF6DE656}" id="{CB5E755F-AF9C-4DAA-9177-59F730B36FD1}">
    <text>Schaltdauer innerhalb von 15 Minuten für alle Prozesse möglich</text>
  </threadedComment>
  <threadedComment ref="AT2" dT="2019-03-23T15:56:51.02" personId="{51F1A2BF-5699-4337-B875-D53DBF6DE656}" id="{69437706-E979-4FB6-BB3C-EB2D9ECD0FB7}">
    <text>variable Kosten resultierend aus Wirkungsgradeinbußen</text>
  </threadedComment>
  <threadedComment ref="Z3" dT="2019-03-23T14:59:42.31" personId="{51F1A2BF-5699-4337-B875-D53DBF6DE656}" id="{6409B205-9A19-4EA8-AA61-EEC3CEA4C07F}">
    <text>Schaltdauer innerhalb von 15 Minuten für alle Prozesse möglich</text>
  </threadedComment>
  <threadedComment ref="Z4" dT="2019-03-23T14:59:42.31" personId="{51F1A2BF-5699-4337-B875-D53DBF6DE656}" id="{8FCA4682-7310-41E2-8636-94041655F8C4}">
    <text>Schaltdauer innerhalb von 15 Minuten für alle Prozesse möglich</text>
  </threadedComment>
  <threadedComment ref="Z5" dT="2019-03-23T14:59:42.31" personId="{51F1A2BF-5699-4337-B875-D53DBF6DE656}" id="{05F84056-7F2F-493B-8AA6-0B3215129AC6}">
    <text>Schaltdauer innerhalb von 15 Minuten für alle Prozesse möglich</text>
  </threadedComment>
  <threadedComment ref="Z6" dT="2019-03-23T14:59:42.31" personId="{51F1A2BF-5699-4337-B875-D53DBF6DE656}" id="{B6A389C3-BBD2-45B5-99DD-F7078C62EC11}">
    <text>Schaltdauer innerhalb von 15 Minuten für alle Prozesse möglich</text>
  </threadedComment>
  <threadedComment ref="AU6" dT="2019-03-23T15:56:51.02" personId="{51F1A2BF-5699-4337-B875-D53DBF6DE656}" id="{5F4ED064-43D6-404E-BE2A-73994E7F6479}">
    <text>variable Kosten resultierend aus Wirkungsgradeinbußen; nur für den Abruf negativer Leistung</text>
  </threadedComment>
  <threadedComment ref="Z7" dT="2019-03-23T14:59:42.31" personId="{51F1A2BF-5699-4337-B875-D53DBF6DE656}" id="{0696EF0F-FE16-49F6-AEF7-25BC6EBFC74D}">
    <text>Schaltdauer innerhalb von 15 Minuten für alle Prozesse möglich</text>
  </threadedComment>
  <threadedComment ref="Z8" dT="2019-03-23T14:59:42.31" personId="{51F1A2BF-5699-4337-B875-D53DBF6DE656}" id="{9A0DEA94-BB06-49EB-997C-F207749CC8FE}">
    <text>Schaltdauer innerhalb von 15 Minuten für alle Prozesse möglich</text>
  </threadedComment>
  <threadedComment ref="Z9" dT="2019-03-23T14:59:42.31" personId="{51F1A2BF-5699-4337-B875-D53DBF6DE656}" id="{E1A9EB2E-AE2E-4835-B6B9-C81B71FF638C}">
    <text>Schaltdauer innerhalb von 15 Minuten für alle Prozesse möglich</text>
  </threadedComment>
  <threadedComment ref="Z10" dT="2019-03-23T14:59:42.31" personId="{51F1A2BF-5699-4337-B875-D53DBF6DE656}" id="{14F7FD4E-E6C0-4467-8D55-6EC233EBA815}">
    <text>Schaltdauer innerhalb von 15 Minuten für alle Prozesse möglich</text>
  </threadedComment>
  <threadedComment ref="Z11" dT="2019-03-23T14:59:42.31" personId="{51F1A2BF-5699-4337-B875-D53DBF6DE656}" id="{51A1D957-53C7-405E-8C16-11C79DBBBC27}">
    <text>Schaltdauer innerhalb von 15 Minuten für alle Prozesse möglich</text>
  </threadedComment>
  <threadedComment ref="Z12" dT="2019-03-23T14:59:42.31" personId="{51F1A2BF-5699-4337-B875-D53DBF6DE656}" id="{BA41DB57-77BF-4891-B726-BFAF3E6D9AA8}">
    <text>Schaltdauer innerhalb von 15 Minuten für alle Prozesse möglich</text>
  </threadedComment>
  <threadedComment ref="Z13" dT="2019-03-23T14:59:42.31" personId="{51F1A2BF-5699-4337-B875-D53DBF6DE656}" id="{E0B66563-4F24-40B3-A346-24F1F5E73B97}">
    <text>Schaltdauer innerhalb von 15 Minuten für alle Prozesse möglich</text>
  </threadedComment>
  <threadedComment ref="Z14" dT="2019-03-23T14:59:42.31" personId="{51F1A2BF-5699-4337-B875-D53DBF6DE656}" id="{3B60D020-86E7-4A07-BE56-8F07DA322E62}">
    <text>Schaltdauer innerhalb von 15 Minuten für alle Prozesse möglich</text>
  </threadedComment>
  <threadedComment ref="Z15" dT="2019-03-23T14:59:42.31" personId="{51F1A2BF-5699-4337-B875-D53DBF6DE656}" id="{9A712665-7E30-4086-BCCD-65F5F39FCE8A}">
    <text>Schaltdauer innerhalb von 15 Minuten für alle Prozesse möglich</text>
  </threadedComment>
  <threadedComment ref="Z16" dT="2019-03-23T14:59:42.31" personId="{51F1A2BF-5699-4337-B875-D53DBF6DE656}" id="{166AB3CD-3AA9-4B13-B2CC-709B138CEBB2}">
    <text>Schaltdauer innerhalb von 15 Minuten für alle Prozesse möglich</text>
  </threadedComment>
  <threadedComment ref="Z17" dT="2019-03-23T14:59:42.31" personId="{51F1A2BF-5699-4337-B875-D53DBF6DE656}" id="{8D2688E9-289E-4ABF-82E7-FA296F0FA476}">
    <text>Schaltdauer innerhalb von 15 Minuten für alle Prozesse möglich</text>
  </threadedComment>
  <threadedComment ref="Z18" dT="2019-03-23T14:59:42.31" personId="{51F1A2BF-5699-4337-B875-D53DBF6DE656}" id="{241E3776-3ABF-474E-8D98-46F8ABBED4B3}">
    <text>Schaltdauer innerhalb von 15 Minuten für alle Prozesse möglich</text>
  </threadedComment>
  <threadedComment ref="Z19" dT="2019-03-23T14:59:42.31" personId="{51F1A2BF-5699-4337-B875-D53DBF6DE656}" id="{C1C5A97C-19E1-4113-AAE9-8F97EF60CCC5}">
    <text>Schaltdauer innerhalb von 15 Minuten für alle Prozesse möglich</text>
  </threadedComment>
  <threadedComment ref="Z20" dT="2019-03-23T14:59:42.31" personId="{51F1A2BF-5699-4337-B875-D53DBF6DE656}" id="{04336AA6-67EB-4446-9343-A1FA53A674B0}">
    <text>Schaltdauer innerhalb von 15 Minuten für alle Prozesse möglich</text>
  </threadedComment>
  <threadedComment ref="Z21" dT="2019-03-23T14:59:42.31" personId="{51F1A2BF-5699-4337-B875-D53DBF6DE656}" id="{0207F2BB-C7FA-4CAE-9756-9E252FBDB838}">
    <text>Schaltdauer innerhalb von 15 Minuten für alle Prozesse möglich</text>
  </threadedComment>
  <threadedComment ref="Z22" dT="2019-03-23T14:59:42.31" personId="{51F1A2BF-5699-4337-B875-D53DBF6DE656}" id="{4508892D-E1C5-4124-A383-DC28C461D2F0}">
    <text>Schaltdauer innerhalb von 15 Minuten für alle Prozesse möglich</text>
  </threadedComment>
  <threadedComment ref="Z23" dT="2019-03-23T14:59:42.31" personId="{51F1A2BF-5699-4337-B875-D53DBF6DE656}" id="{4FB65C6F-2931-482F-997A-8B3586AC7E81}">
    <text>Schaltdauer innerhalb von 15 Minuten für alle Prozesse möglich</text>
  </threadedComment>
  <threadedComment ref="Z24" dT="2019-03-23T14:59:42.31" personId="{51F1A2BF-5699-4337-B875-D53DBF6DE656}" id="{FB4BB279-A819-480F-ACC1-89842F953617}">
    <text>Schaltdauer innerhalb von 15 Minuten für alle Prozesse möglich</text>
  </threadedComment>
  <threadedComment ref="Z25" dT="2019-03-23T14:59:42.31" personId="{51F1A2BF-5699-4337-B875-D53DBF6DE656}" id="{1DA0D4E2-AE2A-44FF-B659-4A6D371C2BDC}">
    <text>Schaltdauer innerhalb von 15 Minuten für alle Prozesse möglich</text>
  </threadedComment>
  <threadedComment ref="I26" dT="2019-03-23T17:06:12.31" personId="{51F1A2BF-5699-4337-B875-D53DBF6DE656}" id="{4E1E4F47-CAF7-4A92-B41B-F63126AEE779}">
    <text>Abgelesene Werte; Normalbetrieb</text>
  </threadedComment>
  <threadedComment ref="N26" dT="2019-03-23T17:06:12.31" personId="{51F1A2BF-5699-4337-B875-D53DBF6DE656}" id="{4F399106-F420-449F-A9AD-EDF6649D8E15}">
    <text>Abgelesene Werte; Normalbetrieb</text>
  </threadedComment>
  <threadedComment ref="A27" dT="2019-02-26T12:53:12.91" personId="{51F1A2BF-5699-4337-B875-D53DBF6DE656}" id="{880A00B7-5B16-40F5-B814-A2CC483594B6}">
    <text>Samira: Belüftung und Klimatisierung</text>
  </threadedComment>
  <threadedComment ref="I27" dT="2019-03-23T17:06:12.31" personId="{51F1A2BF-5699-4337-B875-D53DBF6DE656}" id="{FAAC014A-B97F-42D8-AAC8-4559F54259CA}">
    <text>Abgelesene Werte; Normalbetrieb</text>
  </threadedComment>
  <threadedComment ref="N27" dT="2019-03-23T17:06:12.31" personId="{51F1A2BF-5699-4337-B875-D53DBF6DE656}" id="{D28FD05D-2F10-4C5F-81B3-D5DB1B8C292B}">
    <text>Abgelesene Werte; Normalbetrieb</text>
  </threadedComment>
  <threadedComment ref="AA27" dT="2019-03-23T16:22:49.71" personId="{51F1A2BF-5699-4337-B875-D53DBF6DE656}" id="{71C967DF-0DE2-482B-932F-06B0D48AA2CD}">
    <text>wenige Minuten (S. 95)</text>
  </threadedComment>
  <threadedComment ref="I28" dT="2019-03-23T17:06:12.31" personId="{51F1A2BF-5699-4337-B875-D53DBF6DE656}" id="{14440FB0-1DDC-4692-8CB4-5FBBB70A1B0F}">
    <text>Abgelesene Werte; Normalbetrieb</text>
  </threadedComment>
  <threadedComment ref="N28" dT="2019-03-23T17:06:12.31" personId="{51F1A2BF-5699-4337-B875-D53DBF6DE656}" id="{92F0A39B-0AA8-4A6A-90E5-173AFEC9B410}">
    <text>Abgelesene Werte; Normalbetrieb</text>
  </threadedComment>
  <threadedComment ref="A29" dT="2019-03-23T16:25:17.92" personId="{51F1A2BF-5699-4337-B875-D53DBF6DE656}" id="{FAD28DF2-1480-44A6-93F9-E37194264D8B}">
    <text>Druckluft Sonderfall; eigentlich ungeeignet (S. 97)</text>
  </threadedComment>
  <threadedComment ref="I29" dT="2019-03-23T17:06:12.31" personId="{51F1A2BF-5699-4337-B875-D53DBF6DE656}" id="{79354FF0-EA1B-4A5A-8DD3-B6D9145FF845}">
    <text>Abgelesene Werte; Normalbetrieb</text>
  </threadedComment>
  <threadedComment ref="N29" dT="2019-03-23T17:06:12.31" personId="{51F1A2BF-5699-4337-B875-D53DBF6DE656}" id="{B6E7B2D1-C1A8-4842-9563-8F43D021EED6}">
    <text>Abgelesene Werte; Normalbetrieb</text>
  </threadedComment>
  <threadedComment ref="I30" dT="2019-03-23T17:06:12.31" personId="{51F1A2BF-5699-4337-B875-D53DBF6DE656}" id="{4E64D677-A9A3-40AB-B7F9-EF708AE2268E}">
    <text>Abgelesene Werte; Normalbetrieb</text>
  </threadedComment>
  <threadedComment ref="N30" dT="2019-03-23T17:06:12.31" personId="{51F1A2BF-5699-4337-B875-D53DBF6DE656}" id="{FD515933-2B32-4A00-9CC3-15E0CFD54C7A}">
    <text>Abgelesene Werte; Normalbetrieb</text>
  </threadedComment>
  <threadedComment ref="AE30" dT="2019-03-23T16:24:14.04" personId="{51F1A2BF-5699-4337-B875-D53DBF6DE656}" id="{1073DAB8-6914-4A02-AC3B-6DA75D918D49}">
    <text>&gt; 1 Stunde; bei Vorhandensein eines Speichers (S. 96)</text>
  </threadedComment>
  <threadedComment ref="AQ31" dT="2019-03-23T16:44:00.16" personId="{51F1A2BF-5699-4337-B875-D53DBF6DE656}" id="{962CC2FC-B47A-41D1-9F50-AD8561F7129E}">
    <text>bei Leistungen &gt; 500 kW</text>
  </threadedComment>
  <threadedComment ref="AY31" dT="2019-03-23T16:44:35.43" personId="{51F1A2BF-5699-4337-B875-D53DBF6DE656}" id="{4678BD87-FE9F-4620-A2C8-7BF2C0A758DB}">
    <text>Pauschalwert bei Leistungen &lt; 500 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Relationship Id="rId4" Type="http://schemas.microsoft.com/office/2017/10/relationships/threadedComment" Target="../threadedComments/threadedComment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Relationship Id="rId4" Type="http://schemas.microsoft.com/office/2017/10/relationships/threadedComment" Target="../threadedComments/threadedComment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3.vml"/><Relationship Id="rId4" Type="http://schemas.microsoft.com/office/2017/10/relationships/threadedComment" Target="../threadedComments/threadedComment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4.vml"/><Relationship Id="rId4" Type="http://schemas.microsoft.com/office/2017/10/relationships/threadedComment" Target="../threadedComments/threadedComment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5.v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7.xm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8.vml"/><Relationship Id="rId4" Type="http://schemas.microsoft.com/office/2017/10/relationships/threadedComment" Target="../threadedComments/threadedComment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20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21.vml"/><Relationship Id="rId4" Type="http://schemas.microsoft.com/office/2017/10/relationships/threadedComment" Target="../threadedComments/threadedComment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24.vml"/><Relationship Id="rId4" Type="http://schemas.microsoft.com/office/2017/10/relationships/threadedComment" Target="../threadedComments/threadedComment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26.vml"/><Relationship Id="rId4" Type="http://schemas.microsoft.com/office/2017/10/relationships/threadedComment" Target="../threadedComments/threadedComment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table" Target="../tables/table28.xml"/><Relationship Id="rId1" Type="http://schemas.openxmlformats.org/officeDocument/2006/relationships/vmlDrawing" Target="../drawings/vmlDrawing27.vml"/><Relationship Id="rId4" Type="http://schemas.microsoft.com/office/2017/10/relationships/threadedComment" Target="../threadedComments/threadedComment2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table" Target="../tables/table29.xml"/><Relationship Id="rId1" Type="http://schemas.openxmlformats.org/officeDocument/2006/relationships/vmlDrawing" Target="../drawings/vmlDrawing28.vml"/><Relationship Id="rId4" Type="http://schemas.microsoft.com/office/2017/10/relationships/threadedComment" Target="../threadedComments/threadedComment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table" Target="../tables/table30.xml"/><Relationship Id="rId1" Type="http://schemas.openxmlformats.org/officeDocument/2006/relationships/vmlDrawing" Target="../drawings/vmlDrawing29.vml"/><Relationship Id="rId4" Type="http://schemas.microsoft.com/office/2017/10/relationships/threadedComment" Target="../threadedComments/threadedComment24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5.xml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31.vml"/><Relationship Id="rId4" Type="http://schemas.microsoft.com/office/2017/10/relationships/threadedComment" Target="../threadedComments/threadedComment2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table" Target="../tables/table34.xml"/><Relationship Id="rId1" Type="http://schemas.openxmlformats.org/officeDocument/2006/relationships/vmlDrawing" Target="../drawings/vmlDrawing32.vml"/><Relationship Id="rId4" Type="http://schemas.microsoft.com/office/2017/10/relationships/threadedComment" Target="../threadedComments/threadedComment2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table" Target="../tables/table35.xml"/><Relationship Id="rId1" Type="http://schemas.openxmlformats.org/officeDocument/2006/relationships/vmlDrawing" Target="../drawings/vmlDrawing33.vml"/><Relationship Id="rId4" Type="http://schemas.microsoft.com/office/2017/10/relationships/threadedComment" Target="../threadedComments/threadedComment28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table" Target="../tables/table36.xml"/><Relationship Id="rId1" Type="http://schemas.openxmlformats.org/officeDocument/2006/relationships/vmlDrawing" Target="../drawings/vmlDrawing34.vml"/><Relationship Id="rId4" Type="http://schemas.microsoft.com/office/2017/10/relationships/threadedComment" Target="../threadedComments/threadedComment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"/>
  <dimension ref="A1:CN79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11" width="17.7109375" style="1" customWidth="1"/>
    <col min="12" max="12" width="36.85546875" style="1" bestFit="1" customWidth="1"/>
    <col min="13" max="13" width="44" style="1" bestFit="1" customWidth="1"/>
    <col min="14" max="14" width="28.85546875" style="1" bestFit="1" customWidth="1"/>
    <col min="15" max="15" width="34" style="1" bestFit="1" customWidth="1"/>
    <col min="16" max="16" width="34" style="1" customWidth="1"/>
    <col min="17" max="17" width="38.85546875" style="1" bestFit="1" customWidth="1"/>
    <col min="18" max="18" width="34.28515625" style="1" bestFit="1" customWidth="1"/>
    <col min="19" max="19" width="29.28515625" style="1" bestFit="1" customWidth="1"/>
    <col min="20" max="20" width="29.28515625" style="1" customWidth="1"/>
    <col min="21" max="21" width="55.7109375" style="1" bestFit="1" customWidth="1"/>
    <col min="22" max="22" width="55.7109375" style="1" customWidth="1"/>
    <col min="23" max="23" width="24.5703125" style="1" customWidth="1"/>
    <col min="24" max="24" width="33.85546875" style="1" bestFit="1" customWidth="1"/>
    <col min="25" max="25" width="31.7109375" style="1" bestFit="1" customWidth="1"/>
    <col min="26" max="26" width="24.5703125" style="1" customWidth="1"/>
    <col min="27" max="27" width="34" style="1" bestFit="1" customWidth="1"/>
    <col min="28" max="28" width="24.42578125" style="1" bestFit="1" customWidth="1"/>
    <col min="29" max="34" width="24.42578125" style="1" customWidth="1"/>
    <col min="35" max="35" width="37.7109375" style="1" bestFit="1" customWidth="1"/>
    <col min="36" max="37" width="24.7109375" style="1" customWidth="1"/>
    <col min="38" max="42" width="28.42578125" style="1" customWidth="1"/>
    <col min="43" max="43" width="27.42578125" style="1" bestFit="1" customWidth="1"/>
    <col min="44" max="45" width="27.42578125" style="1" customWidth="1"/>
    <col min="46" max="46" width="20.7109375" style="1" bestFit="1" customWidth="1"/>
    <col min="47" max="51" width="20.7109375" style="1" customWidth="1"/>
    <col min="52" max="52" width="25.85546875" style="1" bestFit="1" customWidth="1"/>
    <col min="53" max="53" width="29.7109375" style="1" bestFit="1" customWidth="1"/>
    <col min="54" max="54" width="24" style="1" bestFit="1" customWidth="1"/>
    <col min="55" max="55" width="38.28515625" style="1" bestFit="1" customWidth="1"/>
    <col min="56" max="59" width="38.28515625" style="1" customWidth="1"/>
    <col min="60" max="60" width="38.28515625" style="1" bestFit="1" customWidth="1"/>
    <col min="61" max="62" width="38.28515625" style="1" customWidth="1"/>
    <col min="63" max="63" width="33.42578125" style="1" bestFit="1" customWidth="1"/>
    <col min="64" max="64" width="33.42578125" style="1" customWidth="1"/>
    <col min="65" max="65" width="25.7109375" style="1" bestFit="1" customWidth="1"/>
    <col min="66" max="66" width="47.5703125" style="1" bestFit="1" customWidth="1"/>
    <col min="67" max="67" width="56.7109375" style="1" bestFit="1" customWidth="1"/>
    <col min="68" max="71" width="35.5703125" style="1" customWidth="1"/>
    <col min="72" max="72" width="31.7109375" style="1" bestFit="1" customWidth="1"/>
    <col min="73" max="73" width="31.5703125" style="1" bestFit="1" customWidth="1"/>
    <col min="74" max="79" width="31.5703125" style="1" customWidth="1"/>
    <col min="80" max="80" width="37.42578125" style="1" bestFit="1" customWidth="1"/>
    <col min="81" max="81" width="35.7109375" style="1" bestFit="1" customWidth="1"/>
    <col min="82" max="82" width="28.85546875" style="1" bestFit="1" customWidth="1"/>
    <col min="83" max="83" width="34" style="1" bestFit="1" customWidth="1"/>
    <col min="84" max="84" width="37.85546875" style="1" bestFit="1" customWidth="1"/>
    <col min="85" max="85" width="34.42578125" style="1" bestFit="1" customWidth="1"/>
    <col min="86" max="86" width="38.140625" style="1" bestFit="1" customWidth="1"/>
    <col min="87" max="87" width="22.85546875" style="1" bestFit="1" customWidth="1"/>
    <col min="88" max="88" width="28.5703125" style="1" bestFit="1" customWidth="1"/>
    <col min="89" max="89" width="28.28515625" style="1" bestFit="1" customWidth="1"/>
    <col min="90" max="90" width="28.28515625" style="1" customWidth="1"/>
    <col min="91" max="91" width="31" style="1" bestFit="1" customWidth="1"/>
    <col min="92" max="92" width="28.85546875" style="1" bestFit="1" customWidth="1"/>
    <col min="93" max="16384" width="11.42578125" style="1"/>
  </cols>
  <sheetData>
    <row r="1" spans="1:92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853</v>
      </c>
      <c r="H1" s="2" t="s">
        <v>1041</v>
      </c>
      <c r="I1" s="2" t="s">
        <v>824</v>
      </c>
      <c r="J1" s="2" t="s">
        <v>1042</v>
      </c>
      <c r="K1" s="2" t="s">
        <v>771</v>
      </c>
      <c r="L1" s="2" t="s">
        <v>1051</v>
      </c>
      <c r="M1" s="2" t="s">
        <v>282</v>
      </c>
      <c r="N1" s="2" t="s">
        <v>49</v>
      </c>
      <c r="O1" s="2" t="s">
        <v>288</v>
      </c>
      <c r="P1" s="2" t="s">
        <v>289</v>
      </c>
      <c r="Q1" s="2" t="s">
        <v>149</v>
      </c>
      <c r="R1" s="2" t="s">
        <v>283</v>
      </c>
      <c r="S1" s="2" t="s">
        <v>50</v>
      </c>
      <c r="T1" s="2" t="s">
        <v>1048</v>
      </c>
      <c r="U1" s="2" t="s">
        <v>97</v>
      </c>
      <c r="V1" s="2" t="s">
        <v>284</v>
      </c>
      <c r="W1" s="2" t="s">
        <v>154</v>
      </c>
      <c r="X1" s="2" t="s">
        <v>290</v>
      </c>
      <c r="Y1" s="2" t="s">
        <v>291</v>
      </c>
      <c r="Z1" s="2" t="s">
        <v>156</v>
      </c>
      <c r="AA1" s="2" t="s">
        <v>285</v>
      </c>
      <c r="AB1" s="2" t="s">
        <v>155</v>
      </c>
      <c r="AC1" s="2" t="s">
        <v>56</v>
      </c>
      <c r="AD1" s="2" t="s">
        <v>55</v>
      </c>
      <c r="AE1" s="2" t="s">
        <v>330</v>
      </c>
      <c r="AF1" s="2" t="s">
        <v>792</v>
      </c>
      <c r="AG1" s="2" t="s">
        <v>235</v>
      </c>
      <c r="AH1" s="2" t="s">
        <v>1078</v>
      </c>
      <c r="AI1" s="2" t="s">
        <v>116</v>
      </c>
      <c r="AJ1" s="2" t="s">
        <v>57</v>
      </c>
      <c r="AK1" s="2" t="s">
        <v>123</v>
      </c>
      <c r="AL1" s="2" t="s">
        <v>58</v>
      </c>
      <c r="AM1" s="2" t="s">
        <v>591</v>
      </c>
      <c r="AN1" s="2" t="s">
        <v>592</v>
      </c>
      <c r="AO1" s="2" t="s">
        <v>926</v>
      </c>
      <c r="AP1" s="2" t="s">
        <v>414</v>
      </c>
      <c r="AQ1" s="2" t="s">
        <v>9</v>
      </c>
      <c r="AR1" s="2" t="s">
        <v>423</v>
      </c>
      <c r="AS1" s="2" t="s">
        <v>225</v>
      </c>
      <c r="AT1" s="2" t="s">
        <v>157</v>
      </c>
      <c r="AU1" s="2" t="s">
        <v>227</v>
      </c>
      <c r="AV1" s="2" t="s">
        <v>228</v>
      </c>
      <c r="AW1" s="2" t="s">
        <v>158</v>
      </c>
      <c r="AX1" s="2" t="s">
        <v>214</v>
      </c>
      <c r="AY1" s="2" t="s">
        <v>215</v>
      </c>
      <c r="AZ1" s="2" t="s">
        <v>3</v>
      </c>
      <c r="BA1" s="2" t="s">
        <v>10</v>
      </c>
      <c r="BB1" s="2" t="s">
        <v>16</v>
      </c>
      <c r="BC1" s="2" t="s">
        <v>4</v>
      </c>
      <c r="BD1" s="2" t="s">
        <v>1049</v>
      </c>
      <c r="BE1" s="2" t="s">
        <v>1050</v>
      </c>
      <c r="BF1" s="2" t="s">
        <v>183</v>
      </c>
      <c r="BG1" s="2" t="s">
        <v>182</v>
      </c>
      <c r="BH1" s="2" t="s">
        <v>12</v>
      </c>
      <c r="BI1" s="2" t="s">
        <v>231</v>
      </c>
      <c r="BJ1" s="2" t="s">
        <v>232</v>
      </c>
      <c r="BK1" s="2" t="s">
        <v>230</v>
      </c>
      <c r="BL1" s="2" t="s">
        <v>332</v>
      </c>
      <c r="BM1" s="2" t="s">
        <v>333</v>
      </c>
      <c r="BN1" s="2" t="s">
        <v>147</v>
      </c>
      <c r="BO1" s="2" t="s">
        <v>22</v>
      </c>
      <c r="BP1" s="2" t="s">
        <v>162</v>
      </c>
      <c r="BQ1" s="2" t="s">
        <v>163</v>
      </c>
      <c r="BR1" s="2" t="s">
        <v>825</v>
      </c>
      <c r="BS1" s="2" t="s">
        <v>807</v>
      </c>
      <c r="BT1" s="2" t="s">
        <v>1</v>
      </c>
      <c r="BU1" s="2" t="s">
        <v>2</v>
      </c>
      <c r="BV1" s="2" t="s">
        <v>59</v>
      </c>
      <c r="BW1" s="2" t="s">
        <v>1089</v>
      </c>
      <c r="BX1" s="2" t="s">
        <v>826</v>
      </c>
      <c r="BY1" s="2" t="s">
        <v>236</v>
      </c>
      <c r="BZ1" s="2" t="s">
        <v>117</v>
      </c>
      <c r="CA1" s="2" t="s">
        <v>60</v>
      </c>
      <c r="CB1" s="2" t="s">
        <v>61</v>
      </c>
      <c r="CC1" s="2" t="s">
        <v>98</v>
      </c>
      <c r="CD1" s="2" t="s">
        <v>5</v>
      </c>
      <c r="CE1" s="2" t="s">
        <v>6</v>
      </c>
      <c r="CF1" s="2" t="s">
        <v>17</v>
      </c>
      <c r="CG1" s="2" t="s">
        <v>18</v>
      </c>
      <c r="CH1" s="2" t="s">
        <v>7</v>
      </c>
      <c r="CI1" s="2" t="s">
        <v>19</v>
      </c>
      <c r="CJ1" s="2" t="s">
        <v>20</v>
      </c>
      <c r="CK1" s="2" t="s">
        <v>21</v>
      </c>
      <c r="CL1" s="2" t="s">
        <v>148</v>
      </c>
      <c r="CM1" s="2" t="s">
        <v>23</v>
      </c>
      <c r="CN1" s="2" t="s">
        <v>51</v>
      </c>
    </row>
    <row r="2" spans="1:92" x14ac:dyDescent="0.2">
      <c r="A2" s="5" t="s">
        <v>54</v>
      </c>
      <c r="B2" s="1" t="s">
        <v>129</v>
      </c>
      <c r="C2" s="1">
        <v>2010</v>
      </c>
      <c r="D2" s="1">
        <v>1</v>
      </c>
      <c r="E2" s="1">
        <v>1</v>
      </c>
      <c r="F2" s="1">
        <v>0</v>
      </c>
      <c r="G2" s="1">
        <v>402.4</v>
      </c>
      <c r="H2" s="10">
        <v>13000</v>
      </c>
      <c r="I2" s="10"/>
      <c r="J2" s="10">
        <v>15000</v>
      </c>
      <c r="K2" s="1">
        <v>5.6</v>
      </c>
      <c r="L2" s="18">
        <v>489</v>
      </c>
      <c r="M2" s="18">
        <v>148</v>
      </c>
      <c r="N2" s="18"/>
      <c r="O2" s="18"/>
      <c r="P2" s="18"/>
      <c r="Q2" s="18"/>
      <c r="R2" s="18">
        <v>534</v>
      </c>
      <c r="S2" s="18">
        <v>637</v>
      </c>
      <c r="T2" s="18">
        <v>1000</v>
      </c>
      <c r="U2" s="18"/>
      <c r="V2" s="18"/>
      <c r="W2" s="18">
        <v>30</v>
      </c>
      <c r="X2" s="18"/>
      <c r="Y2" s="18"/>
      <c r="Z2" s="18"/>
      <c r="AA2" s="18">
        <v>35</v>
      </c>
      <c r="AB2" s="18">
        <v>50</v>
      </c>
      <c r="AC2" s="18"/>
      <c r="AD2" s="8"/>
      <c r="AE2" s="8"/>
      <c r="AF2" s="44">
        <f>Tabelle589711[[#This Row],[Durchschnittsauslastung]]*8760</f>
        <v>7000</v>
      </c>
      <c r="AG2" s="8">
        <f>7000/8760</f>
        <v>0.79908675799086759</v>
      </c>
      <c r="AH2" s="8"/>
      <c r="AI2" s="19" t="str">
        <f>IF(Tabelle589711[[#This Row],[installierte Leistung MW]]&lt;&gt;"",Tabelle589711[[#This Row],[Durchschnittsauslastung]]*Tabelle589711[[#This Row],[installierte Leistung MW]],"")</f>
        <v/>
      </c>
      <c r="AJ2" s="18" t="str">
        <f>IF(Tabelle589711[[#This Row],[installierte Leistung MW]]&lt;&gt;"",Tabelle589711[[#This Row],[installierte Leistung MW]],"")</f>
        <v/>
      </c>
      <c r="AK2" s="18"/>
      <c r="AL2" s="18"/>
      <c r="AM2" s="18"/>
      <c r="AN2" s="18"/>
      <c r="AO2" s="31">
        <f t="shared" ref="AO2:AO7" si="0">0.01/60</f>
        <v>1.6666666666666666E-4</v>
      </c>
      <c r="AP2" s="29">
        <v>0.25</v>
      </c>
      <c r="AQ2" s="29">
        <v>0.25</v>
      </c>
      <c r="AR2" s="1">
        <v>1</v>
      </c>
      <c r="AS2" s="1">
        <v>4</v>
      </c>
      <c r="BA2" s="1">
        <v>0.5</v>
      </c>
      <c r="BB2" s="1" t="s">
        <v>303</v>
      </c>
      <c r="BC2" s="1">
        <v>7</v>
      </c>
      <c r="BD2" s="1">
        <v>365</v>
      </c>
      <c r="BE2" s="1">
        <f>ROUND(Tabelle589711[[#This Row],[max. Abrufhäufigkeit pro Jahr Lastverschiebung]]/3,0)</f>
        <v>122</v>
      </c>
      <c r="BF2" s="18"/>
      <c r="BG2" s="18"/>
      <c r="BH2" s="18"/>
      <c r="BI2" s="7"/>
      <c r="BJ2" s="7"/>
      <c r="BK2" s="18"/>
      <c r="BL2" s="7"/>
      <c r="BM2" s="7"/>
      <c r="BO2" s="1" t="s">
        <v>281</v>
      </c>
      <c r="BP2" s="12" t="s">
        <v>302</v>
      </c>
      <c r="BQ2" s="12" t="s">
        <v>302</v>
      </c>
      <c r="BR2" s="12">
        <v>34</v>
      </c>
      <c r="BS2" s="12" t="s">
        <v>1043</v>
      </c>
      <c r="BT2" s="12" t="s">
        <v>1047</v>
      </c>
      <c r="BU2" s="12" t="s">
        <v>1047</v>
      </c>
      <c r="BV2" s="12"/>
      <c r="BW2" s="12"/>
      <c r="BX2" s="12"/>
      <c r="BY2" s="12">
        <v>37</v>
      </c>
      <c r="BZ2" s="12"/>
      <c r="CB2" s="12"/>
      <c r="CC2" s="12">
        <v>111</v>
      </c>
      <c r="CD2" s="1">
        <v>112</v>
      </c>
      <c r="CF2" s="1">
        <v>37</v>
      </c>
      <c r="CG2" s="1">
        <v>37</v>
      </c>
      <c r="CH2" s="1">
        <v>37</v>
      </c>
    </row>
    <row r="3" spans="1:92" x14ac:dyDescent="0.2">
      <c r="A3" s="1" t="s">
        <v>54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G3" s="1">
        <v>402.4</v>
      </c>
      <c r="H3" s="10">
        <v>13000</v>
      </c>
      <c r="I3" s="10"/>
      <c r="J3" s="10">
        <v>15000</v>
      </c>
      <c r="K3" s="1">
        <v>5.6</v>
      </c>
      <c r="L3" s="18">
        <v>489</v>
      </c>
      <c r="M3" s="18">
        <v>148</v>
      </c>
      <c r="N3" s="18"/>
      <c r="O3" s="18"/>
      <c r="P3" s="18"/>
      <c r="Q3" s="18"/>
      <c r="R3" s="18">
        <v>534</v>
      </c>
      <c r="S3" s="18">
        <v>637</v>
      </c>
      <c r="T3" s="18">
        <v>1000</v>
      </c>
      <c r="U3" s="18"/>
      <c r="V3" s="18"/>
      <c r="W3" s="18">
        <v>30</v>
      </c>
      <c r="X3" s="18"/>
      <c r="Y3" s="18"/>
      <c r="Z3" s="18"/>
      <c r="AA3" s="18">
        <v>35</v>
      </c>
      <c r="AB3" s="18">
        <v>50</v>
      </c>
      <c r="AC3" s="18"/>
      <c r="AD3" s="8"/>
      <c r="AE3" s="8"/>
      <c r="AF3" s="44">
        <f>Tabelle589711[[#This Row],[Durchschnittsauslastung]]*8760</f>
        <v>7000</v>
      </c>
      <c r="AG3" s="8">
        <f>7000/8760</f>
        <v>0.79908675799086759</v>
      </c>
      <c r="AH3" s="8"/>
      <c r="AI3" s="19" t="str">
        <f>IF(Tabelle589711[[#This Row],[installierte Leistung MW]]&lt;&gt;"",Tabelle589711[[#This Row],[Durchschnittsauslastung]]*Tabelle589711[[#This Row],[installierte Leistung MW]],"")</f>
        <v/>
      </c>
      <c r="AJ3" s="18" t="str">
        <f>IF(Tabelle589711[[#This Row],[installierte Leistung MW]]&lt;&gt;"",Tabelle589711[[#This Row],[installierte Leistung MW]],"")</f>
        <v/>
      </c>
      <c r="AK3" s="18"/>
      <c r="AL3" s="18"/>
      <c r="AM3" s="18"/>
      <c r="AN3" s="18"/>
      <c r="AO3" s="31">
        <f t="shared" si="0"/>
        <v>1.6666666666666666E-4</v>
      </c>
      <c r="AP3" s="29">
        <v>0.25</v>
      </c>
      <c r="AQ3" s="30">
        <v>0.25</v>
      </c>
      <c r="AR3" s="1">
        <v>1</v>
      </c>
      <c r="AS3" s="1">
        <v>4</v>
      </c>
      <c r="BA3" s="1">
        <v>0.5</v>
      </c>
      <c r="BB3" s="1" t="s">
        <v>303</v>
      </c>
      <c r="BC3" s="1">
        <v>7</v>
      </c>
      <c r="BD3" s="1">
        <v>365</v>
      </c>
      <c r="BE3" s="1">
        <f>ROUND(Tabelle589711[[#This Row],[max. Abrufhäufigkeit pro Jahr Lastverschiebung]]/3,0)</f>
        <v>122</v>
      </c>
      <c r="BF3" s="18"/>
      <c r="BG3" s="18"/>
      <c r="BH3" s="18"/>
      <c r="BI3" s="7"/>
      <c r="BJ3" s="7"/>
      <c r="BK3" s="7"/>
      <c r="BL3" s="7"/>
      <c r="BM3" s="7"/>
      <c r="BO3" s="1" t="s">
        <v>281</v>
      </c>
      <c r="BP3" s="12" t="s">
        <v>302</v>
      </c>
      <c r="BQ3" s="12" t="s">
        <v>302</v>
      </c>
      <c r="BR3" s="12">
        <v>35</v>
      </c>
      <c r="BS3" s="12" t="s">
        <v>1043</v>
      </c>
      <c r="BT3" s="12" t="s">
        <v>1047</v>
      </c>
      <c r="BU3" s="12" t="s">
        <v>1047</v>
      </c>
      <c r="BV3" s="12"/>
      <c r="BW3" s="12"/>
      <c r="BX3" s="12"/>
      <c r="BY3" s="12">
        <v>37</v>
      </c>
      <c r="BZ3" s="12"/>
      <c r="CB3" s="12"/>
      <c r="CC3" s="12">
        <v>111</v>
      </c>
      <c r="CD3" s="1">
        <v>112</v>
      </c>
      <c r="CF3" s="1">
        <v>37</v>
      </c>
      <c r="CG3" s="1">
        <v>37</v>
      </c>
      <c r="CH3" s="1">
        <v>37</v>
      </c>
    </row>
    <row r="4" spans="1:92" x14ac:dyDescent="0.2">
      <c r="A4" s="5" t="s">
        <v>54</v>
      </c>
      <c r="B4" s="1" t="s">
        <v>129</v>
      </c>
      <c r="C4" s="1">
        <v>2030</v>
      </c>
      <c r="D4" s="1">
        <v>1</v>
      </c>
      <c r="E4" s="1">
        <v>1</v>
      </c>
      <c r="F4" s="1">
        <v>0</v>
      </c>
      <c r="G4" s="1">
        <v>402.4</v>
      </c>
      <c r="H4" s="10">
        <v>13000</v>
      </c>
      <c r="I4" s="10"/>
      <c r="J4" s="10">
        <v>15000</v>
      </c>
      <c r="K4" s="1">
        <v>5.6</v>
      </c>
      <c r="L4" s="18">
        <v>489</v>
      </c>
      <c r="M4" s="18">
        <v>148</v>
      </c>
      <c r="N4" s="18"/>
      <c r="O4" s="18"/>
      <c r="P4" s="18"/>
      <c r="Q4" s="18"/>
      <c r="R4" s="18">
        <v>534</v>
      </c>
      <c r="S4" s="18">
        <v>637</v>
      </c>
      <c r="T4" s="18">
        <v>1000</v>
      </c>
      <c r="U4" s="18"/>
      <c r="V4" s="18"/>
      <c r="W4" s="18">
        <v>30</v>
      </c>
      <c r="X4" s="18"/>
      <c r="Y4" s="18"/>
      <c r="Z4" s="18"/>
      <c r="AA4" s="18">
        <v>35</v>
      </c>
      <c r="AB4" s="18">
        <v>50</v>
      </c>
      <c r="AC4" s="18"/>
      <c r="AD4" s="8"/>
      <c r="AE4" s="8"/>
      <c r="AF4" s="44">
        <f>Tabelle589711[[#This Row],[Durchschnittsauslastung]]*8760</f>
        <v>7000</v>
      </c>
      <c r="AG4" s="8">
        <f>7000/8760</f>
        <v>0.79908675799086759</v>
      </c>
      <c r="AH4" s="8"/>
      <c r="AI4" s="92"/>
      <c r="AJ4" s="18" t="str">
        <f>IF(Tabelle589711[[#This Row],[installierte Leistung MW]]&lt;&gt;"",Tabelle589711[[#This Row],[installierte Leistung MW]],"")</f>
        <v/>
      </c>
      <c r="AK4" s="18"/>
      <c r="AL4" s="18"/>
      <c r="AM4" s="18"/>
      <c r="AN4" s="18"/>
      <c r="AO4" s="31">
        <f t="shared" si="0"/>
        <v>1.6666666666666666E-4</v>
      </c>
      <c r="AP4" s="29">
        <v>0.25</v>
      </c>
      <c r="AQ4" s="29">
        <v>0.25</v>
      </c>
      <c r="AR4" s="1">
        <v>1</v>
      </c>
      <c r="AS4" s="1">
        <v>4</v>
      </c>
      <c r="BA4" s="1">
        <v>0.5</v>
      </c>
      <c r="BB4" s="1" t="s">
        <v>303</v>
      </c>
      <c r="BC4" s="1">
        <v>7</v>
      </c>
      <c r="BD4" s="1">
        <v>365</v>
      </c>
      <c r="BE4" s="1">
        <f>ROUND(Tabelle589711[[#This Row],[max. Abrufhäufigkeit pro Jahr Lastverschiebung]]/3,0)</f>
        <v>122</v>
      </c>
      <c r="BF4" s="18"/>
      <c r="BG4" s="18"/>
      <c r="BH4" s="18"/>
      <c r="BI4" s="7"/>
      <c r="BJ4" s="7"/>
      <c r="BK4" s="18"/>
      <c r="BL4" s="7"/>
      <c r="BM4" s="7"/>
      <c r="BO4" s="1" t="s">
        <v>281</v>
      </c>
      <c r="BP4" s="12" t="s">
        <v>302</v>
      </c>
      <c r="BQ4" s="12" t="s">
        <v>302</v>
      </c>
      <c r="BR4" s="12">
        <v>36</v>
      </c>
      <c r="BS4" s="12" t="s">
        <v>1043</v>
      </c>
      <c r="BT4" s="12" t="s">
        <v>1047</v>
      </c>
      <c r="BU4" s="12" t="s">
        <v>1047</v>
      </c>
      <c r="BV4" s="12"/>
      <c r="BW4" s="12"/>
      <c r="BX4" s="12"/>
      <c r="BY4" s="12">
        <v>37</v>
      </c>
      <c r="BZ4" s="12"/>
      <c r="CB4" s="12"/>
      <c r="CC4" s="12">
        <v>111</v>
      </c>
      <c r="CD4" s="1">
        <v>112</v>
      </c>
      <c r="CF4" s="1">
        <v>37</v>
      </c>
      <c r="CG4" s="1">
        <v>37</v>
      </c>
      <c r="CH4" s="1">
        <v>37</v>
      </c>
    </row>
    <row r="5" spans="1:92" x14ac:dyDescent="0.2">
      <c r="A5" s="1" t="s">
        <v>29</v>
      </c>
      <c r="B5" s="1" t="s">
        <v>129</v>
      </c>
      <c r="C5" s="1">
        <v>2010</v>
      </c>
      <c r="D5" s="1">
        <v>1</v>
      </c>
      <c r="E5" s="1">
        <v>1</v>
      </c>
      <c r="F5" s="1">
        <v>0</v>
      </c>
      <c r="G5" s="1">
        <f>2467+254</f>
        <v>2721</v>
      </c>
      <c r="H5" s="10"/>
      <c r="I5" s="10">
        <f>Tabelle589711[[#This Row],[Stromverbrauch in TWh]]*10^6/Tabelle589711[[#This Row],[jährliche Produktion kt]]</f>
        <v>2535.832414553473</v>
      </c>
      <c r="J5" s="10"/>
      <c r="K5" s="1">
        <v>6.9</v>
      </c>
      <c r="L5" s="18">
        <v>303</v>
      </c>
      <c r="M5" s="18">
        <v>484</v>
      </c>
      <c r="N5" s="18"/>
      <c r="O5" s="18"/>
      <c r="P5" s="18"/>
      <c r="Q5" s="18"/>
      <c r="R5" s="18">
        <v>635</v>
      </c>
      <c r="S5" s="18">
        <v>787</v>
      </c>
      <c r="T5" s="18"/>
      <c r="U5" s="18"/>
      <c r="V5" s="18"/>
      <c r="W5" s="18"/>
      <c r="X5" s="18"/>
      <c r="Y5" s="18"/>
      <c r="Z5" s="18"/>
      <c r="AA5" s="18"/>
      <c r="AB5" s="18"/>
      <c r="AC5" s="18">
        <v>303</v>
      </c>
      <c r="AD5" s="8">
        <v>0.34</v>
      </c>
      <c r="AE5" s="8"/>
      <c r="AF5" s="44">
        <v>7771</v>
      </c>
      <c r="AG5" s="8">
        <v>0.877</v>
      </c>
      <c r="AH5" s="8"/>
      <c r="AI5" s="19">
        <v>787</v>
      </c>
      <c r="AJ5" s="18"/>
      <c r="AK5" s="18"/>
      <c r="AL5" s="18">
        <v>888</v>
      </c>
      <c r="AM5" s="18"/>
      <c r="AN5" s="18"/>
      <c r="AO5" s="31">
        <f t="shared" si="0"/>
        <v>1.6666666666666666E-4</v>
      </c>
      <c r="AP5" s="29">
        <v>0.25</v>
      </c>
      <c r="AQ5" s="30">
        <f>10/60</f>
        <v>0.16666666666666666</v>
      </c>
      <c r="BA5" s="1">
        <v>3</v>
      </c>
      <c r="BF5" s="18"/>
      <c r="BG5" s="18"/>
      <c r="BH5" s="18"/>
      <c r="BI5" s="7"/>
      <c r="BJ5" s="7"/>
      <c r="BK5" s="7"/>
      <c r="BL5" s="7"/>
      <c r="BM5" s="7"/>
      <c r="BO5" s="1" t="s">
        <v>281</v>
      </c>
      <c r="BP5" s="12" t="s">
        <v>304</v>
      </c>
      <c r="BQ5" s="12" t="s">
        <v>304</v>
      </c>
      <c r="BR5" s="12" t="s">
        <v>1044</v>
      </c>
      <c r="BS5" s="12" t="s">
        <v>1045</v>
      </c>
      <c r="BT5" s="12" t="s">
        <v>304</v>
      </c>
      <c r="BU5" s="12" t="s">
        <v>304</v>
      </c>
      <c r="BV5" s="12">
        <v>41</v>
      </c>
      <c r="BW5" s="12"/>
      <c r="BX5" s="12">
        <v>41</v>
      </c>
      <c r="BY5" s="12">
        <v>39</v>
      </c>
      <c r="BZ5" s="12"/>
      <c r="CB5" s="12">
        <v>41</v>
      </c>
      <c r="CC5" s="12" t="s">
        <v>305</v>
      </c>
      <c r="CF5" s="1">
        <v>42</v>
      </c>
    </row>
    <row r="6" spans="1:92" x14ac:dyDescent="0.2">
      <c r="A6" s="1" t="s">
        <v>29</v>
      </c>
      <c r="B6" s="1" t="s">
        <v>129</v>
      </c>
      <c r="C6" s="1">
        <v>2020</v>
      </c>
      <c r="D6" s="1">
        <v>1</v>
      </c>
      <c r="E6" s="1">
        <v>1</v>
      </c>
      <c r="F6" s="1">
        <v>0</v>
      </c>
      <c r="G6" s="1">
        <f t="shared" ref="G6:G7" si="1">2467+254</f>
        <v>2721</v>
      </c>
      <c r="H6" s="10"/>
      <c r="I6" s="10">
        <f>Tabelle589711[[#This Row],[Stromverbrauch in TWh]]*10^6/Tabelle589711[[#This Row],[jährliche Produktion kt]]</f>
        <v>2535.832414553473</v>
      </c>
      <c r="J6" s="10"/>
      <c r="K6" s="1">
        <v>6.9</v>
      </c>
      <c r="L6" s="18">
        <v>303</v>
      </c>
      <c r="M6" s="18">
        <v>484</v>
      </c>
      <c r="N6" s="18"/>
      <c r="O6" s="18"/>
      <c r="P6" s="18"/>
      <c r="Q6" s="18"/>
      <c r="R6" s="18">
        <v>635</v>
      </c>
      <c r="S6" s="18">
        <v>787</v>
      </c>
      <c r="T6" s="18"/>
      <c r="U6" s="18"/>
      <c r="V6" s="18"/>
      <c r="W6" s="18"/>
      <c r="X6" s="18"/>
      <c r="Y6" s="18"/>
      <c r="Z6" s="18"/>
      <c r="AA6" s="18"/>
      <c r="AB6" s="18"/>
      <c r="AC6" s="18">
        <v>303</v>
      </c>
      <c r="AD6" s="8">
        <v>0.34</v>
      </c>
      <c r="AE6" s="8"/>
      <c r="AF6" s="44">
        <v>7771</v>
      </c>
      <c r="AG6" s="8">
        <v>0.877</v>
      </c>
      <c r="AH6" s="8"/>
      <c r="AI6" s="19">
        <v>787</v>
      </c>
      <c r="AJ6" s="18"/>
      <c r="AK6" s="18"/>
      <c r="AL6" s="18">
        <v>888</v>
      </c>
      <c r="AM6" s="18"/>
      <c r="AN6" s="18"/>
      <c r="AO6" s="31">
        <f t="shared" si="0"/>
        <v>1.6666666666666666E-4</v>
      </c>
      <c r="AP6" s="29">
        <v>0.25</v>
      </c>
      <c r="AQ6" s="30">
        <f>10/60</f>
        <v>0.16666666666666666</v>
      </c>
      <c r="BA6" s="1">
        <v>3</v>
      </c>
      <c r="BF6" s="18"/>
      <c r="BG6" s="18"/>
      <c r="BH6" s="18"/>
      <c r="BI6" s="7"/>
      <c r="BJ6" s="7"/>
      <c r="BK6" s="7"/>
      <c r="BL6" s="7"/>
      <c r="BM6" s="7"/>
      <c r="BO6" s="1" t="s">
        <v>281</v>
      </c>
      <c r="BP6" s="12" t="s">
        <v>304</v>
      </c>
      <c r="BQ6" s="12" t="s">
        <v>304</v>
      </c>
      <c r="BR6" s="12" t="s">
        <v>1054</v>
      </c>
      <c r="BS6" s="12" t="s">
        <v>1045</v>
      </c>
      <c r="BT6" s="12" t="s">
        <v>304</v>
      </c>
      <c r="BU6" s="12" t="s">
        <v>304</v>
      </c>
      <c r="BV6" s="12">
        <v>41</v>
      </c>
      <c r="BW6" s="12"/>
      <c r="BX6" s="12">
        <v>41</v>
      </c>
      <c r="BY6" s="12">
        <v>39</v>
      </c>
      <c r="BZ6" s="12"/>
      <c r="CB6" s="12">
        <v>41</v>
      </c>
      <c r="CC6" s="12" t="s">
        <v>305</v>
      </c>
      <c r="CF6" s="1">
        <v>42</v>
      </c>
    </row>
    <row r="7" spans="1:92" x14ac:dyDescent="0.2">
      <c r="A7" s="1" t="s">
        <v>29</v>
      </c>
      <c r="B7" s="1" t="s">
        <v>129</v>
      </c>
      <c r="C7" s="1">
        <v>2030</v>
      </c>
      <c r="D7" s="1">
        <v>1</v>
      </c>
      <c r="E7" s="1">
        <v>1</v>
      </c>
      <c r="F7" s="1">
        <v>0</v>
      </c>
      <c r="G7" s="1">
        <f t="shared" si="1"/>
        <v>2721</v>
      </c>
      <c r="H7" s="10"/>
      <c r="I7" s="10">
        <f>Tabelle589711[[#This Row],[Stromverbrauch in TWh]]*10^6/Tabelle589711[[#This Row],[jährliche Produktion kt]]</f>
        <v>2535.832414553473</v>
      </c>
      <c r="J7" s="10"/>
      <c r="K7" s="1">
        <v>6.9</v>
      </c>
      <c r="L7" s="18">
        <v>303</v>
      </c>
      <c r="M7" s="18">
        <v>484</v>
      </c>
      <c r="N7" s="18"/>
      <c r="O7" s="18"/>
      <c r="P7" s="18"/>
      <c r="Q7" s="18"/>
      <c r="R7" s="18">
        <v>635</v>
      </c>
      <c r="S7" s="18">
        <v>787</v>
      </c>
      <c r="T7" s="18"/>
      <c r="U7" s="18"/>
      <c r="V7" s="18"/>
      <c r="W7" s="18"/>
      <c r="X7" s="18"/>
      <c r="Y7" s="18"/>
      <c r="Z7" s="18"/>
      <c r="AA7" s="18"/>
      <c r="AB7" s="18"/>
      <c r="AC7" s="18">
        <v>303</v>
      </c>
      <c r="AD7" s="8">
        <v>0.34</v>
      </c>
      <c r="AE7" s="8"/>
      <c r="AF7" s="44">
        <v>7771</v>
      </c>
      <c r="AG7" s="8">
        <v>0.877</v>
      </c>
      <c r="AH7" s="8"/>
      <c r="AI7" s="19">
        <v>787</v>
      </c>
      <c r="AJ7" s="18"/>
      <c r="AK7" s="18"/>
      <c r="AL7" s="18">
        <v>888</v>
      </c>
      <c r="AM7" s="18"/>
      <c r="AN7" s="18"/>
      <c r="AO7" s="31">
        <f t="shared" si="0"/>
        <v>1.6666666666666666E-4</v>
      </c>
      <c r="AP7" s="29">
        <v>0.25</v>
      </c>
      <c r="AQ7" s="30">
        <f>10/60</f>
        <v>0.16666666666666666</v>
      </c>
      <c r="BA7" s="1">
        <v>3</v>
      </c>
      <c r="BF7" s="18"/>
      <c r="BG7" s="18"/>
      <c r="BH7" s="18"/>
      <c r="BI7" s="7"/>
      <c r="BJ7" s="7"/>
      <c r="BK7" s="7"/>
      <c r="BL7" s="7"/>
      <c r="BM7" s="7"/>
      <c r="BO7" s="1" t="s">
        <v>281</v>
      </c>
      <c r="BP7" s="12" t="s">
        <v>304</v>
      </c>
      <c r="BQ7" s="12" t="s">
        <v>304</v>
      </c>
      <c r="BR7" s="12" t="s">
        <v>1055</v>
      </c>
      <c r="BS7" s="12" t="s">
        <v>1045</v>
      </c>
      <c r="BT7" s="12" t="s">
        <v>304</v>
      </c>
      <c r="BU7" s="12" t="s">
        <v>304</v>
      </c>
      <c r="BV7" s="12">
        <v>41</v>
      </c>
      <c r="BW7" s="12"/>
      <c r="BX7" s="12">
        <v>41</v>
      </c>
      <c r="BY7" s="12">
        <v>39</v>
      </c>
      <c r="BZ7" s="12"/>
      <c r="CB7" s="12">
        <v>41</v>
      </c>
      <c r="CC7" s="12" t="s">
        <v>305</v>
      </c>
      <c r="CF7" s="1">
        <v>42</v>
      </c>
    </row>
    <row r="8" spans="1:92" x14ac:dyDescent="0.2">
      <c r="A8" s="1" t="s">
        <v>77</v>
      </c>
      <c r="B8" s="1" t="s">
        <v>129</v>
      </c>
      <c r="C8" s="1">
        <v>2010</v>
      </c>
      <c r="D8" s="1">
        <v>1</v>
      </c>
      <c r="E8" s="1">
        <v>1</v>
      </c>
      <c r="F8" s="1">
        <v>0</v>
      </c>
      <c r="G8" s="1">
        <v>881</v>
      </c>
      <c r="H8" s="10"/>
      <c r="I8" s="10"/>
      <c r="J8" s="10"/>
      <c r="L8" s="18"/>
      <c r="M8" s="18">
        <v>208</v>
      </c>
      <c r="N8" s="18"/>
      <c r="O8" s="18"/>
      <c r="P8" s="18"/>
      <c r="Q8" s="18"/>
      <c r="R8" s="18">
        <v>208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9"/>
      <c r="AE8" s="8"/>
      <c r="AF8" s="44">
        <f>Tabelle589711[[#This Row],[Durchschnittsauslastung]]*8760</f>
        <v>6798.8059701492539</v>
      </c>
      <c r="AG8" s="8">
        <f>Tabelle589711[[#This Row],[Durchschnittliche Leistung MW]]/Tabelle589711[[#This Row],[installierte Leistung MW]]</f>
        <v>0.77611940298507465</v>
      </c>
      <c r="AH8" s="8">
        <v>0.9</v>
      </c>
      <c r="AI8" s="19">
        <v>208</v>
      </c>
      <c r="AJ8" s="18"/>
      <c r="AK8" s="18"/>
      <c r="AL8" s="18">
        <v>268</v>
      </c>
      <c r="AM8" s="18"/>
      <c r="AN8" s="18"/>
      <c r="AO8" s="18"/>
      <c r="AP8" s="18"/>
      <c r="AQ8" s="18">
        <f>5/60</f>
        <v>8.3333333333333329E-2</v>
      </c>
      <c r="BF8" s="18"/>
      <c r="BG8" s="18"/>
      <c r="BH8" s="18"/>
      <c r="BI8" s="7"/>
      <c r="BJ8" s="7"/>
      <c r="BK8" s="7"/>
      <c r="BL8" s="7"/>
      <c r="BM8" s="7"/>
      <c r="BO8" s="1" t="s">
        <v>1052</v>
      </c>
      <c r="BP8" s="12" t="s">
        <v>306</v>
      </c>
      <c r="BQ8" s="12" t="s">
        <v>306</v>
      </c>
      <c r="BR8" s="12">
        <v>46</v>
      </c>
      <c r="BS8" s="12">
        <v>46</v>
      </c>
      <c r="BT8" s="12" t="s">
        <v>306</v>
      </c>
      <c r="BV8" s="12"/>
      <c r="BW8" s="12"/>
      <c r="BX8" s="12"/>
      <c r="BY8" s="12">
        <v>46</v>
      </c>
      <c r="BZ8" s="12">
        <v>46</v>
      </c>
      <c r="CB8" s="12">
        <v>46</v>
      </c>
      <c r="CC8" s="12" t="s">
        <v>308</v>
      </c>
      <c r="CM8" s="1">
        <v>44</v>
      </c>
    </row>
    <row r="9" spans="1:92" x14ac:dyDescent="0.2">
      <c r="A9" s="1" t="s">
        <v>77</v>
      </c>
      <c r="B9" s="1" t="s">
        <v>129</v>
      </c>
      <c r="C9" s="1">
        <v>2020</v>
      </c>
      <c r="D9" s="1">
        <v>1</v>
      </c>
      <c r="E9" s="1">
        <v>1</v>
      </c>
      <c r="F9" s="1">
        <v>0</v>
      </c>
      <c r="G9" s="1">
        <v>881</v>
      </c>
      <c r="H9" s="10"/>
      <c r="I9" s="10"/>
      <c r="J9" s="10"/>
      <c r="L9" s="18"/>
      <c r="M9" s="18">
        <v>208</v>
      </c>
      <c r="N9" s="18"/>
      <c r="O9" s="18"/>
      <c r="P9" s="18"/>
      <c r="Q9" s="18"/>
      <c r="R9" s="18">
        <v>208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9"/>
      <c r="AE9" s="8"/>
      <c r="AF9" s="44">
        <f>Tabelle589711[[#This Row],[Durchschnittsauslastung]]*8760</f>
        <v>6798.8059701492539</v>
      </c>
      <c r="AG9" s="8">
        <f>Tabelle589711[[#This Row],[Durchschnittliche Leistung MW]]/Tabelle589711[[#This Row],[installierte Leistung MW]]</f>
        <v>0.77611940298507465</v>
      </c>
      <c r="AH9" s="8">
        <v>0.9</v>
      </c>
      <c r="AI9" s="19">
        <v>208</v>
      </c>
      <c r="AJ9" s="18"/>
      <c r="AK9" s="18"/>
      <c r="AL9" s="18">
        <v>268</v>
      </c>
      <c r="AM9" s="18"/>
      <c r="AN9" s="18"/>
      <c r="AO9" s="18"/>
      <c r="AP9" s="18"/>
      <c r="AQ9" s="18">
        <f>5/60</f>
        <v>8.3333333333333329E-2</v>
      </c>
      <c r="BF9" s="18"/>
      <c r="BG9" s="18"/>
      <c r="BH9" s="18"/>
      <c r="BI9" s="7"/>
      <c r="BJ9" s="7"/>
      <c r="BK9" s="7"/>
      <c r="BL9" s="7"/>
      <c r="BM9" s="7"/>
      <c r="BO9" s="1" t="s">
        <v>1052</v>
      </c>
      <c r="BP9" s="12" t="s">
        <v>306</v>
      </c>
      <c r="BQ9" s="12" t="s">
        <v>306</v>
      </c>
      <c r="BR9" s="12">
        <v>46</v>
      </c>
      <c r="BS9" s="12">
        <v>46</v>
      </c>
      <c r="BT9" s="12" t="s">
        <v>306</v>
      </c>
      <c r="BV9" s="12"/>
      <c r="BW9" s="12"/>
      <c r="BX9" s="12"/>
      <c r="BY9" s="12">
        <v>46</v>
      </c>
      <c r="BZ9" s="12">
        <v>46</v>
      </c>
      <c r="CB9" s="12">
        <v>46</v>
      </c>
      <c r="CC9" s="12" t="s">
        <v>308</v>
      </c>
      <c r="CM9" s="1">
        <v>44</v>
      </c>
    </row>
    <row r="10" spans="1:92" x14ac:dyDescent="0.2">
      <c r="A10" s="1" t="s">
        <v>77</v>
      </c>
      <c r="B10" s="1" t="s">
        <v>129</v>
      </c>
      <c r="C10" s="1">
        <v>2030</v>
      </c>
      <c r="D10" s="1">
        <v>1</v>
      </c>
      <c r="E10" s="1">
        <v>1</v>
      </c>
      <c r="F10" s="1">
        <v>0</v>
      </c>
      <c r="G10" s="1">
        <v>881</v>
      </c>
      <c r="H10" s="10"/>
      <c r="I10" s="10"/>
      <c r="J10" s="10"/>
      <c r="L10" s="18"/>
      <c r="M10" s="18">
        <v>208</v>
      </c>
      <c r="N10" s="18"/>
      <c r="O10" s="18"/>
      <c r="P10" s="18"/>
      <c r="Q10" s="18"/>
      <c r="R10" s="18">
        <v>208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9"/>
      <c r="AE10" s="8"/>
      <c r="AF10" s="44">
        <f>Tabelle589711[[#This Row],[Durchschnittsauslastung]]*8760</f>
        <v>6798.8059701492539</v>
      </c>
      <c r="AG10" s="8">
        <f>Tabelle589711[[#This Row],[Durchschnittliche Leistung MW]]/Tabelle589711[[#This Row],[installierte Leistung MW]]</f>
        <v>0.77611940298507465</v>
      </c>
      <c r="AH10" s="8">
        <v>0.9</v>
      </c>
      <c r="AI10" s="19">
        <v>208</v>
      </c>
      <c r="AJ10" s="18"/>
      <c r="AK10" s="18"/>
      <c r="AL10" s="18">
        <v>268</v>
      </c>
      <c r="AM10" s="18"/>
      <c r="AN10" s="18"/>
      <c r="AO10" s="18"/>
      <c r="AP10" s="18"/>
      <c r="AQ10" s="18">
        <f>5/60</f>
        <v>8.3333333333333329E-2</v>
      </c>
      <c r="BF10" s="18"/>
      <c r="BG10" s="18"/>
      <c r="BH10" s="18"/>
      <c r="BI10" s="7"/>
      <c r="BJ10" s="7"/>
      <c r="BK10" s="7"/>
      <c r="BL10" s="7"/>
      <c r="BM10" s="7"/>
      <c r="BO10" s="1" t="s">
        <v>1052</v>
      </c>
      <c r="BP10" s="12" t="s">
        <v>306</v>
      </c>
      <c r="BQ10" s="12" t="s">
        <v>306</v>
      </c>
      <c r="BR10" s="12">
        <v>46</v>
      </c>
      <c r="BS10" s="12">
        <v>46</v>
      </c>
      <c r="BT10" s="12" t="s">
        <v>306</v>
      </c>
      <c r="BV10" s="12"/>
      <c r="BW10" s="12"/>
      <c r="BX10" s="12"/>
      <c r="BY10" s="12">
        <v>46</v>
      </c>
      <c r="BZ10" s="12">
        <v>46</v>
      </c>
      <c r="CB10" s="12">
        <v>46</v>
      </c>
      <c r="CC10" s="12" t="s">
        <v>308</v>
      </c>
      <c r="CM10" s="1">
        <v>44</v>
      </c>
    </row>
    <row r="11" spans="1:92" x14ac:dyDescent="0.2">
      <c r="A11" s="1" t="s">
        <v>81</v>
      </c>
      <c r="B11" s="1" t="s">
        <v>129</v>
      </c>
      <c r="C11" s="1">
        <v>2010</v>
      </c>
      <c r="D11" s="1">
        <v>0</v>
      </c>
      <c r="E11" s="1">
        <v>1</v>
      </c>
      <c r="F11" s="1">
        <v>0</v>
      </c>
      <c r="H11" s="10"/>
      <c r="I11" s="10"/>
      <c r="J11" s="10"/>
      <c r="L11" s="18">
        <v>1694</v>
      </c>
      <c r="N11" s="18"/>
      <c r="O11" s="18"/>
      <c r="P11" s="18"/>
      <c r="Q11" s="18"/>
      <c r="R11" s="18">
        <v>1700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9"/>
      <c r="AE11" s="8"/>
      <c r="AF11" s="44">
        <f>Tabelle589711[[#This Row],[Durchschnittsauslastung]]*8760</f>
        <v>7533.5999999999995</v>
      </c>
      <c r="AG11" s="8">
        <v>0.86</v>
      </c>
      <c r="AH11" s="8"/>
      <c r="AI11" s="19">
        <f>IF(Tabelle589711[[#This Row],[installierte Leistung MW]]&lt;&gt;"",Tabelle589711[[#This Row],[Durchschnittsauslastung]]*Tabelle589711[[#This Row],[installierte Leistung MW]],"")</f>
        <v>1700</v>
      </c>
      <c r="AJ11" s="18"/>
      <c r="AK11" s="18"/>
      <c r="AL11" s="18">
        <f>1/Tabelle589711[[#This Row],[Durchschnittsauslastung]]*Tabelle589711[[#This Row],[Potenzial pos. Literatur MW]]</f>
        <v>1976.7441860465117</v>
      </c>
      <c r="AM11" s="18"/>
      <c r="AN11" s="18"/>
      <c r="AO11" s="18"/>
      <c r="AP11" s="18"/>
      <c r="AQ11" s="18">
        <f>120/60</f>
        <v>2</v>
      </c>
      <c r="AT11" s="1">
        <v>2</v>
      </c>
      <c r="BB11" s="1" t="s">
        <v>309</v>
      </c>
      <c r="BF11" s="18"/>
      <c r="BG11" s="18"/>
      <c r="BH11" s="18"/>
      <c r="BI11" s="7"/>
      <c r="BJ11" s="7"/>
      <c r="BK11" s="7"/>
      <c r="BL11" s="7"/>
      <c r="BM11" s="7"/>
      <c r="BP11" s="12" t="s">
        <v>307</v>
      </c>
      <c r="BQ11" s="12" t="s">
        <v>307</v>
      </c>
      <c r="BR11" s="12">
        <v>43</v>
      </c>
      <c r="BS11" s="12">
        <v>43</v>
      </c>
      <c r="BT11" s="12" t="s">
        <v>307</v>
      </c>
      <c r="BV11" s="12"/>
      <c r="BW11" s="12"/>
      <c r="BX11" s="12"/>
      <c r="BY11" s="12">
        <v>47</v>
      </c>
      <c r="BZ11" s="12">
        <v>47</v>
      </c>
      <c r="CB11" s="12">
        <v>47</v>
      </c>
      <c r="CC11" s="12" t="s">
        <v>308</v>
      </c>
    </row>
    <row r="12" spans="1:92" x14ac:dyDescent="0.2">
      <c r="A12" s="1" t="s">
        <v>81</v>
      </c>
      <c r="B12" s="1" t="s">
        <v>129</v>
      </c>
      <c r="C12" s="1">
        <v>2020</v>
      </c>
      <c r="D12" s="1">
        <v>0</v>
      </c>
      <c r="E12" s="1">
        <v>1</v>
      </c>
      <c r="F12" s="1">
        <v>0</v>
      </c>
      <c r="H12" s="10"/>
      <c r="I12" s="10"/>
      <c r="J12" s="10"/>
      <c r="L12" s="18">
        <v>1694</v>
      </c>
      <c r="N12" s="18"/>
      <c r="O12" s="18"/>
      <c r="P12" s="18"/>
      <c r="Q12" s="18"/>
      <c r="R12" s="18">
        <v>1700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9"/>
      <c r="AE12" s="8"/>
      <c r="AF12" s="44">
        <f>Tabelle589711[[#This Row],[Durchschnittsauslastung]]*8760</f>
        <v>7533.5999999999995</v>
      </c>
      <c r="AG12" s="8">
        <v>0.86</v>
      </c>
      <c r="AH12" s="8"/>
      <c r="AI12" s="19">
        <f>IF(Tabelle589711[[#This Row],[installierte Leistung MW]]&lt;&gt;"",Tabelle589711[[#This Row],[Durchschnittsauslastung]]*Tabelle589711[[#This Row],[installierte Leistung MW]],"")</f>
        <v>1700</v>
      </c>
      <c r="AJ12" s="18"/>
      <c r="AK12" s="18"/>
      <c r="AL12" s="18">
        <f>1/Tabelle589711[[#This Row],[Durchschnittsauslastung]]*Tabelle589711[[#This Row],[Potenzial pos. Literatur MW]]</f>
        <v>1976.7441860465117</v>
      </c>
      <c r="AM12" s="18"/>
      <c r="AN12" s="18"/>
      <c r="AO12" s="18"/>
      <c r="AP12" s="18"/>
      <c r="AQ12" s="18">
        <f>120/60</f>
        <v>2</v>
      </c>
      <c r="AT12" s="1">
        <v>2</v>
      </c>
      <c r="BB12" s="1" t="s">
        <v>309</v>
      </c>
      <c r="BF12" s="18"/>
      <c r="BG12" s="18"/>
      <c r="BH12" s="18"/>
      <c r="BI12" s="7"/>
      <c r="BJ12" s="7"/>
      <c r="BK12" s="7"/>
      <c r="BL12" s="7"/>
      <c r="BM12" s="7"/>
      <c r="BP12" s="12" t="s">
        <v>307</v>
      </c>
      <c r="BQ12" s="12" t="s">
        <v>307</v>
      </c>
      <c r="BR12" s="12">
        <v>43</v>
      </c>
      <c r="BS12" s="12">
        <v>43</v>
      </c>
      <c r="BT12" s="12" t="s">
        <v>307</v>
      </c>
      <c r="BV12" s="12"/>
      <c r="BW12" s="12"/>
      <c r="BX12" s="12"/>
      <c r="BY12" s="12">
        <v>47</v>
      </c>
      <c r="BZ12" s="12">
        <v>47</v>
      </c>
      <c r="CB12" s="12">
        <v>47</v>
      </c>
      <c r="CC12" s="12" t="s">
        <v>308</v>
      </c>
    </row>
    <row r="13" spans="1:92" x14ac:dyDescent="0.2">
      <c r="A13" s="1" t="s">
        <v>81</v>
      </c>
      <c r="B13" s="1" t="s">
        <v>129</v>
      </c>
      <c r="C13" s="1">
        <v>2030</v>
      </c>
      <c r="D13" s="1">
        <v>0</v>
      </c>
      <c r="E13" s="1">
        <v>1</v>
      </c>
      <c r="F13" s="1">
        <v>0</v>
      </c>
      <c r="H13" s="10"/>
      <c r="I13" s="10"/>
      <c r="J13" s="10"/>
      <c r="L13" s="18">
        <v>1694</v>
      </c>
      <c r="N13" s="18"/>
      <c r="O13" s="18"/>
      <c r="P13" s="18"/>
      <c r="Q13" s="18"/>
      <c r="R13" s="18">
        <v>1700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9"/>
      <c r="AE13" s="8"/>
      <c r="AF13" s="44">
        <f>Tabelle589711[[#This Row],[Durchschnittsauslastung]]*8760</f>
        <v>7533.5999999999995</v>
      </c>
      <c r="AG13" s="8">
        <v>0.86</v>
      </c>
      <c r="AH13" s="8"/>
      <c r="AI13" s="19">
        <f>IF(Tabelle589711[[#This Row],[installierte Leistung MW]]&lt;&gt;"",Tabelle589711[[#This Row],[Durchschnittsauslastung]]*Tabelle589711[[#This Row],[installierte Leistung MW]],"")</f>
        <v>1700</v>
      </c>
      <c r="AJ13" s="18"/>
      <c r="AK13" s="18"/>
      <c r="AL13" s="18">
        <f>1/Tabelle589711[[#This Row],[Durchschnittsauslastung]]*Tabelle589711[[#This Row],[Potenzial pos. Literatur MW]]</f>
        <v>1976.7441860465117</v>
      </c>
      <c r="AM13" s="18"/>
      <c r="AN13" s="18"/>
      <c r="AO13" s="18"/>
      <c r="AP13" s="18"/>
      <c r="AQ13" s="18">
        <f>120/60</f>
        <v>2</v>
      </c>
      <c r="AT13" s="1">
        <v>2</v>
      </c>
      <c r="BB13" s="1" t="s">
        <v>309</v>
      </c>
      <c r="BF13" s="18"/>
      <c r="BG13" s="18"/>
      <c r="BH13" s="18"/>
      <c r="BI13" s="7"/>
      <c r="BJ13" s="7"/>
      <c r="BK13" s="7"/>
      <c r="BL13" s="7"/>
      <c r="BM13" s="7"/>
      <c r="BP13" s="12" t="s">
        <v>307</v>
      </c>
      <c r="BQ13" s="12" t="s">
        <v>307</v>
      </c>
      <c r="BR13" s="12">
        <v>43</v>
      </c>
      <c r="BS13" s="12">
        <v>43</v>
      </c>
      <c r="BT13" s="12" t="s">
        <v>307</v>
      </c>
      <c r="BV13" s="12"/>
      <c r="BW13" s="12"/>
      <c r="BX13" s="12"/>
      <c r="BY13" s="12">
        <v>47</v>
      </c>
      <c r="BZ13" s="12">
        <v>47</v>
      </c>
      <c r="CB13" s="12">
        <v>47</v>
      </c>
      <c r="CC13" s="12" t="s">
        <v>308</v>
      </c>
    </row>
    <row r="14" spans="1:92" x14ac:dyDescent="0.2">
      <c r="A14" s="1" t="s">
        <v>84</v>
      </c>
      <c r="B14" s="1" t="s">
        <v>129</v>
      </c>
      <c r="C14" s="1">
        <v>2010</v>
      </c>
      <c r="D14" s="1">
        <v>0</v>
      </c>
      <c r="E14" s="1">
        <v>1</v>
      </c>
      <c r="F14" s="1">
        <v>0</v>
      </c>
      <c r="G14" s="1">
        <v>13200</v>
      </c>
      <c r="H14" s="10"/>
      <c r="I14" s="10">
        <f>Tabelle589711[[#This Row],[Stromverbrauch in TWh]]*10^6/Tabelle589711[[#This Row],[jährliche Produktion kt]]</f>
        <v>492.42424242424244</v>
      </c>
      <c r="J14" s="10"/>
      <c r="K14" s="1">
        <v>6.5</v>
      </c>
      <c r="L14" s="18">
        <v>741</v>
      </c>
      <c r="M14" s="18"/>
      <c r="N14" s="18"/>
      <c r="O14" s="18"/>
      <c r="P14" s="18"/>
      <c r="Q14" s="18"/>
      <c r="R14" s="18">
        <v>741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9"/>
      <c r="AE14" s="8"/>
      <c r="AF14" s="44">
        <v>4151</v>
      </c>
      <c r="AG14" s="8">
        <f>Tabelle589711[[#This Row],[Vollbenutzungsstunden h/a]]/8760</f>
        <v>0.47385844748858447</v>
      </c>
      <c r="AH14" s="8"/>
      <c r="AI14" s="19">
        <f>IF(Tabelle589711[[#This Row],[installierte Leistung MW]]&lt;&gt;"",Tabelle589711[[#This Row],[Durchschnittsauslastung]]*Tabelle589711[[#This Row],[installierte Leistung MW]],"")</f>
        <v>742.06232876712329</v>
      </c>
      <c r="AJ14" s="18"/>
      <c r="AK14" s="18"/>
      <c r="AL14" s="18">
        <v>1566</v>
      </c>
      <c r="AM14" s="18"/>
      <c r="AN14" s="18"/>
      <c r="AO14" s="18"/>
      <c r="AP14" s="18"/>
      <c r="AQ14" s="29">
        <f>100/60</f>
        <v>1.6666666666666667</v>
      </c>
      <c r="BB14" s="1" t="s">
        <v>311</v>
      </c>
      <c r="BF14" s="18"/>
      <c r="BG14" s="18"/>
      <c r="BH14" s="18"/>
      <c r="BI14" s="7"/>
      <c r="BJ14" s="7"/>
      <c r="BK14" s="7"/>
      <c r="BL14" s="7"/>
      <c r="BM14" s="7"/>
      <c r="BO14" s="1" t="s">
        <v>1053</v>
      </c>
      <c r="BP14" s="12" t="s">
        <v>310</v>
      </c>
      <c r="BQ14" s="12" t="s">
        <v>310</v>
      </c>
      <c r="BR14" s="12">
        <v>49</v>
      </c>
      <c r="BS14" s="12">
        <v>49</v>
      </c>
      <c r="BT14" s="12" t="s">
        <v>310</v>
      </c>
      <c r="BV14" s="12"/>
      <c r="BW14" s="12"/>
      <c r="BX14" s="12">
        <v>49</v>
      </c>
      <c r="BY14" s="12">
        <v>49</v>
      </c>
      <c r="BZ14" s="12"/>
      <c r="CB14" s="12"/>
      <c r="CC14" s="12">
        <v>111</v>
      </c>
      <c r="CG14" s="1">
        <v>50</v>
      </c>
      <c r="CM14" s="1">
        <v>49</v>
      </c>
    </row>
    <row r="15" spans="1:92" x14ac:dyDescent="0.2">
      <c r="A15" s="1" t="s">
        <v>84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G15" s="1">
        <v>13200</v>
      </c>
      <c r="H15" s="10"/>
      <c r="I15" s="10">
        <f>Tabelle589711[[#This Row],[Stromverbrauch in TWh]]*10^6/Tabelle589711[[#This Row],[jährliche Produktion kt]]</f>
        <v>492.42424242424244</v>
      </c>
      <c r="J15" s="10"/>
      <c r="K15" s="1">
        <v>6.5</v>
      </c>
      <c r="L15" s="18">
        <v>741</v>
      </c>
      <c r="M15" s="18"/>
      <c r="N15" s="18"/>
      <c r="O15" s="18"/>
      <c r="P15" s="18"/>
      <c r="Q15" s="18"/>
      <c r="R15" s="18">
        <v>741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9"/>
      <c r="AE15" s="8"/>
      <c r="AF15" s="44">
        <v>4151</v>
      </c>
      <c r="AG15" s="8">
        <f>Tabelle589711[[#This Row],[Vollbenutzungsstunden h/a]]/8760</f>
        <v>0.47385844748858447</v>
      </c>
      <c r="AH15" s="8"/>
      <c r="AI15" s="19">
        <f>IF(Tabelle589711[[#This Row],[installierte Leistung MW]]&lt;&gt;"",Tabelle589711[[#This Row],[Durchschnittsauslastung]]*Tabelle589711[[#This Row],[installierte Leistung MW]],"")</f>
        <v>742.06232876712329</v>
      </c>
      <c r="AJ15" s="18"/>
      <c r="AK15" s="18"/>
      <c r="AL15" s="18">
        <v>1566</v>
      </c>
      <c r="AM15" s="18"/>
      <c r="AN15" s="18"/>
      <c r="AO15" s="18"/>
      <c r="AP15" s="18"/>
      <c r="AQ15" s="29">
        <f>100/60</f>
        <v>1.6666666666666667</v>
      </c>
      <c r="BB15" s="1" t="s">
        <v>311</v>
      </c>
      <c r="BF15" s="18"/>
      <c r="BG15" s="18"/>
      <c r="BH15" s="18"/>
      <c r="BI15" s="7"/>
      <c r="BJ15" s="7"/>
      <c r="BK15" s="7"/>
      <c r="BL15" s="7"/>
      <c r="BM15" s="7"/>
      <c r="BO15" s="1" t="s">
        <v>1053</v>
      </c>
      <c r="BP15" s="12" t="s">
        <v>310</v>
      </c>
      <c r="BQ15" s="12" t="s">
        <v>310</v>
      </c>
      <c r="BR15" s="12">
        <v>49</v>
      </c>
      <c r="BS15" s="12">
        <v>49</v>
      </c>
      <c r="BT15" s="12" t="s">
        <v>310</v>
      </c>
      <c r="BV15" s="12"/>
      <c r="BW15" s="12"/>
      <c r="BX15" s="12">
        <v>49</v>
      </c>
      <c r="BY15" s="12">
        <v>49</v>
      </c>
      <c r="BZ15" s="12"/>
      <c r="CB15" s="12"/>
      <c r="CC15" s="12">
        <v>111</v>
      </c>
      <c r="CG15" s="1">
        <v>50</v>
      </c>
      <c r="CM15" s="1">
        <v>49</v>
      </c>
    </row>
    <row r="16" spans="1:92" x14ac:dyDescent="0.2">
      <c r="A16" s="1" t="s">
        <v>84</v>
      </c>
      <c r="B16" s="1" t="s">
        <v>129</v>
      </c>
      <c r="C16" s="1">
        <v>2030</v>
      </c>
      <c r="D16" s="1">
        <v>0</v>
      </c>
      <c r="E16" s="1">
        <v>1</v>
      </c>
      <c r="F16" s="1">
        <v>0</v>
      </c>
      <c r="G16" s="1">
        <v>13200</v>
      </c>
      <c r="H16" s="10"/>
      <c r="I16" s="10">
        <f>Tabelle589711[[#This Row],[Stromverbrauch in TWh]]*10^6/Tabelle589711[[#This Row],[jährliche Produktion kt]]</f>
        <v>492.42424242424244</v>
      </c>
      <c r="J16" s="10"/>
      <c r="K16" s="1">
        <v>6.5</v>
      </c>
      <c r="L16" s="18">
        <v>741</v>
      </c>
      <c r="M16" s="18"/>
      <c r="N16" s="18"/>
      <c r="O16" s="18"/>
      <c r="P16" s="18"/>
      <c r="Q16" s="18"/>
      <c r="R16" s="18">
        <v>741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9"/>
      <c r="AE16" s="8"/>
      <c r="AF16" s="44">
        <v>4151</v>
      </c>
      <c r="AG16" s="8">
        <f>Tabelle589711[[#This Row],[Vollbenutzungsstunden h/a]]/8760</f>
        <v>0.47385844748858447</v>
      </c>
      <c r="AH16" s="8"/>
      <c r="AI16" s="19">
        <f>IF(Tabelle589711[[#This Row],[installierte Leistung MW]]&lt;&gt;"",Tabelle589711[[#This Row],[Durchschnittsauslastung]]*Tabelle589711[[#This Row],[installierte Leistung MW]],"")</f>
        <v>742.06232876712329</v>
      </c>
      <c r="AJ16" s="18"/>
      <c r="AK16" s="18"/>
      <c r="AL16" s="18">
        <v>1566</v>
      </c>
      <c r="AM16" s="18"/>
      <c r="AN16" s="18"/>
      <c r="AO16" s="18"/>
      <c r="AP16" s="18"/>
      <c r="AQ16" s="29">
        <f>100/60</f>
        <v>1.6666666666666667</v>
      </c>
      <c r="BB16" s="1" t="s">
        <v>311</v>
      </c>
      <c r="BF16" s="18"/>
      <c r="BG16" s="18"/>
      <c r="BH16" s="18"/>
      <c r="BI16" s="7"/>
      <c r="BJ16" s="7"/>
      <c r="BK16" s="7"/>
      <c r="BL16" s="7"/>
      <c r="BM16" s="7"/>
      <c r="BO16" s="1" t="s">
        <v>1053</v>
      </c>
      <c r="BP16" s="12" t="s">
        <v>310</v>
      </c>
      <c r="BQ16" s="12" t="s">
        <v>310</v>
      </c>
      <c r="BR16" s="12">
        <v>49</v>
      </c>
      <c r="BS16" s="12">
        <v>49</v>
      </c>
      <c r="BT16" s="12" t="s">
        <v>310</v>
      </c>
      <c r="BV16" s="12"/>
      <c r="BW16" s="12"/>
      <c r="BX16" s="12">
        <v>49</v>
      </c>
      <c r="BY16" s="12">
        <v>49</v>
      </c>
      <c r="BZ16" s="12"/>
      <c r="CB16" s="12"/>
      <c r="CC16" s="12">
        <v>111</v>
      </c>
      <c r="CG16" s="1">
        <v>50</v>
      </c>
      <c r="CM16" s="1">
        <v>49</v>
      </c>
    </row>
    <row r="17" spans="1:91" x14ac:dyDescent="0.2">
      <c r="A17" s="1" t="s">
        <v>880</v>
      </c>
      <c r="B17" s="1" t="s">
        <v>129</v>
      </c>
      <c r="C17" s="1">
        <v>2010</v>
      </c>
      <c r="D17" s="1">
        <v>1</v>
      </c>
      <c r="E17" s="1">
        <v>0</v>
      </c>
      <c r="F17" s="1">
        <v>0</v>
      </c>
      <c r="G17" s="1">
        <v>29900</v>
      </c>
      <c r="H17" s="10"/>
      <c r="I17" s="10">
        <f>Tabelle589711[[#This Row],[Stromverbrauch in TWh]]*10^6/Tabelle589711[[#This Row],[jährliche Produktion kt]]</f>
        <v>123.74581939799332</v>
      </c>
      <c r="J17" s="10"/>
      <c r="K17" s="1">
        <v>3.7</v>
      </c>
      <c r="L17" s="18"/>
      <c r="M17" s="18">
        <v>313</v>
      </c>
      <c r="N17" s="18"/>
      <c r="O17" s="18"/>
      <c r="P17" s="18"/>
      <c r="Q17" s="18"/>
      <c r="R17" s="18">
        <v>313</v>
      </c>
      <c r="S17" s="18"/>
      <c r="T17" s="18"/>
      <c r="U17" s="18"/>
      <c r="V17" s="18">
        <v>313</v>
      </c>
      <c r="W17" s="18"/>
      <c r="X17" s="18"/>
      <c r="Y17" s="18"/>
      <c r="Z17" s="18"/>
      <c r="AA17" s="18">
        <v>500</v>
      </c>
      <c r="AB17" s="18"/>
      <c r="AC17" s="18"/>
      <c r="AD17" s="19"/>
      <c r="AE17" s="8"/>
      <c r="AF17" s="44">
        <f>Tabelle589711[[#This Row],[Durchschnittsauslastung]]*8760</f>
        <v>6482.4</v>
      </c>
      <c r="AG17" s="8">
        <v>0.74</v>
      </c>
      <c r="AH17" s="8"/>
      <c r="AI17" s="19" t="str">
        <f>IF(Tabelle589711[[#This Row],[installierte Leistung MW]]&lt;&gt;"",Tabelle589711[[#This Row],[Durchschnittsauslastung]]*Tabelle589711[[#This Row],[installierte Leistung MW]],"")</f>
        <v/>
      </c>
      <c r="AJ17" s="18" t="str">
        <f>IF(Tabelle589711[[#This Row],[installierte Leistung MW]]&lt;&gt;"",Tabelle589711[[#This Row],[installierte Leistung MW]],"")</f>
        <v/>
      </c>
      <c r="AK17" s="18"/>
      <c r="AL17" s="18"/>
      <c r="AM17" s="18"/>
      <c r="AN17" s="18"/>
      <c r="AO17" s="18">
        <v>0.25</v>
      </c>
      <c r="AP17" s="18">
        <v>0.5</v>
      </c>
      <c r="AQ17" s="29">
        <v>0.25</v>
      </c>
      <c r="AR17" s="1">
        <v>1</v>
      </c>
      <c r="AS17" s="1">
        <v>2</v>
      </c>
      <c r="BB17" s="1" t="s">
        <v>1056</v>
      </c>
      <c r="BC17" s="1">
        <f>2*7</f>
        <v>14</v>
      </c>
      <c r="BD17" s="1">
        <f>Tabelle589711[[#This Row],[max. Abrufhäufigkeit pro Woche]]*52</f>
        <v>728</v>
      </c>
      <c r="BF17" s="18"/>
      <c r="BG17" s="18"/>
      <c r="BH17" s="18"/>
      <c r="BI17" s="7"/>
      <c r="BJ17" s="7"/>
      <c r="BK17" s="7"/>
      <c r="BL17" s="7"/>
      <c r="BM17" s="7"/>
      <c r="BO17" s="1" t="s">
        <v>1057</v>
      </c>
      <c r="BP17" s="12" t="s">
        <v>315</v>
      </c>
      <c r="BQ17" s="12" t="s">
        <v>315</v>
      </c>
      <c r="BR17" s="12">
        <v>53</v>
      </c>
      <c r="BS17" s="12">
        <v>53</v>
      </c>
      <c r="BT17" s="12" t="s">
        <v>315</v>
      </c>
      <c r="BU17" s="1">
        <v>57</v>
      </c>
      <c r="BV17" s="12"/>
      <c r="BW17" s="12"/>
      <c r="BX17" s="12"/>
      <c r="BY17" s="12"/>
      <c r="BZ17" s="12"/>
      <c r="CB17" s="12"/>
      <c r="CC17" s="12">
        <v>111</v>
      </c>
      <c r="CD17" s="1">
        <v>58</v>
      </c>
      <c r="CG17" s="1">
        <v>57</v>
      </c>
      <c r="CH17" s="1">
        <v>57</v>
      </c>
      <c r="CM17" s="1">
        <v>57</v>
      </c>
    </row>
    <row r="18" spans="1:91" x14ac:dyDescent="0.2">
      <c r="A18" s="1" t="s">
        <v>880</v>
      </c>
      <c r="B18" s="1" t="s">
        <v>129</v>
      </c>
      <c r="C18" s="1">
        <v>2020</v>
      </c>
      <c r="D18" s="1">
        <v>1</v>
      </c>
      <c r="E18" s="1">
        <v>0</v>
      </c>
      <c r="F18" s="1">
        <v>0</v>
      </c>
      <c r="G18" s="1">
        <v>29900</v>
      </c>
      <c r="H18" s="10"/>
      <c r="I18" s="10">
        <f>Tabelle589711[[#This Row],[Stromverbrauch in TWh]]*10^6/Tabelle589711[[#This Row],[jährliche Produktion kt]]</f>
        <v>123.74581939799332</v>
      </c>
      <c r="J18" s="10"/>
      <c r="K18" s="1">
        <v>3.7</v>
      </c>
      <c r="L18" s="18"/>
      <c r="M18" s="18">
        <v>313</v>
      </c>
      <c r="N18" s="18"/>
      <c r="O18" s="18"/>
      <c r="P18" s="18"/>
      <c r="Q18" s="18"/>
      <c r="R18" s="18">
        <v>313</v>
      </c>
      <c r="S18" s="18"/>
      <c r="T18" s="18"/>
      <c r="U18" s="18"/>
      <c r="V18" s="18">
        <v>313</v>
      </c>
      <c r="W18" s="18"/>
      <c r="X18" s="18"/>
      <c r="Y18" s="18"/>
      <c r="Z18" s="18"/>
      <c r="AA18" s="18">
        <v>500</v>
      </c>
      <c r="AB18" s="18"/>
      <c r="AC18" s="18"/>
      <c r="AD18" s="19"/>
      <c r="AE18" s="8"/>
      <c r="AF18" s="44">
        <f>Tabelle589711[[#This Row],[Durchschnittsauslastung]]*8760</f>
        <v>6482.4</v>
      </c>
      <c r="AG18" s="8">
        <v>0.74</v>
      </c>
      <c r="AH18" s="8"/>
      <c r="AI18" s="19" t="str">
        <f>IF(Tabelle589711[[#This Row],[installierte Leistung MW]]&lt;&gt;"",Tabelle589711[[#This Row],[Durchschnittsauslastung]]*Tabelle589711[[#This Row],[installierte Leistung MW]],"")</f>
        <v/>
      </c>
      <c r="AJ18" s="18" t="str">
        <f>IF(Tabelle589711[[#This Row],[installierte Leistung MW]]&lt;&gt;"",Tabelle589711[[#This Row],[installierte Leistung MW]],"")</f>
        <v/>
      </c>
      <c r="AK18" s="18"/>
      <c r="AL18" s="18"/>
      <c r="AM18" s="18"/>
      <c r="AN18" s="18"/>
      <c r="AO18" s="18">
        <v>0.25</v>
      </c>
      <c r="AP18" s="18">
        <v>0.5</v>
      </c>
      <c r="AQ18" s="29">
        <v>0.25</v>
      </c>
      <c r="AR18" s="1">
        <v>1</v>
      </c>
      <c r="AS18" s="1">
        <v>2</v>
      </c>
      <c r="BB18" s="1" t="s">
        <v>1056</v>
      </c>
      <c r="BC18" s="1">
        <f>2*7</f>
        <v>14</v>
      </c>
      <c r="BF18" s="18"/>
      <c r="BG18" s="18"/>
      <c r="BH18" s="18"/>
      <c r="BI18" s="7"/>
      <c r="BJ18" s="7"/>
      <c r="BK18" s="7"/>
      <c r="BL18" s="7"/>
      <c r="BM18" s="7"/>
      <c r="BO18" s="1" t="s">
        <v>1057</v>
      </c>
      <c r="BP18" s="12" t="s">
        <v>315</v>
      </c>
      <c r="BQ18" s="12" t="s">
        <v>315</v>
      </c>
      <c r="BR18" s="12">
        <v>53</v>
      </c>
      <c r="BS18" s="12">
        <v>53</v>
      </c>
      <c r="BT18" s="12" t="s">
        <v>315</v>
      </c>
      <c r="BU18" s="1">
        <v>57</v>
      </c>
      <c r="BV18" s="12"/>
      <c r="BW18" s="12"/>
      <c r="BX18" s="12"/>
      <c r="BY18" s="12"/>
      <c r="BZ18" s="12"/>
      <c r="CB18" s="12"/>
      <c r="CC18" s="12">
        <v>111</v>
      </c>
      <c r="CD18" s="1">
        <v>58</v>
      </c>
      <c r="CG18" s="1">
        <v>57</v>
      </c>
      <c r="CH18" s="1">
        <v>57</v>
      </c>
      <c r="CM18" s="1">
        <v>57</v>
      </c>
    </row>
    <row r="19" spans="1:91" x14ac:dyDescent="0.2">
      <c r="A19" s="1" t="s">
        <v>880</v>
      </c>
      <c r="B19" s="1" t="s">
        <v>129</v>
      </c>
      <c r="C19" s="1">
        <v>2030</v>
      </c>
      <c r="D19" s="1">
        <v>1</v>
      </c>
      <c r="E19" s="1">
        <v>0</v>
      </c>
      <c r="F19" s="1">
        <v>0</v>
      </c>
      <c r="G19" s="1">
        <v>29900</v>
      </c>
      <c r="H19" s="10"/>
      <c r="I19" s="10">
        <f>Tabelle589711[[#This Row],[Stromverbrauch in TWh]]*10^6/Tabelle589711[[#This Row],[jährliche Produktion kt]]</f>
        <v>123.74581939799332</v>
      </c>
      <c r="J19" s="10"/>
      <c r="K19" s="1">
        <v>3.7</v>
      </c>
      <c r="L19" s="18"/>
      <c r="M19" s="18">
        <v>313</v>
      </c>
      <c r="N19" s="18"/>
      <c r="O19" s="18"/>
      <c r="P19" s="18"/>
      <c r="Q19" s="18"/>
      <c r="R19" s="18">
        <v>313</v>
      </c>
      <c r="S19" s="18"/>
      <c r="T19" s="18"/>
      <c r="U19" s="18"/>
      <c r="V19" s="18">
        <v>313</v>
      </c>
      <c r="W19" s="18"/>
      <c r="X19" s="18"/>
      <c r="Y19" s="18"/>
      <c r="Z19" s="18"/>
      <c r="AA19" s="18">
        <v>500</v>
      </c>
      <c r="AB19" s="18"/>
      <c r="AC19" s="18"/>
      <c r="AD19" s="19"/>
      <c r="AE19" s="8"/>
      <c r="AF19" s="44">
        <f>Tabelle589711[[#This Row],[Durchschnittsauslastung]]*8760</f>
        <v>6482.4</v>
      </c>
      <c r="AG19" s="8">
        <v>0.74</v>
      </c>
      <c r="AH19" s="8"/>
      <c r="AI19" s="19" t="str">
        <f>IF(Tabelle589711[[#This Row],[installierte Leistung MW]]&lt;&gt;"",Tabelle589711[[#This Row],[Durchschnittsauslastung]]*Tabelle589711[[#This Row],[installierte Leistung MW]],"")</f>
        <v/>
      </c>
      <c r="AJ19" s="18" t="str">
        <f>IF(Tabelle589711[[#This Row],[installierte Leistung MW]]&lt;&gt;"",Tabelle589711[[#This Row],[installierte Leistung MW]],"")</f>
        <v/>
      </c>
      <c r="AK19" s="18"/>
      <c r="AL19" s="18"/>
      <c r="AM19" s="18"/>
      <c r="AN19" s="18"/>
      <c r="AO19" s="18">
        <v>0.25</v>
      </c>
      <c r="AP19" s="18">
        <v>0.5</v>
      </c>
      <c r="AQ19" s="29">
        <v>0.25</v>
      </c>
      <c r="AR19" s="1">
        <v>1</v>
      </c>
      <c r="AS19" s="1">
        <v>2</v>
      </c>
      <c r="BB19" s="1" t="s">
        <v>1056</v>
      </c>
      <c r="BC19" s="1">
        <f>2*7</f>
        <v>14</v>
      </c>
      <c r="BF19" s="18"/>
      <c r="BG19" s="18"/>
      <c r="BH19" s="18"/>
      <c r="BI19" s="7"/>
      <c r="BJ19" s="7"/>
      <c r="BK19" s="7"/>
      <c r="BL19" s="7"/>
      <c r="BM19" s="7"/>
      <c r="BO19" s="1" t="s">
        <v>1057</v>
      </c>
      <c r="BP19" s="12" t="s">
        <v>315</v>
      </c>
      <c r="BQ19" s="12" t="s">
        <v>315</v>
      </c>
      <c r="BR19" s="12">
        <v>53</v>
      </c>
      <c r="BS19" s="12">
        <v>53</v>
      </c>
      <c r="BT19" s="12" t="s">
        <v>315</v>
      </c>
      <c r="BU19" s="1">
        <v>57</v>
      </c>
      <c r="BV19" s="12"/>
      <c r="BW19" s="12"/>
      <c r="BX19" s="12"/>
      <c r="BY19" s="12"/>
      <c r="BZ19" s="12"/>
      <c r="CB19" s="12"/>
      <c r="CC19" s="12">
        <v>111</v>
      </c>
      <c r="CD19" s="1">
        <v>58</v>
      </c>
      <c r="CG19" s="1">
        <v>57</v>
      </c>
      <c r="CH19" s="1">
        <v>57</v>
      </c>
      <c r="CM19" s="1">
        <v>57</v>
      </c>
    </row>
    <row r="20" spans="1:91" x14ac:dyDescent="0.2">
      <c r="A20" s="1" t="s">
        <v>312</v>
      </c>
      <c r="B20" s="1" t="s">
        <v>129</v>
      </c>
      <c r="C20" s="1">
        <v>2010</v>
      </c>
      <c r="D20" s="1">
        <v>0</v>
      </c>
      <c r="E20" s="1">
        <v>0</v>
      </c>
      <c r="F20" s="1">
        <v>1</v>
      </c>
      <c r="H20" s="10"/>
      <c r="I20" s="10"/>
      <c r="J20" s="10"/>
      <c r="K20" s="1">
        <v>1.1000000000000001</v>
      </c>
      <c r="L20" s="18"/>
      <c r="N20" s="18"/>
      <c r="O20" s="18"/>
      <c r="P20" s="18"/>
      <c r="Q20" s="18"/>
      <c r="R20" s="18">
        <f>Tabelle589711[[#This Row],[Stromverbrauch in TWh]]*10^6/Tabelle589711[[#This Row],[Potenzial neg. Lastverschiebung MW]]</f>
        <v>5500</v>
      </c>
      <c r="S20" s="18"/>
      <c r="T20" s="18"/>
      <c r="U20" s="18"/>
      <c r="V20" s="18">
        <v>200</v>
      </c>
      <c r="W20" s="18"/>
      <c r="X20" s="18"/>
      <c r="Y20" s="18"/>
      <c r="Z20" s="18"/>
      <c r="AA20" s="18"/>
      <c r="AB20" s="18"/>
      <c r="AC20" s="18"/>
      <c r="AD20" s="19"/>
      <c r="AE20" s="8"/>
      <c r="AF20" s="44"/>
      <c r="AG20" s="8"/>
      <c r="AH20" s="8"/>
      <c r="AI20" s="19" t="str">
        <f>IF(Tabelle589711[[#This Row],[installierte Leistung MW]]&lt;&gt;"",Tabelle589711[[#This Row],[Durchschnittsauslastung]]*Tabelle589711[[#This Row],[installierte Leistung MW]],"")</f>
        <v/>
      </c>
      <c r="AJ20" s="18" t="str">
        <f>IF(Tabelle589711[[#This Row],[installierte Leistung MW]]&lt;&gt;"",Tabelle589711[[#This Row],[installierte Leistung MW]],"")</f>
        <v/>
      </c>
      <c r="AK20" s="18"/>
      <c r="AL20" s="18"/>
      <c r="AM20" s="18"/>
      <c r="AN20" s="18"/>
      <c r="AO20" s="18"/>
      <c r="AP20" s="30"/>
      <c r="AQ20" s="30">
        <f t="shared" ref="AQ20:AQ51" si="2">0.1/60</f>
        <v>1.6666666666666668E-3</v>
      </c>
      <c r="AW20" s="1">
        <v>6</v>
      </c>
      <c r="BF20" s="18"/>
      <c r="BG20" s="18"/>
      <c r="BH20" s="18"/>
      <c r="BI20" s="7"/>
      <c r="BJ20" s="7"/>
      <c r="BK20" s="7"/>
      <c r="BL20" s="7"/>
      <c r="BM20" s="7"/>
      <c r="BO20" s="1" t="s">
        <v>314</v>
      </c>
      <c r="BP20" s="12">
        <v>113</v>
      </c>
      <c r="BQ20" s="12">
        <v>113</v>
      </c>
      <c r="BR20" s="12"/>
      <c r="BS20" s="12">
        <v>52</v>
      </c>
      <c r="BT20" s="12">
        <v>113</v>
      </c>
      <c r="BU20" s="1">
        <v>52</v>
      </c>
      <c r="BV20" s="12"/>
      <c r="BW20" s="12"/>
      <c r="BX20" s="12"/>
      <c r="BY20" s="12"/>
      <c r="BZ20" s="12"/>
      <c r="CB20" s="12"/>
      <c r="CC20" s="12">
        <v>111</v>
      </c>
      <c r="CD20" s="1">
        <v>52</v>
      </c>
    </row>
    <row r="21" spans="1:91" x14ac:dyDescent="0.2">
      <c r="A21" s="1" t="s">
        <v>312</v>
      </c>
      <c r="B21" s="1" t="s">
        <v>129</v>
      </c>
      <c r="C21" s="1">
        <v>2020</v>
      </c>
      <c r="D21" s="1">
        <v>0</v>
      </c>
      <c r="E21" s="1">
        <v>0</v>
      </c>
      <c r="F21" s="1">
        <v>1</v>
      </c>
      <c r="H21" s="10"/>
      <c r="I21" s="10"/>
      <c r="J21" s="10"/>
      <c r="K21" s="1">
        <v>1.1000000000000001</v>
      </c>
      <c r="L21" s="18"/>
      <c r="N21" s="18"/>
      <c r="O21" s="18"/>
      <c r="P21" s="18"/>
      <c r="Q21" s="18"/>
      <c r="R21" s="18">
        <f>Tabelle589711[[#This Row],[Stromverbrauch in TWh]]*10^6/Tabelle589711[[#This Row],[Potenzial neg. Lastverschiebung MW]]</f>
        <v>5500</v>
      </c>
      <c r="S21" s="18"/>
      <c r="T21" s="18"/>
      <c r="U21" s="18"/>
      <c r="V21" s="18">
        <v>200</v>
      </c>
      <c r="W21" s="18"/>
      <c r="X21" s="18"/>
      <c r="Y21" s="18"/>
      <c r="Z21" s="18"/>
      <c r="AA21" s="18"/>
      <c r="AB21" s="18"/>
      <c r="AC21" s="18"/>
      <c r="AD21" s="19"/>
      <c r="AE21" s="8"/>
      <c r="AF21" s="44"/>
      <c r="AG21" s="8"/>
      <c r="AH21" s="8"/>
      <c r="AI21" s="19" t="str">
        <f>IF(Tabelle589711[[#This Row],[installierte Leistung MW]]&lt;&gt;"",Tabelle589711[[#This Row],[Durchschnittsauslastung]]*Tabelle589711[[#This Row],[installierte Leistung MW]],"")</f>
        <v/>
      </c>
      <c r="AJ21" s="18" t="str">
        <f>IF(Tabelle589711[[#This Row],[installierte Leistung MW]]&lt;&gt;"",Tabelle589711[[#This Row],[installierte Leistung MW]],"")</f>
        <v/>
      </c>
      <c r="AK21" s="18"/>
      <c r="AL21" s="18"/>
      <c r="AM21" s="18"/>
      <c r="AN21" s="18"/>
      <c r="AO21" s="18"/>
      <c r="AP21" s="30"/>
      <c r="AQ21" s="30">
        <f t="shared" si="2"/>
        <v>1.6666666666666668E-3</v>
      </c>
      <c r="AW21" s="1">
        <v>6</v>
      </c>
      <c r="BF21" s="18"/>
      <c r="BG21" s="18"/>
      <c r="BH21" s="18"/>
      <c r="BI21" s="7"/>
      <c r="BJ21" s="7"/>
      <c r="BK21" s="7"/>
      <c r="BL21" s="7"/>
      <c r="BM21" s="7"/>
      <c r="BO21" s="1" t="s">
        <v>314</v>
      </c>
      <c r="BP21" s="12">
        <v>113</v>
      </c>
      <c r="BQ21" s="12">
        <v>113</v>
      </c>
      <c r="BR21" s="12"/>
      <c r="BS21" s="12">
        <v>52</v>
      </c>
      <c r="BT21" s="12">
        <v>113</v>
      </c>
      <c r="BU21" s="1">
        <v>52</v>
      </c>
      <c r="BV21" s="12"/>
      <c r="BW21" s="12"/>
      <c r="BX21" s="12"/>
      <c r="BY21" s="12"/>
      <c r="BZ21" s="12"/>
      <c r="CB21" s="12"/>
      <c r="CC21" s="12">
        <v>111</v>
      </c>
      <c r="CD21" s="1">
        <v>52</v>
      </c>
    </row>
    <row r="22" spans="1:91" x14ac:dyDescent="0.2">
      <c r="A22" s="1" t="s">
        <v>312</v>
      </c>
      <c r="B22" s="1" t="s">
        <v>129</v>
      </c>
      <c r="C22" s="1">
        <v>2030</v>
      </c>
      <c r="D22" s="1">
        <v>0</v>
      </c>
      <c r="E22" s="1">
        <v>0</v>
      </c>
      <c r="F22" s="1">
        <v>1</v>
      </c>
      <c r="H22" s="10"/>
      <c r="I22" s="10"/>
      <c r="J22" s="10"/>
      <c r="K22" s="1">
        <v>1.1000000000000001</v>
      </c>
      <c r="L22" s="18"/>
      <c r="N22" s="18"/>
      <c r="O22" s="18"/>
      <c r="P22" s="18"/>
      <c r="Q22" s="18"/>
      <c r="R22" s="18">
        <f>Tabelle589711[[#This Row],[Stromverbrauch in TWh]]*10^6/Tabelle589711[[#This Row],[Potenzial neg. Lastverschiebung MW]]</f>
        <v>5500</v>
      </c>
      <c r="S22" s="18"/>
      <c r="T22" s="18"/>
      <c r="U22" s="18"/>
      <c r="V22" s="18">
        <v>200</v>
      </c>
      <c r="W22" s="18"/>
      <c r="X22" s="18"/>
      <c r="Y22" s="18"/>
      <c r="Z22" s="18"/>
      <c r="AA22" s="18"/>
      <c r="AB22" s="18"/>
      <c r="AC22" s="18"/>
      <c r="AD22" s="19"/>
      <c r="AE22" s="8"/>
      <c r="AF22" s="44"/>
      <c r="AG22" s="8"/>
      <c r="AH22" s="8"/>
      <c r="AI22" s="19" t="str">
        <f>IF(Tabelle589711[[#This Row],[installierte Leistung MW]]&lt;&gt;"",Tabelle589711[[#This Row],[Durchschnittsauslastung]]*Tabelle589711[[#This Row],[installierte Leistung MW]],"")</f>
        <v/>
      </c>
      <c r="AJ22" s="18" t="str">
        <f>IF(Tabelle589711[[#This Row],[installierte Leistung MW]]&lt;&gt;"",Tabelle589711[[#This Row],[installierte Leistung MW]],"")</f>
        <v/>
      </c>
      <c r="AK22" s="18"/>
      <c r="AL22" s="18"/>
      <c r="AM22" s="18"/>
      <c r="AN22" s="18"/>
      <c r="AO22" s="18"/>
      <c r="AP22" s="30"/>
      <c r="AQ22" s="30">
        <f t="shared" si="2"/>
        <v>1.6666666666666668E-3</v>
      </c>
      <c r="AW22" s="1">
        <v>6</v>
      </c>
      <c r="BF22" s="18"/>
      <c r="BG22" s="18"/>
      <c r="BH22" s="18"/>
      <c r="BI22" s="7"/>
      <c r="BJ22" s="7"/>
      <c r="BK22" s="7"/>
      <c r="BL22" s="7"/>
      <c r="BM22" s="7"/>
      <c r="BO22" s="1" t="s">
        <v>314</v>
      </c>
      <c r="BP22" s="12">
        <v>113</v>
      </c>
      <c r="BQ22" s="12">
        <v>113</v>
      </c>
      <c r="BR22" s="12"/>
      <c r="BS22" s="12">
        <v>52</v>
      </c>
      <c r="BT22" s="12">
        <v>113</v>
      </c>
      <c r="BU22" s="1">
        <v>52</v>
      </c>
      <c r="BV22" s="12"/>
      <c r="BW22" s="12"/>
      <c r="BX22" s="12"/>
      <c r="BY22" s="12"/>
      <c r="BZ22" s="12"/>
      <c r="CB22" s="12"/>
      <c r="CC22" s="12">
        <v>111</v>
      </c>
      <c r="CD22" s="1">
        <v>52</v>
      </c>
    </row>
    <row r="23" spans="1:91" x14ac:dyDescent="0.2">
      <c r="A23" s="1" t="s">
        <v>135</v>
      </c>
      <c r="B23" s="1" t="s">
        <v>142</v>
      </c>
      <c r="C23" s="1">
        <v>2010</v>
      </c>
      <c r="D23" s="1">
        <v>1</v>
      </c>
      <c r="E23" s="1">
        <v>0</v>
      </c>
      <c r="F23" s="1">
        <v>0</v>
      </c>
      <c r="H23" s="10"/>
      <c r="I23" s="10"/>
      <c r="J23" s="10"/>
      <c r="L23" s="18"/>
      <c r="N23" s="18"/>
      <c r="O23" s="10">
        <v>820</v>
      </c>
      <c r="P23" s="10">
        <v>820</v>
      </c>
      <c r="Q23" s="18"/>
      <c r="R23" s="18"/>
      <c r="S23" s="18"/>
      <c r="T23" s="18"/>
      <c r="U23" s="18"/>
      <c r="V23" s="18"/>
      <c r="W23" s="18"/>
      <c r="X23" s="10">
        <v>820</v>
      </c>
      <c r="Y23" s="10">
        <v>820</v>
      </c>
      <c r="Z23" s="18"/>
      <c r="AA23" s="18"/>
      <c r="AB23" s="18"/>
      <c r="AC23" s="18"/>
      <c r="AD23" s="19"/>
      <c r="AE23" s="8"/>
      <c r="AF23" s="44"/>
      <c r="AG23" s="8"/>
      <c r="AH23" s="8"/>
      <c r="AI23" s="19" t="str">
        <f>IF(Tabelle589711[[#This Row],[installierte Leistung MW]]&lt;&gt;"",Tabelle589711[[#This Row],[Durchschnittsauslastung]]*Tabelle589711[[#This Row],[installierte Leistung MW]],"")</f>
        <v/>
      </c>
      <c r="AJ23" s="18" t="str">
        <f>IF(Tabelle589711[[#This Row],[installierte Leistung MW]]&lt;&gt;"",Tabelle589711[[#This Row],[installierte Leistung MW]],"")</f>
        <v/>
      </c>
      <c r="AK23" s="18"/>
      <c r="AL23" s="18"/>
      <c r="AM23" s="18"/>
      <c r="AN23" s="18"/>
      <c r="AO23" s="18">
        <f t="shared" ref="AO23:AO54" si="3">0.01/60</f>
        <v>1.6666666666666666E-4</v>
      </c>
      <c r="AP23" s="18"/>
      <c r="AQ23" s="30">
        <f t="shared" si="2"/>
        <v>1.6666666666666668E-3</v>
      </c>
      <c r="BF23" s="18"/>
      <c r="BG23" s="18"/>
      <c r="BH23" s="18"/>
      <c r="BI23" s="7"/>
      <c r="BJ23" s="7"/>
      <c r="BK23" s="7"/>
      <c r="BL23" s="7"/>
      <c r="BM23" s="7"/>
      <c r="BT23" s="12" t="s">
        <v>301</v>
      </c>
      <c r="BU23" s="12" t="s">
        <v>301</v>
      </c>
      <c r="BV23" s="12"/>
      <c r="BW23" s="12"/>
      <c r="BX23" s="12"/>
      <c r="BY23" s="12"/>
      <c r="BZ23" s="12"/>
      <c r="CB23" s="12"/>
      <c r="CC23" s="12"/>
    </row>
    <row r="24" spans="1:91" x14ac:dyDescent="0.2">
      <c r="A24" s="1" t="s">
        <v>135</v>
      </c>
      <c r="B24" s="1" t="s">
        <v>142</v>
      </c>
      <c r="C24" s="1">
        <v>2020</v>
      </c>
      <c r="D24" s="1">
        <v>1</v>
      </c>
      <c r="E24" s="1">
        <v>0</v>
      </c>
      <c r="F24" s="1">
        <v>0</v>
      </c>
      <c r="H24" s="10"/>
      <c r="I24" s="10"/>
      <c r="J24" s="10"/>
      <c r="L24" s="18"/>
      <c r="N24" s="18"/>
      <c r="O24" s="10">
        <v>900</v>
      </c>
      <c r="P24" s="10">
        <v>900</v>
      </c>
      <c r="Q24" s="18"/>
      <c r="R24" s="18"/>
      <c r="S24" s="18"/>
      <c r="T24" s="18"/>
      <c r="U24" s="18"/>
      <c r="V24" s="18"/>
      <c r="W24" s="18"/>
      <c r="X24" s="10">
        <v>900</v>
      </c>
      <c r="Y24" s="10">
        <v>900</v>
      </c>
      <c r="Z24" s="18"/>
      <c r="AA24" s="18"/>
      <c r="AB24" s="18"/>
      <c r="AC24" s="18"/>
      <c r="AD24" s="19"/>
      <c r="AE24" s="8"/>
      <c r="AF24" s="44"/>
      <c r="AG24" s="8"/>
      <c r="AH24" s="8"/>
      <c r="AI24" s="19" t="str">
        <f>IF(Tabelle589711[[#This Row],[installierte Leistung MW]]&lt;&gt;"",Tabelle589711[[#This Row],[Durchschnittsauslastung]]*Tabelle589711[[#This Row],[installierte Leistung MW]],"")</f>
        <v/>
      </c>
      <c r="AJ24" s="18" t="str">
        <f>IF(Tabelle589711[[#This Row],[installierte Leistung MW]]&lt;&gt;"",Tabelle589711[[#This Row],[installierte Leistung MW]],"")</f>
        <v/>
      </c>
      <c r="AK24" s="18"/>
      <c r="AL24" s="18"/>
      <c r="AM24" s="18"/>
      <c r="AN24" s="18"/>
      <c r="AO24" s="18">
        <f t="shared" si="3"/>
        <v>1.6666666666666666E-4</v>
      </c>
      <c r="AP24" s="18"/>
      <c r="AQ24" s="30">
        <f t="shared" si="2"/>
        <v>1.6666666666666668E-3</v>
      </c>
      <c r="BF24" s="18"/>
      <c r="BG24" s="18"/>
      <c r="BH24" s="18"/>
      <c r="BI24" s="7"/>
      <c r="BJ24" s="7"/>
      <c r="BK24" s="7"/>
      <c r="BL24" s="7"/>
      <c r="BM24" s="7"/>
      <c r="BT24" s="12" t="s">
        <v>301</v>
      </c>
      <c r="BU24" s="12" t="s">
        <v>301</v>
      </c>
      <c r="BV24" s="12"/>
      <c r="BW24" s="12"/>
      <c r="BX24" s="12"/>
      <c r="BY24" s="12"/>
      <c r="BZ24" s="12"/>
      <c r="CB24" s="12"/>
      <c r="CC24" s="12"/>
    </row>
    <row r="25" spans="1:91" x14ac:dyDescent="0.2">
      <c r="A25" s="1" t="s">
        <v>135</v>
      </c>
      <c r="B25" s="1" t="s">
        <v>142</v>
      </c>
      <c r="C25" s="1">
        <v>2030</v>
      </c>
      <c r="D25" s="1">
        <v>1</v>
      </c>
      <c r="E25" s="1">
        <v>0</v>
      </c>
      <c r="F25" s="1">
        <v>0</v>
      </c>
      <c r="H25" s="10"/>
      <c r="I25" s="10"/>
      <c r="J25" s="10"/>
      <c r="L25" s="18"/>
      <c r="N25" s="18"/>
      <c r="O25" s="10">
        <v>950</v>
      </c>
      <c r="P25" s="10">
        <v>950</v>
      </c>
      <c r="Q25" s="18"/>
      <c r="R25" s="18"/>
      <c r="S25" s="18"/>
      <c r="T25" s="18"/>
      <c r="U25" s="18"/>
      <c r="V25" s="18"/>
      <c r="W25" s="18"/>
      <c r="X25" s="10">
        <v>950</v>
      </c>
      <c r="Y25" s="10">
        <v>950</v>
      </c>
      <c r="Z25" s="18"/>
      <c r="AA25" s="18"/>
      <c r="AB25" s="18"/>
      <c r="AC25" s="18"/>
      <c r="AD25" s="19"/>
      <c r="AE25" s="8"/>
      <c r="AF25" s="44"/>
      <c r="AG25" s="8"/>
      <c r="AH25" s="8"/>
      <c r="AI25" s="19" t="str">
        <f>IF(Tabelle589711[[#This Row],[installierte Leistung MW]]&lt;&gt;"",Tabelle589711[[#This Row],[Durchschnittsauslastung]]*Tabelle589711[[#This Row],[installierte Leistung MW]],"")</f>
        <v/>
      </c>
      <c r="AJ25" s="18" t="str">
        <f>IF(Tabelle589711[[#This Row],[installierte Leistung MW]]&lt;&gt;"",Tabelle589711[[#This Row],[installierte Leistung MW]],"")</f>
        <v/>
      </c>
      <c r="AK25" s="18"/>
      <c r="AL25" s="18"/>
      <c r="AM25" s="18"/>
      <c r="AN25" s="18"/>
      <c r="AO25" s="18">
        <f t="shared" si="3"/>
        <v>1.6666666666666666E-4</v>
      </c>
      <c r="AP25" s="18"/>
      <c r="AQ25" s="30">
        <f t="shared" si="2"/>
        <v>1.6666666666666668E-3</v>
      </c>
      <c r="BF25" s="18"/>
      <c r="BG25" s="18"/>
      <c r="BH25" s="18"/>
      <c r="BI25" s="7"/>
      <c r="BJ25" s="7"/>
      <c r="BK25" s="7"/>
      <c r="BL25" s="7"/>
      <c r="BM25" s="7"/>
      <c r="BT25" s="12" t="s">
        <v>301</v>
      </c>
      <c r="BU25" s="12" t="s">
        <v>301</v>
      </c>
      <c r="BV25" s="12"/>
      <c r="BW25" s="12"/>
      <c r="BX25" s="12"/>
      <c r="BY25" s="12"/>
      <c r="BZ25" s="12"/>
      <c r="CB25" s="12"/>
      <c r="CC25" s="12"/>
    </row>
    <row r="26" spans="1:91" x14ac:dyDescent="0.2">
      <c r="A26" s="1" t="s">
        <v>286</v>
      </c>
      <c r="B26" s="1" t="s">
        <v>142</v>
      </c>
      <c r="C26" s="1">
        <v>2010</v>
      </c>
      <c r="D26" s="1">
        <v>1</v>
      </c>
      <c r="E26" s="1">
        <v>0</v>
      </c>
      <c r="F26" s="1">
        <v>0</v>
      </c>
      <c r="H26" s="10"/>
      <c r="I26" s="10"/>
      <c r="J26" s="10"/>
      <c r="L26" s="18"/>
      <c r="N26" s="18"/>
      <c r="O26" s="10">
        <v>1020</v>
      </c>
      <c r="P26" s="10">
        <v>1020</v>
      </c>
      <c r="Q26" s="18"/>
      <c r="R26" s="18"/>
      <c r="S26" s="18"/>
      <c r="T26" s="18"/>
      <c r="U26" s="18"/>
      <c r="V26" s="18"/>
      <c r="W26" s="18"/>
      <c r="X26" s="10">
        <v>1020</v>
      </c>
      <c r="Y26" s="10">
        <v>1020</v>
      </c>
      <c r="Z26" s="18"/>
      <c r="AA26" s="18"/>
      <c r="AB26" s="18"/>
      <c r="AC26" s="18"/>
      <c r="AD26" s="19"/>
      <c r="AE26" s="8"/>
      <c r="AF26" s="44"/>
      <c r="AG26" s="8"/>
      <c r="AH26" s="8"/>
      <c r="AI26" s="19" t="str">
        <f>IF(Tabelle589711[[#This Row],[installierte Leistung MW]]&lt;&gt;"",Tabelle589711[[#This Row],[Durchschnittsauslastung]]*Tabelle589711[[#This Row],[installierte Leistung MW]],"")</f>
        <v/>
      </c>
      <c r="AJ26" s="18" t="str">
        <f>IF(Tabelle589711[[#This Row],[installierte Leistung MW]]&lt;&gt;"",Tabelle589711[[#This Row],[installierte Leistung MW]],"")</f>
        <v/>
      </c>
      <c r="AK26" s="18"/>
      <c r="AL26" s="18"/>
      <c r="AM26" s="18"/>
      <c r="AN26" s="18"/>
      <c r="AO26" s="18">
        <f t="shared" si="3"/>
        <v>1.6666666666666666E-4</v>
      </c>
      <c r="AP26" s="18"/>
      <c r="AQ26" s="30">
        <f t="shared" si="2"/>
        <v>1.6666666666666668E-3</v>
      </c>
      <c r="AS26" s="1">
        <v>2.25</v>
      </c>
      <c r="AV26" s="1">
        <v>2.25</v>
      </c>
      <c r="AZ26" s="1">
        <v>24</v>
      </c>
      <c r="BB26" s="1" t="s">
        <v>318</v>
      </c>
      <c r="BD26" s="1">
        <v>198</v>
      </c>
      <c r="BF26" s="18"/>
      <c r="BG26" s="18"/>
      <c r="BH26" s="18"/>
      <c r="BI26" s="7"/>
      <c r="BJ26" s="7"/>
      <c r="BK26" s="7"/>
      <c r="BL26" s="7"/>
      <c r="BM26" s="7"/>
      <c r="BT26" s="12" t="s">
        <v>301</v>
      </c>
      <c r="BU26" s="12" t="s">
        <v>301</v>
      </c>
      <c r="BV26" s="12"/>
      <c r="BW26" s="12"/>
      <c r="BX26" s="12"/>
      <c r="BY26" s="12"/>
      <c r="BZ26" s="12"/>
      <c r="CB26" s="12"/>
      <c r="CC26" s="12"/>
      <c r="CD26" s="1">
        <v>62</v>
      </c>
      <c r="CG26" s="1">
        <v>62</v>
      </c>
    </row>
    <row r="27" spans="1:91" x14ac:dyDescent="0.2">
      <c r="A27" s="1" t="s">
        <v>286</v>
      </c>
      <c r="B27" s="1" t="s">
        <v>142</v>
      </c>
      <c r="C27" s="1">
        <v>2020</v>
      </c>
      <c r="D27" s="1">
        <v>1</v>
      </c>
      <c r="E27" s="1">
        <v>0</v>
      </c>
      <c r="F27" s="1">
        <v>0</v>
      </c>
      <c r="H27" s="10"/>
      <c r="I27" s="10"/>
      <c r="J27" s="10"/>
      <c r="L27" s="18"/>
      <c r="N27" s="18"/>
      <c r="O27" s="10">
        <v>980</v>
      </c>
      <c r="P27" s="10">
        <v>980</v>
      </c>
      <c r="Q27" s="18"/>
      <c r="R27" s="18"/>
      <c r="S27" s="18"/>
      <c r="T27" s="18"/>
      <c r="U27" s="18"/>
      <c r="V27" s="18"/>
      <c r="W27" s="18"/>
      <c r="X27" s="10">
        <v>980</v>
      </c>
      <c r="Y27" s="10">
        <v>980</v>
      </c>
      <c r="Z27" s="18"/>
      <c r="AA27" s="18"/>
      <c r="AB27" s="18"/>
      <c r="AC27" s="18"/>
      <c r="AD27" s="19"/>
      <c r="AE27" s="8"/>
      <c r="AF27" s="44"/>
      <c r="AG27" s="8"/>
      <c r="AH27" s="8"/>
      <c r="AI27" s="19" t="str">
        <f>IF(Tabelle589711[[#This Row],[installierte Leistung MW]]&lt;&gt;"",Tabelle589711[[#This Row],[Durchschnittsauslastung]]*Tabelle589711[[#This Row],[installierte Leistung MW]],"")</f>
        <v/>
      </c>
      <c r="AJ27" s="18" t="str">
        <f>IF(Tabelle589711[[#This Row],[installierte Leistung MW]]&lt;&gt;"",Tabelle589711[[#This Row],[installierte Leistung MW]],"")</f>
        <v/>
      </c>
      <c r="AK27" s="18"/>
      <c r="AL27" s="18"/>
      <c r="AM27" s="18"/>
      <c r="AN27" s="18"/>
      <c r="AO27" s="18">
        <f t="shared" si="3"/>
        <v>1.6666666666666666E-4</v>
      </c>
      <c r="AP27" s="18"/>
      <c r="AQ27" s="30">
        <f t="shared" si="2"/>
        <v>1.6666666666666668E-3</v>
      </c>
      <c r="AS27" s="1">
        <v>2.25</v>
      </c>
      <c r="AV27" s="1">
        <v>2.25</v>
      </c>
      <c r="AZ27" s="1">
        <v>24</v>
      </c>
      <c r="BB27" s="1" t="s">
        <v>318</v>
      </c>
      <c r="BD27" s="1">
        <v>198</v>
      </c>
      <c r="BF27" s="18"/>
      <c r="BG27" s="18"/>
      <c r="BH27" s="18"/>
      <c r="BI27" s="7"/>
      <c r="BJ27" s="7"/>
      <c r="BK27" s="7"/>
      <c r="BL27" s="7"/>
      <c r="BM27" s="7"/>
      <c r="BT27" s="12" t="s">
        <v>301</v>
      </c>
      <c r="BU27" s="12" t="s">
        <v>301</v>
      </c>
      <c r="BV27" s="12"/>
      <c r="BW27" s="12"/>
      <c r="BX27" s="12"/>
      <c r="BY27" s="12"/>
      <c r="BZ27" s="12"/>
      <c r="CB27" s="12"/>
      <c r="CC27" s="12"/>
    </row>
    <row r="28" spans="1:91" x14ac:dyDescent="0.2">
      <c r="A28" s="1" t="s">
        <v>286</v>
      </c>
      <c r="B28" s="1" t="s">
        <v>142</v>
      </c>
      <c r="C28" s="1">
        <v>2030</v>
      </c>
      <c r="D28" s="1">
        <v>1</v>
      </c>
      <c r="E28" s="1">
        <v>0</v>
      </c>
      <c r="F28" s="1">
        <v>0</v>
      </c>
      <c r="H28" s="10"/>
      <c r="I28" s="10"/>
      <c r="J28" s="10"/>
      <c r="L28" s="18"/>
      <c r="N28" s="18"/>
      <c r="O28" s="10">
        <v>980</v>
      </c>
      <c r="P28" s="10">
        <v>980</v>
      </c>
      <c r="Q28" s="18"/>
      <c r="R28" s="18"/>
      <c r="S28" s="18"/>
      <c r="T28" s="18"/>
      <c r="U28" s="18"/>
      <c r="V28" s="18"/>
      <c r="W28" s="18"/>
      <c r="X28" s="10">
        <v>980</v>
      </c>
      <c r="Y28" s="10">
        <v>980</v>
      </c>
      <c r="Z28" s="18"/>
      <c r="AA28" s="18"/>
      <c r="AB28" s="18"/>
      <c r="AC28" s="18"/>
      <c r="AD28" s="19"/>
      <c r="AE28" s="8"/>
      <c r="AF28" s="44"/>
      <c r="AG28" s="8"/>
      <c r="AH28" s="8"/>
      <c r="AI28" s="19" t="str">
        <f>IF(Tabelle589711[[#This Row],[installierte Leistung MW]]&lt;&gt;"",Tabelle589711[[#This Row],[Durchschnittsauslastung]]*Tabelle589711[[#This Row],[installierte Leistung MW]],"")</f>
        <v/>
      </c>
      <c r="AJ28" s="18" t="str">
        <f>IF(Tabelle589711[[#This Row],[installierte Leistung MW]]&lt;&gt;"",Tabelle589711[[#This Row],[installierte Leistung MW]],"")</f>
        <v/>
      </c>
      <c r="AK28" s="18"/>
      <c r="AL28" s="18"/>
      <c r="AM28" s="18"/>
      <c r="AN28" s="18"/>
      <c r="AO28" s="18">
        <f t="shared" si="3"/>
        <v>1.6666666666666666E-4</v>
      </c>
      <c r="AP28" s="18"/>
      <c r="AQ28" s="30">
        <f t="shared" si="2"/>
        <v>1.6666666666666668E-3</v>
      </c>
      <c r="AS28" s="1">
        <v>2.25</v>
      </c>
      <c r="AV28" s="1">
        <v>2.25</v>
      </c>
      <c r="AZ28" s="1">
        <v>24</v>
      </c>
      <c r="BB28" s="1" t="s">
        <v>318</v>
      </c>
      <c r="BD28" s="1">
        <v>198</v>
      </c>
      <c r="BF28" s="18"/>
      <c r="BG28" s="18"/>
      <c r="BH28" s="18"/>
      <c r="BI28" s="7"/>
      <c r="BJ28" s="7"/>
      <c r="BK28" s="7"/>
      <c r="BL28" s="7"/>
      <c r="BM28" s="7"/>
      <c r="BT28" s="12" t="s">
        <v>301</v>
      </c>
      <c r="BU28" s="12" t="s">
        <v>301</v>
      </c>
      <c r="BV28" s="12"/>
      <c r="BW28" s="12"/>
      <c r="BX28" s="12"/>
      <c r="BY28" s="12"/>
      <c r="BZ28" s="12"/>
      <c r="CB28" s="12"/>
      <c r="CC28" s="12"/>
    </row>
    <row r="29" spans="1:91" x14ac:dyDescent="0.2">
      <c r="A29" s="1" t="s">
        <v>133</v>
      </c>
      <c r="B29" s="1" t="s">
        <v>142</v>
      </c>
      <c r="C29" s="1">
        <v>2010</v>
      </c>
      <c r="D29" s="1">
        <v>1</v>
      </c>
      <c r="E29" s="1">
        <v>0</v>
      </c>
      <c r="F29" s="1">
        <v>0</v>
      </c>
      <c r="H29" s="10"/>
      <c r="I29" s="10"/>
      <c r="J29" s="10"/>
      <c r="L29" s="18"/>
      <c r="N29" s="18"/>
      <c r="O29" s="10">
        <v>1440</v>
      </c>
      <c r="P29" s="10">
        <v>1440</v>
      </c>
      <c r="Q29" s="18"/>
      <c r="R29" s="18"/>
      <c r="S29" s="18"/>
      <c r="T29" s="18"/>
      <c r="U29" s="18"/>
      <c r="V29" s="18"/>
      <c r="W29" s="18"/>
      <c r="X29" s="10">
        <v>1440</v>
      </c>
      <c r="Y29" s="10">
        <v>1440</v>
      </c>
      <c r="Z29" s="18"/>
      <c r="AA29" s="18"/>
      <c r="AB29" s="18"/>
      <c r="AC29" s="18"/>
      <c r="AD29" s="19"/>
      <c r="AE29" s="8"/>
      <c r="AF29" s="44"/>
      <c r="AG29" s="8"/>
      <c r="AH29" s="8"/>
      <c r="AI29" s="19" t="str">
        <f>IF(Tabelle589711[[#This Row],[installierte Leistung MW]]&lt;&gt;"",Tabelle589711[[#This Row],[Durchschnittsauslastung]]*Tabelle589711[[#This Row],[installierte Leistung MW]],"")</f>
        <v/>
      </c>
      <c r="AJ29" s="18" t="str">
        <f>IF(Tabelle589711[[#This Row],[installierte Leistung MW]]&lt;&gt;"",Tabelle589711[[#This Row],[installierte Leistung MW]],"")</f>
        <v/>
      </c>
      <c r="AK29" s="18"/>
      <c r="AL29" s="18"/>
      <c r="AM29" s="18"/>
      <c r="AN29" s="18"/>
      <c r="AO29" s="18">
        <f t="shared" si="3"/>
        <v>1.6666666666666666E-4</v>
      </c>
      <c r="AP29" s="18"/>
      <c r="AQ29" s="30">
        <f t="shared" si="2"/>
        <v>1.6666666666666668E-3</v>
      </c>
      <c r="AS29" s="1">
        <v>1.75</v>
      </c>
      <c r="AV29" s="1">
        <v>1.75</v>
      </c>
      <c r="BD29" s="1">
        <v>116</v>
      </c>
      <c r="BF29" s="18"/>
      <c r="BG29" s="18"/>
      <c r="BH29" s="18"/>
      <c r="BI29" s="7"/>
      <c r="BJ29" s="7"/>
      <c r="BK29" s="7"/>
      <c r="BL29" s="7"/>
      <c r="BM29" s="7"/>
      <c r="BT29" s="12" t="s">
        <v>301</v>
      </c>
      <c r="BU29" s="12" t="s">
        <v>301</v>
      </c>
      <c r="BV29" s="12"/>
      <c r="BW29" s="12"/>
      <c r="BX29" s="12"/>
      <c r="BY29" s="12"/>
      <c r="BZ29" s="12"/>
      <c r="CB29" s="12"/>
      <c r="CC29" s="12"/>
      <c r="CD29" s="1">
        <v>63</v>
      </c>
      <c r="CH29" s="1">
        <v>62</v>
      </c>
    </row>
    <row r="30" spans="1:91" x14ac:dyDescent="0.2">
      <c r="A30" s="1" t="s">
        <v>133</v>
      </c>
      <c r="B30" s="1" t="s">
        <v>142</v>
      </c>
      <c r="C30" s="1">
        <v>2020</v>
      </c>
      <c r="D30" s="1">
        <v>1</v>
      </c>
      <c r="E30" s="1">
        <v>0</v>
      </c>
      <c r="F30" s="1">
        <v>0</v>
      </c>
      <c r="H30" s="10"/>
      <c r="I30" s="10"/>
      <c r="J30" s="10"/>
      <c r="L30" s="18"/>
      <c r="N30" s="18"/>
      <c r="O30" s="10">
        <v>1600</v>
      </c>
      <c r="P30" s="10">
        <v>1600</v>
      </c>
      <c r="Q30" s="18"/>
      <c r="R30" s="18"/>
      <c r="S30" s="18"/>
      <c r="T30" s="18"/>
      <c r="U30" s="18"/>
      <c r="V30" s="18"/>
      <c r="W30" s="18"/>
      <c r="X30" s="10">
        <v>1600</v>
      </c>
      <c r="Y30" s="10">
        <v>1600</v>
      </c>
      <c r="Z30" s="18"/>
      <c r="AA30" s="18"/>
      <c r="AB30" s="18"/>
      <c r="AC30" s="18"/>
      <c r="AD30" s="19"/>
      <c r="AE30" s="8"/>
      <c r="AF30" s="44"/>
      <c r="AG30" s="8"/>
      <c r="AH30" s="8"/>
      <c r="AI30" s="19" t="str">
        <f>IF(Tabelle589711[[#This Row],[installierte Leistung MW]]&lt;&gt;"",Tabelle589711[[#This Row],[Durchschnittsauslastung]]*Tabelle589711[[#This Row],[installierte Leistung MW]],"")</f>
        <v/>
      </c>
      <c r="AJ30" s="18" t="str">
        <f>IF(Tabelle589711[[#This Row],[installierte Leistung MW]]&lt;&gt;"",Tabelle589711[[#This Row],[installierte Leistung MW]],"")</f>
        <v/>
      </c>
      <c r="AK30" s="18"/>
      <c r="AL30" s="18"/>
      <c r="AM30" s="18"/>
      <c r="AN30" s="18"/>
      <c r="AO30" s="18">
        <f t="shared" si="3"/>
        <v>1.6666666666666666E-4</v>
      </c>
      <c r="AP30" s="18"/>
      <c r="AQ30" s="30">
        <f t="shared" si="2"/>
        <v>1.6666666666666668E-3</v>
      </c>
      <c r="AS30" s="1">
        <v>1.75</v>
      </c>
      <c r="AV30" s="1">
        <v>1.75</v>
      </c>
      <c r="BD30" s="1">
        <v>116</v>
      </c>
      <c r="BF30" s="18"/>
      <c r="BG30" s="18"/>
      <c r="BH30" s="18"/>
      <c r="BI30" s="7"/>
      <c r="BJ30" s="7"/>
      <c r="BK30" s="7"/>
      <c r="BL30" s="7"/>
      <c r="BM30" s="7"/>
      <c r="BT30" s="12" t="s">
        <v>301</v>
      </c>
      <c r="BU30" s="12" t="s">
        <v>301</v>
      </c>
      <c r="BV30" s="12"/>
      <c r="BW30" s="12"/>
      <c r="BX30" s="12"/>
      <c r="BY30" s="12"/>
      <c r="BZ30" s="12"/>
      <c r="CB30" s="12"/>
      <c r="CC30" s="12"/>
    </row>
    <row r="31" spans="1:91" x14ac:dyDescent="0.2">
      <c r="A31" s="1" t="s">
        <v>133</v>
      </c>
      <c r="B31" s="1" t="s">
        <v>142</v>
      </c>
      <c r="C31" s="1">
        <v>2030</v>
      </c>
      <c r="D31" s="1">
        <v>1</v>
      </c>
      <c r="E31" s="1">
        <v>0</v>
      </c>
      <c r="F31" s="1">
        <v>0</v>
      </c>
      <c r="H31" s="10"/>
      <c r="I31" s="10"/>
      <c r="J31" s="10"/>
      <c r="L31" s="18"/>
      <c r="N31" s="18"/>
      <c r="O31" s="10">
        <v>1600</v>
      </c>
      <c r="P31" s="10">
        <v>1600</v>
      </c>
      <c r="Q31" s="18"/>
      <c r="R31" s="18"/>
      <c r="S31" s="18"/>
      <c r="T31" s="18"/>
      <c r="U31" s="18"/>
      <c r="V31" s="18"/>
      <c r="W31" s="18"/>
      <c r="X31" s="10">
        <v>1600</v>
      </c>
      <c r="Y31" s="10">
        <v>1600</v>
      </c>
      <c r="Z31" s="18"/>
      <c r="AA31" s="18"/>
      <c r="AB31" s="18"/>
      <c r="AC31" s="18"/>
      <c r="AD31" s="19"/>
      <c r="AE31" s="8"/>
      <c r="AF31" s="44"/>
      <c r="AG31" s="8"/>
      <c r="AH31" s="8"/>
      <c r="AI31" s="19" t="str">
        <f>IF(Tabelle589711[[#This Row],[installierte Leistung MW]]&lt;&gt;"",Tabelle589711[[#This Row],[Durchschnittsauslastung]]*Tabelle589711[[#This Row],[installierte Leistung MW]],"")</f>
        <v/>
      </c>
      <c r="AJ31" s="18" t="str">
        <f>IF(Tabelle589711[[#This Row],[installierte Leistung MW]]&lt;&gt;"",Tabelle589711[[#This Row],[installierte Leistung MW]],"")</f>
        <v/>
      </c>
      <c r="AK31" s="18"/>
      <c r="AL31" s="18"/>
      <c r="AM31" s="18"/>
      <c r="AN31" s="18"/>
      <c r="AO31" s="18">
        <f t="shared" si="3"/>
        <v>1.6666666666666666E-4</v>
      </c>
      <c r="AP31" s="18"/>
      <c r="AQ31" s="30">
        <f t="shared" si="2"/>
        <v>1.6666666666666668E-3</v>
      </c>
      <c r="AS31" s="1">
        <v>1.75</v>
      </c>
      <c r="AV31" s="1">
        <v>1.75</v>
      </c>
      <c r="BD31" s="1">
        <v>116</v>
      </c>
      <c r="BF31" s="18"/>
      <c r="BG31" s="18"/>
      <c r="BH31" s="18"/>
      <c r="BI31" s="7"/>
      <c r="BJ31" s="7"/>
      <c r="BK31" s="7"/>
      <c r="BL31" s="7"/>
      <c r="BM31" s="7"/>
      <c r="BT31" s="12" t="s">
        <v>301</v>
      </c>
      <c r="BU31" s="12" t="s">
        <v>301</v>
      </c>
      <c r="BV31" s="12"/>
      <c r="BW31" s="12"/>
      <c r="BX31" s="12"/>
      <c r="BY31" s="12"/>
      <c r="BZ31" s="12"/>
      <c r="CB31" s="12"/>
      <c r="CC31" s="12"/>
    </row>
    <row r="32" spans="1:91" x14ac:dyDescent="0.2">
      <c r="A32" s="1" t="s">
        <v>132</v>
      </c>
      <c r="B32" s="1" t="s">
        <v>142</v>
      </c>
      <c r="C32" s="1">
        <v>2010</v>
      </c>
      <c r="D32" s="1">
        <v>1</v>
      </c>
      <c r="E32" s="1">
        <v>0</v>
      </c>
      <c r="F32" s="1">
        <v>0</v>
      </c>
      <c r="H32" s="10"/>
      <c r="I32" s="10"/>
      <c r="J32" s="10"/>
      <c r="L32" s="18"/>
      <c r="N32" s="18"/>
      <c r="O32" s="10">
        <v>900</v>
      </c>
      <c r="P32" s="10">
        <v>900</v>
      </c>
      <c r="Q32" s="18"/>
      <c r="R32" s="18"/>
      <c r="S32" s="18"/>
      <c r="T32" s="18"/>
      <c r="U32" s="18"/>
      <c r="V32" s="18"/>
      <c r="W32" s="18"/>
      <c r="X32" s="10">
        <v>900</v>
      </c>
      <c r="Y32" s="10">
        <v>900</v>
      </c>
      <c r="Z32" s="18"/>
      <c r="AA32" s="18"/>
      <c r="AB32" s="18"/>
      <c r="AC32" s="18"/>
      <c r="AD32" s="19"/>
      <c r="AE32" s="8"/>
      <c r="AF32" s="44"/>
      <c r="AG32" s="8"/>
      <c r="AH32" s="8"/>
      <c r="AI32" s="19" t="str">
        <f>IF(Tabelle589711[[#This Row],[installierte Leistung MW]]&lt;&gt;"",Tabelle589711[[#This Row],[Durchschnittsauslastung]]*Tabelle589711[[#This Row],[installierte Leistung MW]],"")</f>
        <v/>
      </c>
      <c r="AJ32" s="18" t="str">
        <f>IF(Tabelle589711[[#This Row],[installierte Leistung MW]]&lt;&gt;"",Tabelle589711[[#This Row],[installierte Leistung MW]],"")</f>
        <v/>
      </c>
      <c r="AK32" s="18"/>
      <c r="AL32" s="18"/>
      <c r="AM32" s="18"/>
      <c r="AN32" s="18"/>
      <c r="AO32" s="18">
        <f t="shared" si="3"/>
        <v>1.6666666666666666E-4</v>
      </c>
      <c r="AP32" s="18"/>
      <c r="AQ32" s="30">
        <f t="shared" si="2"/>
        <v>1.6666666666666668E-3</v>
      </c>
      <c r="AS32" s="1">
        <v>2</v>
      </c>
      <c r="AV32" s="1">
        <v>2</v>
      </c>
      <c r="BB32" s="1" t="s">
        <v>316</v>
      </c>
      <c r="BF32" s="18"/>
      <c r="BG32" s="18"/>
      <c r="BH32" s="18"/>
      <c r="BI32" s="7"/>
      <c r="BJ32" s="7"/>
      <c r="BK32" s="7"/>
      <c r="BL32" s="7"/>
      <c r="BM32" s="7"/>
      <c r="BT32" s="12" t="s">
        <v>301</v>
      </c>
      <c r="BU32" s="12" t="s">
        <v>301</v>
      </c>
      <c r="BV32" s="12"/>
      <c r="BW32" s="12"/>
      <c r="BX32" s="12"/>
      <c r="BY32" s="12"/>
      <c r="BZ32" s="12"/>
      <c r="CB32" s="12"/>
      <c r="CC32" s="12"/>
      <c r="CD32" s="1">
        <v>61</v>
      </c>
      <c r="CG32" s="1" t="s">
        <v>317</v>
      </c>
    </row>
    <row r="33" spans="1:91" x14ac:dyDescent="0.2">
      <c r="A33" s="1" t="s">
        <v>132</v>
      </c>
      <c r="B33" s="1" t="s">
        <v>142</v>
      </c>
      <c r="C33" s="1">
        <v>2020</v>
      </c>
      <c r="D33" s="1">
        <v>1</v>
      </c>
      <c r="E33" s="1">
        <v>0</v>
      </c>
      <c r="F33" s="1">
        <v>0</v>
      </c>
      <c r="H33" s="10"/>
      <c r="I33" s="10"/>
      <c r="J33" s="10"/>
      <c r="L33" s="18"/>
      <c r="N33" s="18"/>
      <c r="O33" s="10">
        <v>1000</v>
      </c>
      <c r="P33" s="10">
        <v>1000</v>
      </c>
      <c r="Q33" s="18"/>
      <c r="R33" s="18"/>
      <c r="S33" s="18"/>
      <c r="T33" s="18"/>
      <c r="U33" s="18"/>
      <c r="V33" s="18"/>
      <c r="W33" s="18"/>
      <c r="X33" s="10">
        <v>1000</v>
      </c>
      <c r="Y33" s="10">
        <v>1000</v>
      </c>
      <c r="Z33" s="18"/>
      <c r="AA33" s="18"/>
      <c r="AB33" s="18"/>
      <c r="AC33" s="18"/>
      <c r="AD33" s="19"/>
      <c r="AE33" s="8"/>
      <c r="AF33" s="44"/>
      <c r="AG33" s="8"/>
      <c r="AH33" s="8"/>
      <c r="AI33" s="19" t="str">
        <f>IF(Tabelle589711[[#This Row],[installierte Leistung MW]]&lt;&gt;"",Tabelle589711[[#This Row],[Durchschnittsauslastung]]*Tabelle589711[[#This Row],[installierte Leistung MW]],"")</f>
        <v/>
      </c>
      <c r="AJ33" s="18" t="str">
        <f>IF(Tabelle589711[[#This Row],[installierte Leistung MW]]&lt;&gt;"",Tabelle589711[[#This Row],[installierte Leistung MW]],"")</f>
        <v/>
      </c>
      <c r="AK33" s="18"/>
      <c r="AL33" s="18"/>
      <c r="AM33" s="18"/>
      <c r="AN33" s="18"/>
      <c r="AO33" s="18">
        <f t="shared" si="3"/>
        <v>1.6666666666666666E-4</v>
      </c>
      <c r="AP33" s="18"/>
      <c r="AQ33" s="30">
        <f t="shared" si="2"/>
        <v>1.6666666666666668E-3</v>
      </c>
      <c r="AS33" s="1">
        <v>2</v>
      </c>
      <c r="AV33" s="1">
        <v>2</v>
      </c>
      <c r="BB33" s="1" t="s">
        <v>316</v>
      </c>
      <c r="BF33" s="18"/>
      <c r="BG33" s="18"/>
      <c r="BH33" s="18"/>
      <c r="BI33" s="7"/>
      <c r="BJ33" s="7"/>
      <c r="BK33" s="7"/>
      <c r="BL33" s="7"/>
      <c r="BM33" s="7"/>
      <c r="BT33" s="12" t="s">
        <v>301</v>
      </c>
      <c r="BU33" s="12" t="s">
        <v>301</v>
      </c>
      <c r="BV33" s="12"/>
      <c r="BW33" s="12"/>
      <c r="BX33" s="12"/>
      <c r="BY33" s="12"/>
      <c r="BZ33" s="12"/>
      <c r="CB33" s="12"/>
      <c r="CC33" s="12"/>
    </row>
    <row r="34" spans="1:91" x14ac:dyDescent="0.2">
      <c r="A34" s="1" t="s">
        <v>132</v>
      </c>
      <c r="B34" s="1" t="s">
        <v>142</v>
      </c>
      <c r="C34" s="1">
        <v>2030</v>
      </c>
      <c r="D34" s="1">
        <v>1</v>
      </c>
      <c r="E34" s="1">
        <v>0</v>
      </c>
      <c r="F34" s="1">
        <v>0</v>
      </c>
      <c r="H34" s="10"/>
      <c r="I34" s="10"/>
      <c r="J34" s="10"/>
      <c r="L34" s="18"/>
      <c r="N34" s="18"/>
      <c r="O34" s="10">
        <v>1000</v>
      </c>
      <c r="P34" s="10">
        <v>1000</v>
      </c>
      <c r="Q34" s="18"/>
      <c r="R34" s="18"/>
      <c r="S34" s="18"/>
      <c r="T34" s="18"/>
      <c r="U34" s="18"/>
      <c r="V34" s="18"/>
      <c r="W34" s="18"/>
      <c r="X34" s="10">
        <v>1000</v>
      </c>
      <c r="Y34" s="10">
        <v>1000</v>
      </c>
      <c r="Z34" s="18"/>
      <c r="AA34" s="18"/>
      <c r="AB34" s="18"/>
      <c r="AC34" s="18"/>
      <c r="AD34" s="19"/>
      <c r="AE34" s="8"/>
      <c r="AF34" s="44"/>
      <c r="AG34" s="8"/>
      <c r="AH34" s="8"/>
      <c r="AI34" s="19" t="str">
        <f>IF(Tabelle589711[[#This Row],[installierte Leistung MW]]&lt;&gt;"",Tabelle589711[[#This Row],[Durchschnittsauslastung]]*Tabelle589711[[#This Row],[installierte Leistung MW]],"")</f>
        <v/>
      </c>
      <c r="AJ34" s="18" t="str">
        <f>IF(Tabelle589711[[#This Row],[installierte Leistung MW]]&lt;&gt;"",Tabelle589711[[#This Row],[installierte Leistung MW]],"")</f>
        <v/>
      </c>
      <c r="AK34" s="18"/>
      <c r="AL34" s="18"/>
      <c r="AM34" s="18"/>
      <c r="AN34" s="18"/>
      <c r="AO34" s="18">
        <f t="shared" si="3"/>
        <v>1.6666666666666666E-4</v>
      </c>
      <c r="AP34" s="18"/>
      <c r="AQ34" s="30">
        <f t="shared" si="2"/>
        <v>1.6666666666666668E-3</v>
      </c>
      <c r="AS34" s="1">
        <v>2</v>
      </c>
      <c r="AV34" s="1">
        <v>2</v>
      </c>
      <c r="BB34" s="1" t="s">
        <v>316</v>
      </c>
      <c r="BF34" s="18"/>
      <c r="BG34" s="18"/>
      <c r="BH34" s="18"/>
      <c r="BI34" s="7"/>
      <c r="BJ34" s="7"/>
      <c r="BK34" s="7"/>
      <c r="BL34" s="7"/>
      <c r="BM34" s="7"/>
      <c r="BT34" s="12" t="s">
        <v>301</v>
      </c>
      <c r="BU34" s="12" t="s">
        <v>301</v>
      </c>
      <c r="BV34" s="12"/>
      <c r="BW34" s="12"/>
      <c r="BX34" s="12"/>
      <c r="BY34" s="12"/>
      <c r="BZ34" s="12"/>
      <c r="CB34" s="12"/>
      <c r="CC34" s="12"/>
    </row>
    <row r="35" spans="1:91" x14ac:dyDescent="0.2">
      <c r="A35" s="1" t="s">
        <v>365</v>
      </c>
      <c r="B35" s="1" t="s">
        <v>142</v>
      </c>
      <c r="C35" s="1">
        <v>2010</v>
      </c>
      <c r="D35" s="1">
        <v>1</v>
      </c>
      <c r="E35" s="1">
        <v>0</v>
      </c>
      <c r="F35" s="1">
        <v>0</v>
      </c>
      <c r="H35" s="10"/>
      <c r="I35" s="10"/>
      <c r="J35" s="10"/>
      <c r="L35" s="18"/>
      <c r="N35" s="18"/>
      <c r="O35" s="10">
        <v>2620</v>
      </c>
      <c r="P35" s="10">
        <v>0</v>
      </c>
      <c r="Q35" s="18"/>
      <c r="R35" s="18"/>
      <c r="S35" s="18"/>
      <c r="T35" s="18"/>
      <c r="U35" s="18"/>
      <c r="V35" s="18"/>
      <c r="W35" s="18"/>
      <c r="X35" s="10">
        <v>2620</v>
      </c>
      <c r="Y35" s="10">
        <v>0</v>
      </c>
      <c r="Z35" s="18"/>
      <c r="AA35" s="18"/>
      <c r="AB35" s="18"/>
      <c r="AC35" s="18"/>
      <c r="AD35" s="19"/>
      <c r="AE35" s="8"/>
      <c r="AF35" s="44">
        <f>Tabelle589711[[#This Row],[Durchschnittsauslastung]]*8760</f>
        <v>450</v>
      </c>
      <c r="AG35" s="8">
        <f>450/8760</f>
        <v>5.1369863013698627E-2</v>
      </c>
      <c r="AH35" s="8"/>
      <c r="AI35" s="19" t="str">
        <f>IF(Tabelle589711[[#This Row],[installierte Leistung MW]]&lt;&gt;"",Tabelle589711[[#This Row],[Durchschnittsauslastung]]*Tabelle589711[[#This Row],[installierte Leistung MW]],"")</f>
        <v/>
      </c>
      <c r="AJ35" s="18" t="str">
        <f>IF(Tabelle589711[[#This Row],[installierte Leistung MW]]&lt;&gt;"",Tabelle589711[[#This Row],[installierte Leistung MW]],"")</f>
        <v/>
      </c>
      <c r="AK35" s="18"/>
      <c r="AL35" s="18"/>
      <c r="AM35" s="18"/>
      <c r="AN35" s="18"/>
      <c r="AO35" s="18">
        <f t="shared" si="3"/>
        <v>1.6666666666666666E-4</v>
      </c>
      <c r="AP35" s="18"/>
      <c r="AQ35" s="30">
        <f t="shared" si="2"/>
        <v>1.6666666666666668E-3</v>
      </c>
      <c r="BF35" s="18"/>
      <c r="BG35" s="18"/>
      <c r="BH35" s="18"/>
      <c r="BI35" s="7"/>
      <c r="BJ35" s="7"/>
      <c r="BK35" s="7"/>
      <c r="BL35" s="7"/>
      <c r="BM35" s="7"/>
      <c r="BT35" s="12" t="s">
        <v>301</v>
      </c>
      <c r="BU35" s="12" t="s">
        <v>301</v>
      </c>
      <c r="BV35" s="12"/>
      <c r="BW35" s="12"/>
      <c r="BX35" s="12"/>
      <c r="BY35" s="12"/>
      <c r="BZ35" s="12"/>
      <c r="CB35" s="12"/>
      <c r="CC35" s="12"/>
    </row>
    <row r="36" spans="1:91" x14ac:dyDescent="0.2">
      <c r="A36" s="1" t="s">
        <v>365</v>
      </c>
      <c r="B36" s="1" t="s">
        <v>142</v>
      </c>
      <c r="C36" s="1">
        <v>2020</v>
      </c>
      <c r="D36" s="1">
        <v>1</v>
      </c>
      <c r="E36" s="1">
        <v>0</v>
      </c>
      <c r="F36" s="1">
        <v>0</v>
      </c>
      <c r="H36" s="10"/>
      <c r="I36" s="10"/>
      <c r="J36" s="10"/>
      <c r="L36" s="18"/>
      <c r="N36" s="18"/>
      <c r="O36" s="10">
        <v>7800</v>
      </c>
      <c r="P36" s="10">
        <v>0</v>
      </c>
      <c r="Q36" s="18"/>
      <c r="R36" s="18"/>
      <c r="S36" s="18"/>
      <c r="T36" s="18"/>
      <c r="U36" s="18"/>
      <c r="V36" s="18"/>
      <c r="W36" s="18"/>
      <c r="X36" s="10">
        <v>7800</v>
      </c>
      <c r="Y36" s="10">
        <v>0</v>
      </c>
      <c r="Z36" s="18"/>
      <c r="AA36" s="18"/>
      <c r="AB36" s="18"/>
      <c r="AC36" s="18"/>
      <c r="AD36" s="19"/>
      <c r="AE36" s="8"/>
      <c r="AF36" s="44">
        <f>Tabelle589711[[#This Row],[Durchschnittsauslastung]]*8760</f>
        <v>450</v>
      </c>
      <c r="AG36" s="8">
        <f>450/8760</f>
        <v>5.1369863013698627E-2</v>
      </c>
      <c r="AH36" s="8"/>
      <c r="AI36" s="19" t="str">
        <f>IF(Tabelle589711[[#This Row],[installierte Leistung MW]]&lt;&gt;"",Tabelle589711[[#This Row],[Durchschnittsauslastung]]*Tabelle589711[[#This Row],[installierte Leistung MW]],"")</f>
        <v/>
      </c>
      <c r="AJ36" s="18" t="str">
        <f>IF(Tabelle589711[[#This Row],[installierte Leistung MW]]&lt;&gt;"",Tabelle589711[[#This Row],[installierte Leistung MW]],"")</f>
        <v/>
      </c>
      <c r="AK36" s="18"/>
      <c r="AL36" s="18"/>
      <c r="AM36" s="18"/>
      <c r="AN36" s="18"/>
      <c r="AO36" s="18">
        <f t="shared" si="3"/>
        <v>1.6666666666666666E-4</v>
      </c>
      <c r="AP36" s="18"/>
      <c r="AQ36" s="30">
        <f t="shared" si="2"/>
        <v>1.6666666666666668E-3</v>
      </c>
      <c r="BF36" s="18"/>
      <c r="BG36" s="18"/>
      <c r="BH36" s="18"/>
      <c r="BI36" s="7"/>
      <c r="BJ36" s="7"/>
      <c r="BK36" s="7"/>
      <c r="BL36" s="7"/>
      <c r="BM36" s="7"/>
      <c r="BT36" s="12" t="s">
        <v>301</v>
      </c>
      <c r="BU36" s="12" t="s">
        <v>301</v>
      </c>
      <c r="BV36" s="12"/>
      <c r="BW36" s="12"/>
      <c r="BX36" s="12"/>
      <c r="BY36" s="12"/>
      <c r="BZ36" s="12"/>
      <c r="CB36" s="12"/>
      <c r="CC36" s="12"/>
    </row>
    <row r="37" spans="1:91" x14ac:dyDescent="0.2">
      <c r="A37" s="1" t="s">
        <v>365</v>
      </c>
      <c r="B37" s="1" t="s">
        <v>142</v>
      </c>
      <c r="C37" s="1">
        <v>2030</v>
      </c>
      <c r="D37" s="1">
        <v>1</v>
      </c>
      <c r="E37" s="1">
        <v>0</v>
      </c>
      <c r="F37" s="1">
        <v>0</v>
      </c>
      <c r="H37" s="10"/>
      <c r="I37" s="10"/>
      <c r="J37" s="10"/>
      <c r="L37" s="18"/>
      <c r="N37" s="18"/>
      <c r="O37" s="10">
        <v>11420</v>
      </c>
      <c r="P37" s="10">
        <v>0</v>
      </c>
      <c r="Q37" s="18"/>
      <c r="R37" s="18"/>
      <c r="S37" s="18"/>
      <c r="T37" s="18"/>
      <c r="U37" s="18"/>
      <c r="V37" s="18"/>
      <c r="W37" s="18"/>
      <c r="X37" s="10">
        <v>11420</v>
      </c>
      <c r="Y37" s="10">
        <v>0</v>
      </c>
      <c r="Z37" s="18"/>
      <c r="AA37" s="18"/>
      <c r="AB37" s="18"/>
      <c r="AC37" s="18"/>
      <c r="AD37" s="19"/>
      <c r="AE37" s="8"/>
      <c r="AF37" s="44">
        <f>Tabelle589711[[#This Row],[Durchschnittsauslastung]]*8760</f>
        <v>450</v>
      </c>
      <c r="AG37" s="8">
        <f>450/8760</f>
        <v>5.1369863013698627E-2</v>
      </c>
      <c r="AH37" s="8"/>
      <c r="AI37" s="19" t="str">
        <f>IF(Tabelle589711[[#This Row],[installierte Leistung MW]]&lt;&gt;"",Tabelle589711[[#This Row],[Durchschnittsauslastung]]*Tabelle589711[[#This Row],[installierte Leistung MW]],"")</f>
        <v/>
      </c>
      <c r="AJ37" s="18" t="str">
        <f>IF(Tabelle589711[[#This Row],[installierte Leistung MW]]&lt;&gt;"",Tabelle589711[[#This Row],[installierte Leistung MW]],"")</f>
        <v/>
      </c>
      <c r="AK37" s="18"/>
      <c r="AL37" s="18"/>
      <c r="AM37" s="18"/>
      <c r="AN37" s="18"/>
      <c r="AO37" s="18">
        <f t="shared" si="3"/>
        <v>1.6666666666666666E-4</v>
      </c>
      <c r="AP37" s="18"/>
      <c r="AQ37" s="30">
        <f t="shared" si="2"/>
        <v>1.6666666666666668E-3</v>
      </c>
      <c r="BF37" s="18"/>
      <c r="BG37" s="18"/>
      <c r="BH37" s="18"/>
      <c r="BI37" s="7"/>
      <c r="BJ37" s="7"/>
      <c r="BK37" s="7"/>
      <c r="BL37" s="7"/>
      <c r="BM37" s="7"/>
      <c r="BT37" s="12" t="s">
        <v>301</v>
      </c>
      <c r="BU37" s="12" t="s">
        <v>301</v>
      </c>
      <c r="BV37" s="12"/>
      <c r="BW37" s="12"/>
      <c r="BX37" s="12"/>
      <c r="BY37" s="12"/>
      <c r="BZ37" s="12"/>
      <c r="CB37" s="12"/>
      <c r="CC37" s="12"/>
    </row>
    <row r="38" spans="1:91" x14ac:dyDescent="0.2">
      <c r="A38" s="1" t="s">
        <v>137</v>
      </c>
      <c r="B38" s="1" t="s">
        <v>142</v>
      </c>
      <c r="C38" s="1">
        <v>2010</v>
      </c>
      <c r="D38" s="1">
        <v>1</v>
      </c>
      <c r="E38" s="1">
        <v>0</v>
      </c>
      <c r="F38" s="1">
        <v>0</v>
      </c>
      <c r="H38" s="10"/>
      <c r="I38" s="10"/>
      <c r="J38" s="10"/>
      <c r="L38" s="18"/>
      <c r="N38" s="18"/>
      <c r="O38" s="10">
        <v>0</v>
      </c>
      <c r="P38" s="10">
        <v>380</v>
      </c>
      <c r="Q38" s="18"/>
      <c r="R38" s="18"/>
      <c r="S38" s="18"/>
      <c r="T38" s="18"/>
      <c r="U38" s="18"/>
      <c r="V38" s="18"/>
      <c r="W38" s="18"/>
      <c r="X38" s="10">
        <v>0</v>
      </c>
      <c r="Y38" s="10">
        <v>380</v>
      </c>
      <c r="Z38" s="18"/>
      <c r="AA38" s="18"/>
      <c r="AB38" s="18"/>
      <c r="AC38" s="18"/>
      <c r="AD38" s="19"/>
      <c r="AE38" s="8"/>
      <c r="AF38" s="44">
        <f>Tabelle589711[[#This Row],[Durchschnittsauslastung]]*8760</f>
        <v>1950</v>
      </c>
      <c r="AG38" s="8">
        <f>1950/8760</f>
        <v>0.2226027397260274</v>
      </c>
      <c r="AH38" s="8"/>
      <c r="AI38" s="19">
        <f>IF(Tabelle589711[[#This Row],[installierte Leistung MW]]&lt;&gt;"",Tabelle589711[[#This Row],[Durchschnittsauslastung]]*Tabelle589711[[#This Row],[installierte Leistung MW]],"")</f>
        <v>342.8082191780822</v>
      </c>
      <c r="AJ38" s="18"/>
      <c r="AK38" s="18"/>
      <c r="AL38" s="18">
        <v>1540</v>
      </c>
      <c r="AM38" s="18"/>
      <c r="AN38" s="18"/>
      <c r="AO38" s="18">
        <f t="shared" si="3"/>
        <v>1.6666666666666666E-4</v>
      </c>
      <c r="AP38" s="18"/>
      <c r="AQ38" s="30">
        <f t="shared" si="2"/>
        <v>1.6666666666666668E-3</v>
      </c>
      <c r="BB38" s="1" t="s">
        <v>319</v>
      </c>
      <c r="BF38" s="18"/>
      <c r="BG38" s="18"/>
      <c r="BH38" s="18"/>
      <c r="BI38" s="7"/>
      <c r="BJ38" s="7"/>
      <c r="BK38" s="7"/>
      <c r="BL38" s="7"/>
      <c r="BM38" s="7"/>
      <c r="BT38" s="12" t="s">
        <v>301</v>
      </c>
      <c r="BU38" s="12" t="s">
        <v>301</v>
      </c>
      <c r="BV38" s="12"/>
      <c r="BW38" s="12"/>
      <c r="BX38" s="12"/>
      <c r="BY38" s="12">
        <v>73</v>
      </c>
      <c r="BZ38" s="12"/>
      <c r="CB38" s="12">
        <v>73</v>
      </c>
      <c r="CC38" s="12"/>
    </row>
    <row r="39" spans="1:91" x14ac:dyDescent="0.2">
      <c r="A39" s="1" t="s">
        <v>137</v>
      </c>
      <c r="B39" s="1" t="s">
        <v>142</v>
      </c>
      <c r="C39" s="1">
        <v>2020</v>
      </c>
      <c r="D39" s="1">
        <v>1</v>
      </c>
      <c r="E39" s="1">
        <v>0</v>
      </c>
      <c r="F39" s="1">
        <v>0</v>
      </c>
      <c r="H39" s="10"/>
      <c r="I39" s="10"/>
      <c r="J39" s="10"/>
      <c r="L39" s="18"/>
      <c r="N39" s="18"/>
      <c r="O39" s="10">
        <v>0</v>
      </c>
      <c r="P39" s="10">
        <v>5950</v>
      </c>
      <c r="Q39" s="18"/>
      <c r="R39" s="18"/>
      <c r="S39" s="18"/>
      <c r="T39" s="18"/>
      <c r="U39" s="18"/>
      <c r="V39" s="18"/>
      <c r="W39" s="18"/>
      <c r="X39" s="10">
        <v>0</v>
      </c>
      <c r="Y39" s="10">
        <v>5950</v>
      </c>
      <c r="Z39" s="18"/>
      <c r="AA39" s="18"/>
      <c r="AB39" s="18"/>
      <c r="AC39" s="18"/>
      <c r="AD39" s="19"/>
      <c r="AE39" s="8"/>
      <c r="AF39" s="44">
        <f>Tabelle589711[[#This Row],[Durchschnittsauslastung]]*8760</f>
        <v>1900</v>
      </c>
      <c r="AG39" s="8">
        <f>1900/8760</f>
        <v>0.21689497716894976</v>
      </c>
      <c r="AH39" s="8"/>
      <c r="AI39" s="19" t="str">
        <f>IF(Tabelle589711[[#This Row],[installierte Leistung MW]]&lt;&gt;"",Tabelle589711[[#This Row],[Durchschnittsauslastung]]*Tabelle589711[[#This Row],[installierte Leistung MW]],"")</f>
        <v/>
      </c>
      <c r="AJ39" s="18" t="str">
        <f>IF(Tabelle589711[[#This Row],[installierte Leistung MW]]&lt;&gt;"",Tabelle589711[[#This Row],[installierte Leistung MW]],"")</f>
        <v/>
      </c>
      <c r="AK39" s="18"/>
      <c r="AL39" s="18"/>
      <c r="AM39" s="18">
        <v>3630</v>
      </c>
      <c r="AN39" s="18">
        <v>4580</v>
      </c>
      <c r="AO39" s="18">
        <f t="shared" si="3"/>
        <v>1.6666666666666666E-4</v>
      </c>
      <c r="AP39" s="18"/>
      <c r="AQ39" s="30">
        <f t="shared" si="2"/>
        <v>1.6666666666666668E-3</v>
      </c>
      <c r="BB39" s="1" t="s">
        <v>319</v>
      </c>
      <c r="BF39" s="18"/>
      <c r="BG39" s="18"/>
      <c r="BH39" s="18"/>
      <c r="BI39" s="7"/>
      <c r="BJ39" s="7"/>
      <c r="BK39" s="7"/>
      <c r="BL39" s="7"/>
      <c r="BM39" s="7"/>
      <c r="BT39" s="12" t="s">
        <v>301</v>
      </c>
      <c r="BU39" s="12" t="s">
        <v>301</v>
      </c>
      <c r="BV39" s="12"/>
      <c r="BW39" s="12"/>
      <c r="BX39" s="12"/>
      <c r="BY39" s="12">
        <v>73</v>
      </c>
      <c r="BZ39" s="12"/>
      <c r="CB39" s="12"/>
      <c r="CC39" s="12"/>
    </row>
    <row r="40" spans="1:91" x14ac:dyDescent="0.2">
      <c r="A40" s="1" t="s">
        <v>137</v>
      </c>
      <c r="B40" s="1" t="s">
        <v>142</v>
      </c>
      <c r="C40" s="1">
        <v>2030</v>
      </c>
      <c r="D40" s="1">
        <v>1</v>
      </c>
      <c r="E40" s="1">
        <v>0</v>
      </c>
      <c r="F40" s="1">
        <v>0</v>
      </c>
      <c r="H40" s="10"/>
      <c r="I40" s="10"/>
      <c r="J40" s="10"/>
      <c r="L40" s="18"/>
      <c r="N40" s="18"/>
      <c r="O40" s="10">
        <v>0</v>
      </c>
      <c r="P40" s="10">
        <v>8200</v>
      </c>
      <c r="Q40" s="18"/>
      <c r="R40" s="18"/>
      <c r="S40" s="18"/>
      <c r="T40" s="18"/>
      <c r="U40" s="18"/>
      <c r="V40" s="18"/>
      <c r="W40" s="18"/>
      <c r="X40" s="10">
        <v>0</v>
      </c>
      <c r="Y40" s="10">
        <v>8200</v>
      </c>
      <c r="Z40" s="18"/>
      <c r="AA40" s="18"/>
      <c r="AB40" s="18"/>
      <c r="AC40" s="18"/>
      <c r="AD40" s="19"/>
      <c r="AE40" s="8"/>
      <c r="AF40" s="44">
        <f>Tabelle589711[[#This Row],[Durchschnittsauslastung]]*8760</f>
        <v>1850</v>
      </c>
      <c r="AG40" s="8">
        <f>1850/8760</f>
        <v>0.21118721461187215</v>
      </c>
      <c r="AH40" s="8"/>
      <c r="AI40" s="19" t="str">
        <f>IF(Tabelle589711[[#This Row],[installierte Leistung MW]]&lt;&gt;"",Tabelle589711[[#This Row],[Durchschnittsauslastung]]*Tabelle589711[[#This Row],[installierte Leistung MW]],"")</f>
        <v/>
      </c>
      <c r="AJ40" s="18" t="str">
        <f>IF(Tabelle589711[[#This Row],[installierte Leistung MW]]&lt;&gt;"",Tabelle589711[[#This Row],[installierte Leistung MW]],"")</f>
        <v/>
      </c>
      <c r="AK40" s="18"/>
      <c r="AL40" s="18"/>
      <c r="AM40" s="18">
        <v>5100</v>
      </c>
      <c r="AN40" s="18">
        <v>9100</v>
      </c>
      <c r="AO40" s="18">
        <f t="shared" si="3"/>
        <v>1.6666666666666666E-4</v>
      </c>
      <c r="AP40" s="18"/>
      <c r="AQ40" s="30">
        <f t="shared" si="2"/>
        <v>1.6666666666666668E-3</v>
      </c>
      <c r="BB40" s="1" t="s">
        <v>319</v>
      </c>
      <c r="BF40" s="18"/>
      <c r="BG40" s="18"/>
      <c r="BH40" s="18"/>
      <c r="BI40" s="7"/>
      <c r="BJ40" s="7"/>
      <c r="BK40" s="7"/>
      <c r="BL40" s="7"/>
      <c r="BM40" s="7"/>
      <c r="BT40" s="12" t="s">
        <v>301</v>
      </c>
      <c r="BU40" s="12" t="s">
        <v>301</v>
      </c>
      <c r="BV40" s="12"/>
      <c r="BW40" s="12"/>
      <c r="BX40" s="12"/>
      <c r="BY40" s="12">
        <v>73</v>
      </c>
      <c r="BZ40" s="12"/>
      <c r="CB40" s="12"/>
      <c r="CC40" s="12"/>
    </row>
    <row r="41" spans="1:91" x14ac:dyDescent="0.2">
      <c r="A41" s="1" t="s">
        <v>141</v>
      </c>
      <c r="B41" s="1" t="s">
        <v>142</v>
      </c>
      <c r="C41" s="1">
        <v>2010</v>
      </c>
      <c r="D41" s="1">
        <v>1</v>
      </c>
      <c r="E41" s="1">
        <v>0</v>
      </c>
      <c r="F41" s="1">
        <v>0</v>
      </c>
      <c r="H41" s="10"/>
      <c r="I41" s="10"/>
      <c r="J41" s="10"/>
      <c r="L41" s="18"/>
      <c r="N41" s="18"/>
      <c r="O41" s="10">
        <v>0</v>
      </c>
      <c r="P41" s="10">
        <v>2430</v>
      </c>
      <c r="Q41" s="18"/>
      <c r="R41" s="18"/>
      <c r="S41" s="18"/>
      <c r="T41" s="18"/>
      <c r="U41" s="18"/>
      <c r="V41" s="18"/>
      <c r="W41" s="18"/>
      <c r="X41" s="10">
        <v>0</v>
      </c>
      <c r="Y41" s="10">
        <v>2430</v>
      </c>
      <c r="Z41" s="18"/>
      <c r="AA41" s="18"/>
      <c r="AB41" s="18"/>
      <c r="AC41" s="18"/>
      <c r="AD41" s="19"/>
      <c r="AE41" s="8"/>
      <c r="AF41" s="44"/>
      <c r="AG41" s="8"/>
      <c r="AH41" s="8"/>
      <c r="AI41" s="19" t="str">
        <f>IF(Tabelle589711[[#This Row],[installierte Leistung MW]]&lt;&gt;"",Tabelle589711[[#This Row],[Durchschnittsauslastung]]*Tabelle589711[[#This Row],[installierte Leistung MW]],"")</f>
        <v/>
      </c>
      <c r="AJ41" s="18" t="str">
        <f>IF(Tabelle589711[[#This Row],[installierte Leistung MW]]&lt;&gt;"",Tabelle589711[[#This Row],[installierte Leistung MW]],"")</f>
        <v/>
      </c>
      <c r="AK41" s="18"/>
      <c r="AL41" s="18"/>
      <c r="AM41" s="18"/>
      <c r="AN41" s="18"/>
      <c r="AO41" s="18">
        <f t="shared" si="3"/>
        <v>1.6666666666666666E-4</v>
      </c>
      <c r="AP41" s="18"/>
      <c r="AQ41" s="30">
        <f t="shared" si="2"/>
        <v>1.6666666666666668E-3</v>
      </c>
      <c r="AZ41" s="1">
        <v>24</v>
      </c>
      <c r="BF41" s="18"/>
      <c r="BG41" s="18"/>
      <c r="BH41" s="18"/>
      <c r="BI41" s="7"/>
      <c r="BJ41" s="7"/>
      <c r="BK41" s="7"/>
      <c r="BL41" s="7"/>
      <c r="BM41" s="7"/>
      <c r="BT41" s="12" t="s">
        <v>301</v>
      </c>
      <c r="BU41" s="12" t="s">
        <v>301</v>
      </c>
      <c r="BV41" s="12"/>
      <c r="BW41" s="12"/>
      <c r="BX41" s="12"/>
      <c r="BY41" s="12"/>
      <c r="BZ41" s="12"/>
      <c r="CB41" s="12"/>
      <c r="CC41" s="12"/>
      <c r="CD41" s="1">
        <v>71</v>
      </c>
    </row>
    <row r="42" spans="1:91" x14ac:dyDescent="0.2">
      <c r="A42" s="1" t="s">
        <v>141</v>
      </c>
      <c r="B42" s="1" t="s">
        <v>142</v>
      </c>
      <c r="C42" s="1">
        <v>2020</v>
      </c>
      <c r="D42" s="1">
        <v>1</v>
      </c>
      <c r="E42" s="1">
        <v>0</v>
      </c>
      <c r="F42" s="1">
        <v>0</v>
      </c>
      <c r="H42" s="10"/>
      <c r="I42" s="10"/>
      <c r="J42" s="10"/>
      <c r="L42" s="18"/>
      <c r="N42" s="18"/>
      <c r="O42" s="10">
        <v>0</v>
      </c>
      <c r="P42" s="10">
        <v>1200</v>
      </c>
      <c r="Q42" s="18"/>
      <c r="R42" s="18"/>
      <c r="S42" s="18"/>
      <c r="T42" s="18"/>
      <c r="U42" s="18"/>
      <c r="V42" s="18"/>
      <c r="W42" s="18"/>
      <c r="X42" s="10">
        <v>0</v>
      </c>
      <c r="Y42" s="10">
        <v>1200</v>
      </c>
      <c r="Z42" s="18"/>
      <c r="AA42" s="18"/>
      <c r="AB42" s="18"/>
      <c r="AC42" s="18"/>
      <c r="AD42" s="19"/>
      <c r="AE42" s="8"/>
      <c r="AF42" s="44"/>
      <c r="AG42" s="8"/>
      <c r="AH42" s="8"/>
      <c r="AI42" s="19" t="str">
        <f>IF(Tabelle589711[[#This Row],[installierte Leistung MW]]&lt;&gt;"",Tabelle589711[[#This Row],[Durchschnittsauslastung]]*Tabelle589711[[#This Row],[installierte Leistung MW]],"")</f>
        <v/>
      </c>
      <c r="AJ42" s="18" t="str">
        <f>IF(Tabelle589711[[#This Row],[installierte Leistung MW]]&lt;&gt;"",Tabelle589711[[#This Row],[installierte Leistung MW]],"")</f>
        <v/>
      </c>
      <c r="AK42" s="18"/>
      <c r="AL42" s="18"/>
      <c r="AM42" s="18"/>
      <c r="AN42" s="18"/>
      <c r="AO42" s="18">
        <f t="shared" si="3"/>
        <v>1.6666666666666666E-4</v>
      </c>
      <c r="AP42" s="18"/>
      <c r="AQ42" s="30">
        <f t="shared" si="2"/>
        <v>1.6666666666666668E-3</v>
      </c>
      <c r="AZ42" s="1">
        <v>24</v>
      </c>
      <c r="BF42" s="18"/>
      <c r="BG42" s="18"/>
      <c r="BH42" s="18"/>
      <c r="BI42" s="7"/>
      <c r="BJ42" s="7"/>
      <c r="BK42" s="7"/>
      <c r="BL42" s="7"/>
      <c r="BM42" s="7"/>
      <c r="BT42" s="12" t="s">
        <v>301</v>
      </c>
      <c r="BU42" s="12" t="s">
        <v>301</v>
      </c>
      <c r="BV42" s="12"/>
      <c r="BW42" s="12"/>
      <c r="BX42" s="12"/>
      <c r="BY42" s="12"/>
      <c r="BZ42" s="12"/>
      <c r="CB42" s="12"/>
      <c r="CC42" s="12"/>
    </row>
    <row r="43" spans="1:91" x14ac:dyDescent="0.2">
      <c r="A43" s="1" t="s">
        <v>141</v>
      </c>
      <c r="B43" s="1" t="s">
        <v>142</v>
      </c>
      <c r="C43" s="1">
        <v>2030</v>
      </c>
      <c r="D43" s="1">
        <v>1</v>
      </c>
      <c r="E43" s="1">
        <v>0</v>
      </c>
      <c r="F43" s="1">
        <v>0</v>
      </c>
      <c r="H43" s="10"/>
      <c r="I43" s="10"/>
      <c r="J43" s="10"/>
      <c r="L43" s="18"/>
      <c r="N43" s="18"/>
      <c r="O43" s="10">
        <v>0</v>
      </c>
      <c r="P43" s="10">
        <v>0</v>
      </c>
      <c r="Q43" s="18"/>
      <c r="R43" s="18"/>
      <c r="S43" s="18"/>
      <c r="T43" s="18"/>
      <c r="U43" s="18"/>
      <c r="V43" s="18"/>
      <c r="W43" s="18"/>
      <c r="X43" s="10">
        <v>0</v>
      </c>
      <c r="Y43" s="10">
        <v>0</v>
      </c>
      <c r="Z43" s="18"/>
      <c r="AA43" s="18"/>
      <c r="AB43" s="18"/>
      <c r="AC43" s="18"/>
      <c r="AD43" s="19"/>
      <c r="AE43" s="8"/>
      <c r="AF43" s="44"/>
      <c r="AG43" s="8"/>
      <c r="AH43" s="8"/>
      <c r="AI43" s="19" t="str">
        <f>IF(Tabelle589711[[#This Row],[installierte Leistung MW]]&lt;&gt;"",Tabelle589711[[#This Row],[Durchschnittsauslastung]]*Tabelle589711[[#This Row],[installierte Leistung MW]],"")</f>
        <v/>
      </c>
      <c r="AJ43" s="18" t="str">
        <f>IF(Tabelle589711[[#This Row],[installierte Leistung MW]]&lt;&gt;"",Tabelle589711[[#This Row],[installierte Leistung MW]],"")</f>
        <v/>
      </c>
      <c r="AK43" s="18"/>
      <c r="AL43" s="18"/>
      <c r="AM43" s="18"/>
      <c r="AN43" s="18"/>
      <c r="AO43" s="18">
        <f t="shared" si="3"/>
        <v>1.6666666666666666E-4</v>
      </c>
      <c r="AP43" s="18"/>
      <c r="AQ43" s="30">
        <f t="shared" si="2"/>
        <v>1.6666666666666668E-3</v>
      </c>
      <c r="AZ43" s="1">
        <v>24</v>
      </c>
      <c r="BF43" s="18"/>
      <c r="BG43" s="18"/>
      <c r="BH43" s="18"/>
      <c r="BI43" s="7"/>
      <c r="BJ43" s="7"/>
      <c r="BK43" s="7"/>
      <c r="BL43" s="7"/>
      <c r="BM43" s="7"/>
      <c r="BT43" s="12" t="s">
        <v>301</v>
      </c>
      <c r="BU43" s="12" t="s">
        <v>301</v>
      </c>
      <c r="BV43" s="12"/>
      <c r="BW43" s="12"/>
      <c r="BX43" s="12"/>
      <c r="BY43" s="12"/>
      <c r="BZ43" s="12"/>
      <c r="CB43" s="12"/>
      <c r="CC43" s="12"/>
    </row>
    <row r="44" spans="1:91" x14ac:dyDescent="0.2">
      <c r="A44" s="1" t="s">
        <v>287</v>
      </c>
      <c r="B44" s="1" t="s">
        <v>142</v>
      </c>
      <c r="C44" s="1">
        <v>2010</v>
      </c>
      <c r="D44" s="1">
        <v>1</v>
      </c>
      <c r="E44" s="1">
        <v>0</v>
      </c>
      <c r="F44" s="1">
        <v>0</v>
      </c>
      <c r="H44" s="10"/>
      <c r="I44" s="10"/>
      <c r="J44" s="10"/>
      <c r="L44" s="18"/>
      <c r="N44" s="18"/>
      <c r="O44" s="10">
        <v>980</v>
      </c>
      <c r="P44" s="10">
        <v>980</v>
      </c>
      <c r="Q44" s="18"/>
      <c r="R44" s="18"/>
      <c r="S44" s="18"/>
      <c r="T44" s="18"/>
      <c r="U44" s="18"/>
      <c r="V44" s="18"/>
      <c r="W44" s="18"/>
      <c r="X44" s="10">
        <v>980</v>
      </c>
      <c r="Y44" s="10">
        <v>980</v>
      </c>
      <c r="Z44" s="18"/>
      <c r="AA44" s="18"/>
      <c r="AB44" s="18"/>
      <c r="AC44" s="18"/>
      <c r="AD44" s="19"/>
      <c r="AE44" s="8"/>
      <c r="AF44" s="44"/>
      <c r="AG44" s="8"/>
      <c r="AH44" s="8"/>
      <c r="AI44" s="19" t="str">
        <f>IF(Tabelle589711[[#This Row],[installierte Leistung MW]]&lt;&gt;"",Tabelle589711[[#This Row],[Durchschnittsauslastung]]*Tabelle589711[[#This Row],[installierte Leistung MW]],"")</f>
        <v/>
      </c>
      <c r="AJ44" s="18" t="str">
        <f>IF(Tabelle589711[[#This Row],[installierte Leistung MW]]&lt;&gt;"",Tabelle589711[[#This Row],[installierte Leistung MW]],"")</f>
        <v/>
      </c>
      <c r="AK44" s="18"/>
      <c r="AL44" s="18"/>
      <c r="AM44" s="18"/>
      <c r="AN44" s="18"/>
      <c r="AO44" s="18">
        <f t="shared" si="3"/>
        <v>1.6666666666666666E-4</v>
      </c>
      <c r="AP44" s="18"/>
      <c r="AQ44" s="30">
        <f t="shared" si="2"/>
        <v>1.6666666666666668E-3</v>
      </c>
      <c r="BF44" s="18"/>
      <c r="BG44" s="18"/>
      <c r="BH44" s="18"/>
      <c r="BI44" s="7"/>
      <c r="BJ44" s="7"/>
      <c r="BK44" s="7"/>
      <c r="BL44" s="7"/>
      <c r="BM44" s="7"/>
      <c r="BT44" s="12" t="s">
        <v>301</v>
      </c>
      <c r="BU44" s="12" t="s">
        <v>301</v>
      </c>
      <c r="BV44" s="12"/>
      <c r="BW44" s="12"/>
      <c r="BX44" s="12"/>
      <c r="BY44" s="12"/>
      <c r="BZ44" s="12"/>
      <c r="CB44" s="12"/>
      <c r="CC44" s="12"/>
    </row>
    <row r="45" spans="1:91" x14ac:dyDescent="0.2">
      <c r="A45" s="1" t="s">
        <v>287</v>
      </c>
      <c r="B45" s="1" t="s">
        <v>142</v>
      </c>
      <c r="C45" s="1">
        <v>2020</v>
      </c>
      <c r="D45" s="1">
        <v>1</v>
      </c>
      <c r="E45" s="1">
        <v>0</v>
      </c>
      <c r="F45" s="1">
        <v>0</v>
      </c>
      <c r="H45" s="10"/>
      <c r="I45" s="10"/>
      <c r="J45" s="10"/>
      <c r="L45" s="18"/>
      <c r="N45" s="18"/>
      <c r="O45" s="10">
        <v>980</v>
      </c>
      <c r="P45" s="10">
        <v>980</v>
      </c>
      <c r="Q45" s="18"/>
      <c r="R45" s="18"/>
      <c r="S45" s="18"/>
      <c r="T45" s="18"/>
      <c r="U45" s="18"/>
      <c r="V45" s="18"/>
      <c r="W45" s="18"/>
      <c r="X45" s="10">
        <v>980</v>
      </c>
      <c r="Y45" s="10">
        <v>980</v>
      </c>
      <c r="Z45" s="18"/>
      <c r="AA45" s="18"/>
      <c r="AB45" s="18"/>
      <c r="AC45" s="18"/>
      <c r="AD45" s="19"/>
      <c r="AE45" s="8"/>
      <c r="AF45" s="44"/>
      <c r="AG45" s="8"/>
      <c r="AH45" s="8"/>
      <c r="AI45" s="19" t="str">
        <f>IF(Tabelle589711[[#This Row],[installierte Leistung MW]]&lt;&gt;"",Tabelle589711[[#This Row],[Durchschnittsauslastung]]*Tabelle589711[[#This Row],[installierte Leistung MW]],"")</f>
        <v/>
      </c>
      <c r="AJ45" s="18" t="str">
        <f>IF(Tabelle589711[[#This Row],[installierte Leistung MW]]&lt;&gt;"",Tabelle589711[[#This Row],[installierte Leistung MW]],"")</f>
        <v/>
      </c>
      <c r="AK45" s="18"/>
      <c r="AL45" s="18"/>
      <c r="AM45" s="18"/>
      <c r="AN45" s="18"/>
      <c r="AO45" s="18">
        <f t="shared" si="3"/>
        <v>1.6666666666666666E-4</v>
      </c>
      <c r="AP45" s="18"/>
      <c r="AQ45" s="30">
        <f t="shared" si="2"/>
        <v>1.6666666666666668E-3</v>
      </c>
      <c r="BF45" s="18"/>
      <c r="BG45" s="18"/>
      <c r="BH45" s="18"/>
      <c r="BI45" s="7"/>
      <c r="BJ45" s="7"/>
      <c r="BK45" s="7"/>
      <c r="BL45" s="7"/>
      <c r="BM45" s="7"/>
      <c r="BT45" s="12" t="s">
        <v>301</v>
      </c>
      <c r="BU45" s="12" t="s">
        <v>301</v>
      </c>
      <c r="BV45" s="12"/>
      <c r="BW45" s="12"/>
      <c r="BX45" s="12"/>
      <c r="BY45" s="12"/>
      <c r="BZ45" s="12"/>
      <c r="CB45" s="12"/>
      <c r="CC45" s="12"/>
    </row>
    <row r="46" spans="1:91" x14ac:dyDescent="0.2">
      <c r="A46" s="1" t="s">
        <v>287</v>
      </c>
      <c r="B46" s="1" t="s">
        <v>142</v>
      </c>
      <c r="C46" s="1">
        <v>2030</v>
      </c>
      <c r="D46" s="1">
        <v>1</v>
      </c>
      <c r="E46" s="1">
        <v>0</v>
      </c>
      <c r="F46" s="1">
        <v>0</v>
      </c>
      <c r="H46" s="10"/>
      <c r="I46" s="10"/>
      <c r="J46" s="10"/>
      <c r="L46" s="18"/>
      <c r="N46" s="18"/>
      <c r="O46" s="10">
        <v>1000</v>
      </c>
      <c r="P46" s="10">
        <v>1000</v>
      </c>
      <c r="Q46" s="18"/>
      <c r="R46" s="18"/>
      <c r="S46" s="18"/>
      <c r="T46" s="18"/>
      <c r="U46" s="18"/>
      <c r="V46" s="18"/>
      <c r="W46" s="18"/>
      <c r="X46" s="10">
        <v>1000</v>
      </c>
      <c r="Y46" s="10">
        <v>1000</v>
      </c>
      <c r="Z46" s="18"/>
      <c r="AA46" s="18"/>
      <c r="AB46" s="18"/>
      <c r="AC46" s="18"/>
      <c r="AD46" s="19"/>
      <c r="AE46" s="8"/>
      <c r="AF46" s="44"/>
      <c r="AG46" s="8"/>
      <c r="AH46" s="8"/>
      <c r="AI46" s="19" t="str">
        <f>IF(Tabelle589711[[#This Row],[installierte Leistung MW]]&lt;&gt;"",Tabelle589711[[#This Row],[Durchschnittsauslastung]]*Tabelle589711[[#This Row],[installierte Leistung MW]],"")</f>
        <v/>
      </c>
      <c r="AJ46" s="18" t="str">
        <f>IF(Tabelle589711[[#This Row],[installierte Leistung MW]]&lt;&gt;"",Tabelle589711[[#This Row],[installierte Leistung MW]],"")</f>
        <v/>
      </c>
      <c r="AK46" s="18"/>
      <c r="AL46" s="18"/>
      <c r="AM46" s="18"/>
      <c r="AN46" s="18"/>
      <c r="AO46" s="18">
        <f t="shared" si="3"/>
        <v>1.6666666666666666E-4</v>
      </c>
      <c r="AP46" s="18"/>
      <c r="AQ46" s="30">
        <f t="shared" si="2"/>
        <v>1.6666666666666668E-3</v>
      </c>
      <c r="BF46" s="18"/>
      <c r="BG46" s="18"/>
      <c r="BH46" s="18"/>
      <c r="BI46" s="7"/>
      <c r="BJ46" s="7"/>
      <c r="BK46" s="7"/>
      <c r="BL46" s="7"/>
      <c r="BM46" s="7"/>
      <c r="BT46" s="12" t="s">
        <v>301</v>
      </c>
      <c r="BU46" s="12" t="s">
        <v>301</v>
      </c>
      <c r="BV46" s="12"/>
      <c r="BW46" s="12"/>
      <c r="BX46" s="12"/>
      <c r="BY46" s="12"/>
      <c r="BZ46" s="12"/>
      <c r="CB46" s="12"/>
      <c r="CC46" s="12"/>
    </row>
    <row r="47" spans="1:91" x14ac:dyDescent="0.2">
      <c r="A47" s="1" t="s">
        <v>138</v>
      </c>
      <c r="B47" s="1" t="s">
        <v>142</v>
      </c>
      <c r="C47" s="1">
        <v>2010</v>
      </c>
      <c r="D47" s="1">
        <v>1</v>
      </c>
      <c r="E47" s="1">
        <v>0</v>
      </c>
      <c r="F47" s="1">
        <v>0</v>
      </c>
      <c r="H47" s="10"/>
      <c r="I47" s="10"/>
      <c r="J47" s="10"/>
      <c r="L47" s="18"/>
      <c r="N47" s="18"/>
      <c r="O47" s="10">
        <v>3020</v>
      </c>
      <c r="P47" s="10">
        <v>4520</v>
      </c>
      <c r="Q47" s="18"/>
      <c r="R47" s="18"/>
      <c r="S47" s="18"/>
      <c r="T47" s="18"/>
      <c r="U47" s="18"/>
      <c r="V47" s="18"/>
      <c r="W47" s="18"/>
      <c r="X47" s="10">
        <v>3020</v>
      </c>
      <c r="Y47" s="10">
        <v>4520</v>
      </c>
      <c r="Z47" s="18"/>
      <c r="AA47" s="18"/>
      <c r="AB47" s="18"/>
      <c r="AC47" s="18"/>
      <c r="AD47" s="19"/>
      <c r="AE47" s="8"/>
      <c r="AF47" s="44"/>
      <c r="AG47" s="8"/>
      <c r="AH47" s="8"/>
      <c r="AI47" s="19" t="str">
        <f>IF(Tabelle589711[[#This Row],[installierte Leistung MW]]&lt;&gt;"",Tabelle589711[[#This Row],[Durchschnittsauslastung]]*Tabelle589711[[#This Row],[installierte Leistung MW]],"")</f>
        <v/>
      </c>
      <c r="AJ47" s="18" t="str">
        <f>IF(Tabelle589711[[#This Row],[installierte Leistung MW]]&lt;&gt;"",Tabelle589711[[#This Row],[installierte Leistung MW]],"")</f>
        <v/>
      </c>
      <c r="AK47" s="18"/>
      <c r="AL47" s="18"/>
      <c r="AM47" s="18"/>
      <c r="AN47" s="18"/>
      <c r="AO47" s="18">
        <f t="shared" si="3"/>
        <v>1.6666666666666666E-4</v>
      </c>
      <c r="AP47" s="18"/>
      <c r="AQ47" s="30">
        <f t="shared" si="2"/>
        <v>1.6666666666666668E-3</v>
      </c>
      <c r="AZ47" s="1">
        <v>24</v>
      </c>
      <c r="BF47" s="18"/>
      <c r="BG47" s="18"/>
      <c r="BH47" s="18"/>
      <c r="BI47" s="7"/>
      <c r="BJ47" s="7"/>
      <c r="BK47" s="7"/>
      <c r="BL47" s="7"/>
      <c r="BM47" s="7"/>
      <c r="BO47" s="1" t="s">
        <v>1058</v>
      </c>
      <c r="BT47" s="12" t="s">
        <v>301</v>
      </c>
      <c r="BU47" s="12" t="s">
        <v>301</v>
      </c>
      <c r="BV47" s="12"/>
      <c r="BW47" s="12"/>
      <c r="BX47" s="12"/>
      <c r="BY47" s="12"/>
      <c r="BZ47" s="12"/>
      <c r="CB47" s="12"/>
      <c r="CC47" s="12"/>
      <c r="CE47" s="1">
        <v>69</v>
      </c>
      <c r="CM47" s="1">
        <v>68</v>
      </c>
    </row>
    <row r="48" spans="1:91" x14ac:dyDescent="0.2">
      <c r="A48" s="1" t="s">
        <v>138</v>
      </c>
      <c r="B48" s="1" t="s">
        <v>142</v>
      </c>
      <c r="C48" s="1">
        <v>2020</v>
      </c>
      <c r="D48" s="1">
        <v>1</v>
      </c>
      <c r="E48" s="1">
        <v>0</v>
      </c>
      <c r="F48" s="1">
        <v>0</v>
      </c>
      <c r="H48" s="10"/>
      <c r="I48" s="10"/>
      <c r="J48" s="10"/>
      <c r="L48" s="18"/>
      <c r="N48" s="18"/>
      <c r="O48" s="10">
        <v>3000</v>
      </c>
      <c r="P48" s="10">
        <v>4420</v>
      </c>
      <c r="Q48" s="18"/>
      <c r="R48" s="18"/>
      <c r="S48" s="18"/>
      <c r="T48" s="18"/>
      <c r="U48" s="18"/>
      <c r="V48" s="18"/>
      <c r="W48" s="18"/>
      <c r="X48" s="10">
        <v>3000</v>
      </c>
      <c r="Y48" s="10">
        <v>4420</v>
      </c>
      <c r="Z48" s="18"/>
      <c r="AA48" s="18"/>
      <c r="AB48" s="18"/>
      <c r="AC48" s="18"/>
      <c r="AD48" s="19"/>
      <c r="AE48" s="8"/>
      <c r="AF48" s="44"/>
      <c r="AG48" s="8"/>
      <c r="AH48" s="8"/>
      <c r="AI48" s="19" t="str">
        <f>IF(Tabelle589711[[#This Row],[installierte Leistung MW]]&lt;&gt;"",Tabelle589711[[#This Row],[Durchschnittsauslastung]]*Tabelle589711[[#This Row],[installierte Leistung MW]],"")</f>
        <v/>
      </c>
      <c r="AJ48" s="18" t="str">
        <f>IF(Tabelle589711[[#This Row],[installierte Leistung MW]]&lt;&gt;"",Tabelle589711[[#This Row],[installierte Leistung MW]],"")</f>
        <v/>
      </c>
      <c r="AK48" s="18"/>
      <c r="AL48" s="18"/>
      <c r="AM48" s="18"/>
      <c r="AN48" s="18"/>
      <c r="AO48" s="18">
        <f t="shared" si="3"/>
        <v>1.6666666666666666E-4</v>
      </c>
      <c r="AP48" s="18"/>
      <c r="AQ48" s="30">
        <f t="shared" si="2"/>
        <v>1.6666666666666668E-3</v>
      </c>
      <c r="AZ48" s="1">
        <v>24</v>
      </c>
      <c r="BF48" s="18"/>
      <c r="BG48" s="18"/>
      <c r="BH48" s="18"/>
      <c r="BI48" s="7"/>
      <c r="BJ48" s="7"/>
      <c r="BK48" s="7"/>
      <c r="BL48" s="7"/>
      <c r="BM48" s="7"/>
      <c r="BO48" s="1" t="s">
        <v>1058</v>
      </c>
      <c r="BT48" s="12" t="s">
        <v>301</v>
      </c>
      <c r="BU48" s="12" t="s">
        <v>301</v>
      </c>
      <c r="BV48" s="12"/>
      <c r="BW48" s="12"/>
      <c r="BX48" s="12"/>
      <c r="BY48" s="12"/>
      <c r="BZ48" s="12"/>
      <c r="CB48" s="12"/>
      <c r="CC48" s="12"/>
      <c r="CE48" s="1">
        <v>69</v>
      </c>
      <c r="CM48" s="1">
        <v>68</v>
      </c>
    </row>
    <row r="49" spans="1:91" x14ac:dyDescent="0.2">
      <c r="A49" s="1" t="s">
        <v>138</v>
      </c>
      <c r="B49" s="1" t="s">
        <v>142</v>
      </c>
      <c r="C49" s="1">
        <v>2030</v>
      </c>
      <c r="D49" s="1">
        <v>1</v>
      </c>
      <c r="E49" s="1">
        <v>0</v>
      </c>
      <c r="F49" s="1">
        <v>0</v>
      </c>
      <c r="H49" s="10"/>
      <c r="I49" s="10"/>
      <c r="J49" s="10"/>
      <c r="L49" s="18"/>
      <c r="N49" s="18"/>
      <c r="O49" s="10">
        <v>2980</v>
      </c>
      <c r="P49" s="10">
        <v>4420</v>
      </c>
      <c r="Q49" s="18"/>
      <c r="R49" s="18"/>
      <c r="S49" s="18"/>
      <c r="T49" s="18"/>
      <c r="U49" s="18"/>
      <c r="V49" s="18"/>
      <c r="W49" s="18"/>
      <c r="X49" s="10">
        <v>2980</v>
      </c>
      <c r="Y49" s="10">
        <v>4420</v>
      </c>
      <c r="Z49" s="18"/>
      <c r="AA49" s="18"/>
      <c r="AB49" s="18"/>
      <c r="AC49" s="18"/>
      <c r="AD49" s="19"/>
      <c r="AE49" s="8"/>
      <c r="AF49" s="44"/>
      <c r="AG49" s="8"/>
      <c r="AH49" s="8"/>
      <c r="AI49" s="19" t="str">
        <f>IF(Tabelle589711[[#This Row],[installierte Leistung MW]]&lt;&gt;"",Tabelle589711[[#This Row],[Durchschnittsauslastung]]*Tabelle589711[[#This Row],[installierte Leistung MW]],"")</f>
        <v/>
      </c>
      <c r="AJ49" s="18" t="str">
        <f>IF(Tabelle589711[[#This Row],[installierte Leistung MW]]&lt;&gt;"",Tabelle589711[[#This Row],[installierte Leistung MW]],"")</f>
        <v/>
      </c>
      <c r="AK49" s="18"/>
      <c r="AL49" s="18"/>
      <c r="AM49" s="18"/>
      <c r="AN49" s="18"/>
      <c r="AO49" s="18">
        <f t="shared" si="3"/>
        <v>1.6666666666666666E-4</v>
      </c>
      <c r="AP49" s="18"/>
      <c r="AQ49" s="30">
        <f t="shared" si="2"/>
        <v>1.6666666666666668E-3</v>
      </c>
      <c r="AZ49" s="1">
        <v>24</v>
      </c>
      <c r="BF49" s="18"/>
      <c r="BG49" s="18"/>
      <c r="BH49" s="18"/>
      <c r="BI49" s="7"/>
      <c r="BJ49" s="7"/>
      <c r="BK49" s="7"/>
      <c r="BL49" s="7"/>
      <c r="BM49" s="7"/>
      <c r="BO49" s="1" t="s">
        <v>1058</v>
      </c>
      <c r="BT49" s="12" t="s">
        <v>301</v>
      </c>
      <c r="BU49" s="12" t="s">
        <v>301</v>
      </c>
      <c r="BV49" s="12"/>
      <c r="BW49" s="12"/>
      <c r="BX49" s="12"/>
      <c r="BY49" s="12"/>
      <c r="BZ49" s="12"/>
      <c r="CB49" s="12"/>
      <c r="CC49" s="12"/>
      <c r="CE49" s="1">
        <v>69</v>
      </c>
      <c r="CM49" s="1">
        <v>68</v>
      </c>
    </row>
    <row r="50" spans="1:91" x14ac:dyDescent="0.2">
      <c r="A50" s="1" t="s">
        <v>136</v>
      </c>
      <c r="B50" s="1" t="s">
        <v>142</v>
      </c>
      <c r="C50" s="1">
        <v>2010</v>
      </c>
      <c r="D50" s="1">
        <v>1</v>
      </c>
      <c r="E50" s="1">
        <v>0</v>
      </c>
      <c r="F50" s="1">
        <v>0</v>
      </c>
      <c r="H50" s="10"/>
      <c r="I50" s="10"/>
      <c r="J50" s="10"/>
      <c r="L50" s="18"/>
      <c r="N50" s="18"/>
      <c r="O50" s="10">
        <v>420</v>
      </c>
      <c r="P50" s="10">
        <v>420</v>
      </c>
      <c r="Q50" s="18"/>
      <c r="R50" s="18"/>
      <c r="S50" s="18"/>
      <c r="T50" s="18"/>
      <c r="U50" s="18"/>
      <c r="V50" s="18"/>
      <c r="W50" s="18"/>
      <c r="X50" s="10">
        <v>420</v>
      </c>
      <c r="Y50" s="10">
        <v>420</v>
      </c>
      <c r="Z50" s="18"/>
      <c r="AA50" s="18"/>
      <c r="AB50" s="18"/>
      <c r="AC50" s="18"/>
      <c r="AD50" s="19"/>
      <c r="AE50" s="8"/>
      <c r="AF50" s="44"/>
      <c r="AG50" s="8"/>
      <c r="AH50" s="8"/>
      <c r="AI50" s="19" t="str">
        <f>IF(Tabelle589711[[#This Row],[installierte Leistung MW]]&lt;&gt;"",Tabelle589711[[#This Row],[Durchschnittsauslastung]]*Tabelle589711[[#This Row],[installierte Leistung MW]],"")</f>
        <v/>
      </c>
      <c r="AJ50" s="18" t="str">
        <f>IF(Tabelle589711[[#This Row],[installierte Leistung MW]]&lt;&gt;"",Tabelle589711[[#This Row],[installierte Leistung MW]],"")</f>
        <v/>
      </c>
      <c r="AK50" s="18"/>
      <c r="AL50" s="18"/>
      <c r="AM50" s="18"/>
      <c r="AN50" s="18"/>
      <c r="AO50" s="18">
        <f t="shared" si="3"/>
        <v>1.6666666666666666E-4</v>
      </c>
      <c r="AP50" s="18"/>
      <c r="AQ50" s="30">
        <f t="shared" si="2"/>
        <v>1.6666666666666668E-3</v>
      </c>
      <c r="BF50" s="18"/>
      <c r="BG50" s="18"/>
      <c r="BH50" s="18"/>
      <c r="BI50" s="7"/>
      <c r="BJ50" s="7"/>
      <c r="BK50" s="7"/>
      <c r="BL50" s="7"/>
      <c r="BM50" s="7"/>
      <c r="BT50" s="12" t="s">
        <v>301</v>
      </c>
      <c r="BU50" s="12" t="s">
        <v>301</v>
      </c>
      <c r="BV50" s="12"/>
      <c r="BW50" s="12"/>
      <c r="BX50" s="12"/>
      <c r="BY50" s="12"/>
      <c r="BZ50" s="12"/>
      <c r="CB50" s="12"/>
      <c r="CC50" s="12"/>
    </row>
    <row r="51" spans="1:91" x14ac:dyDescent="0.2">
      <c r="A51" s="1" t="s">
        <v>136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H51" s="10"/>
      <c r="I51" s="10"/>
      <c r="J51" s="10"/>
      <c r="L51" s="18"/>
      <c r="N51" s="18"/>
      <c r="O51" s="10">
        <v>390</v>
      </c>
      <c r="P51" s="10">
        <v>390</v>
      </c>
      <c r="Q51" s="18"/>
      <c r="R51" s="18"/>
      <c r="S51" s="18"/>
      <c r="T51" s="18"/>
      <c r="U51" s="18"/>
      <c r="V51" s="18"/>
      <c r="W51" s="18"/>
      <c r="X51" s="10">
        <v>390</v>
      </c>
      <c r="Y51" s="10">
        <v>390</v>
      </c>
      <c r="Z51" s="18"/>
      <c r="AA51" s="18"/>
      <c r="AB51" s="18"/>
      <c r="AC51" s="18"/>
      <c r="AD51" s="19"/>
      <c r="AE51" s="8"/>
      <c r="AF51" s="44"/>
      <c r="AG51" s="8"/>
      <c r="AH51" s="8"/>
      <c r="AI51" s="19" t="str">
        <f>IF(Tabelle589711[[#This Row],[installierte Leistung MW]]&lt;&gt;"",Tabelle589711[[#This Row],[Durchschnittsauslastung]]*Tabelle589711[[#This Row],[installierte Leistung MW]],"")</f>
        <v/>
      </c>
      <c r="AJ51" s="18" t="str">
        <f>IF(Tabelle589711[[#This Row],[installierte Leistung MW]]&lt;&gt;"",Tabelle589711[[#This Row],[installierte Leistung MW]],"")</f>
        <v/>
      </c>
      <c r="AK51" s="18"/>
      <c r="AL51" s="18"/>
      <c r="AM51" s="18"/>
      <c r="AN51" s="18"/>
      <c r="AO51" s="18">
        <f t="shared" si="3"/>
        <v>1.6666666666666666E-4</v>
      </c>
      <c r="AP51" s="18"/>
      <c r="AQ51" s="30">
        <f t="shared" si="2"/>
        <v>1.6666666666666668E-3</v>
      </c>
      <c r="BF51" s="18"/>
      <c r="BG51" s="18"/>
      <c r="BH51" s="18"/>
      <c r="BI51" s="7"/>
      <c r="BJ51" s="7"/>
      <c r="BK51" s="7"/>
      <c r="BL51" s="7"/>
      <c r="BM51" s="7"/>
      <c r="BT51" s="12" t="s">
        <v>301</v>
      </c>
      <c r="BU51" s="12" t="s">
        <v>301</v>
      </c>
      <c r="BV51" s="12"/>
      <c r="BW51" s="12"/>
      <c r="BX51" s="12"/>
      <c r="BY51" s="12"/>
      <c r="BZ51" s="12"/>
      <c r="CB51" s="12"/>
      <c r="CC51" s="12"/>
    </row>
    <row r="52" spans="1:91" x14ac:dyDescent="0.2">
      <c r="A52" s="1" t="s">
        <v>136</v>
      </c>
      <c r="B52" s="1" t="s">
        <v>142</v>
      </c>
      <c r="C52" s="1">
        <v>2030</v>
      </c>
      <c r="D52" s="1">
        <v>1</v>
      </c>
      <c r="E52" s="1">
        <v>0</v>
      </c>
      <c r="F52" s="1">
        <v>0</v>
      </c>
      <c r="H52" s="10"/>
      <c r="I52" s="10"/>
      <c r="J52" s="10"/>
      <c r="L52" s="18"/>
      <c r="N52" s="18"/>
      <c r="O52" s="10">
        <v>330</v>
      </c>
      <c r="P52" s="10">
        <v>330</v>
      </c>
      <c r="Q52" s="18"/>
      <c r="R52" s="18"/>
      <c r="S52" s="18"/>
      <c r="T52" s="18"/>
      <c r="U52" s="18"/>
      <c r="V52" s="18"/>
      <c r="W52" s="18"/>
      <c r="X52" s="10">
        <v>330</v>
      </c>
      <c r="Y52" s="10">
        <v>330</v>
      </c>
      <c r="Z52" s="18"/>
      <c r="AA52" s="18"/>
      <c r="AB52" s="18"/>
      <c r="AC52" s="18"/>
      <c r="AD52" s="19"/>
      <c r="AE52" s="8"/>
      <c r="AF52" s="44"/>
      <c r="AG52" s="8"/>
      <c r="AH52" s="8"/>
      <c r="AI52" s="19" t="str">
        <f>IF(Tabelle589711[[#This Row],[installierte Leistung MW]]&lt;&gt;"",Tabelle589711[[#This Row],[Durchschnittsauslastung]]*Tabelle589711[[#This Row],[installierte Leistung MW]],"")</f>
        <v/>
      </c>
      <c r="AJ52" s="18" t="str">
        <f>IF(Tabelle589711[[#This Row],[installierte Leistung MW]]&lt;&gt;"",Tabelle589711[[#This Row],[installierte Leistung MW]],"")</f>
        <v/>
      </c>
      <c r="AK52" s="18"/>
      <c r="AL52" s="18"/>
      <c r="AM52" s="18"/>
      <c r="AN52" s="18"/>
      <c r="AO52" s="18">
        <f t="shared" si="3"/>
        <v>1.6666666666666666E-4</v>
      </c>
      <c r="AP52" s="18"/>
      <c r="AQ52" s="30">
        <f t="shared" ref="AQ52:AQ79" si="4">0.1/60</f>
        <v>1.6666666666666668E-3</v>
      </c>
      <c r="BF52" s="18"/>
      <c r="BG52" s="18"/>
      <c r="BH52" s="18"/>
      <c r="BI52" s="7"/>
      <c r="BJ52" s="7"/>
      <c r="BK52" s="7"/>
      <c r="BL52" s="7"/>
      <c r="BM52" s="7"/>
      <c r="BT52" s="12" t="s">
        <v>301</v>
      </c>
      <c r="BU52" s="12" t="s">
        <v>301</v>
      </c>
      <c r="BV52" s="12"/>
      <c r="BW52" s="12"/>
      <c r="BX52" s="12"/>
      <c r="BY52" s="12"/>
      <c r="BZ52" s="12"/>
      <c r="CB52" s="12"/>
      <c r="CC52" s="12"/>
    </row>
    <row r="53" spans="1:91" x14ac:dyDescent="0.2">
      <c r="A53" s="1" t="s">
        <v>292</v>
      </c>
      <c r="B53" s="1" t="s">
        <v>130</v>
      </c>
      <c r="C53" s="1">
        <v>2010</v>
      </c>
      <c r="D53" s="1">
        <v>1</v>
      </c>
      <c r="E53" s="1">
        <v>0</v>
      </c>
      <c r="F53" s="1">
        <v>0</v>
      </c>
      <c r="H53" s="10"/>
      <c r="I53" s="10"/>
      <c r="J53" s="10"/>
      <c r="L53" s="18"/>
      <c r="N53" s="18"/>
      <c r="O53" s="10">
        <v>1790</v>
      </c>
      <c r="P53" s="10">
        <v>1800</v>
      </c>
      <c r="Q53" s="18"/>
      <c r="R53" s="18"/>
      <c r="S53" s="18"/>
      <c r="T53" s="18"/>
      <c r="U53" s="18"/>
      <c r="V53" s="18"/>
      <c r="W53" s="18"/>
      <c r="X53" s="10">
        <v>1790</v>
      </c>
      <c r="Y53" s="10">
        <v>1800</v>
      </c>
      <c r="Z53" s="18"/>
      <c r="AA53" s="18"/>
      <c r="AB53" s="18"/>
      <c r="AC53" s="18"/>
      <c r="AD53" s="19"/>
      <c r="AE53" s="8"/>
      <c r="AF53" s="44"/>
      <c r="AG53" s="8"/>
      <c r="AH53" s="8"/>
      <c r="AI53" s="19" t="str">
        <f>IF(Tabelle589711[[#This Row],[installierte Leistung MW]]&lt;&gt;"",Tabelle589711[[#This Row],[Durchschnittsauslastung]]*Tabelle589711[[#This Row],[installierte Leistung MW]],"")</f>
        <v/>
      </c>
      <c r="AJ53" s="18" t="str">
        <f>IF(Tabelle589711[[#This Row],[installierte Leistung MW]]&lt;&gt;"",Tabelle589711[[#This Row],[installierte Leistung MW]],"")</f>
        <v/>
      </c>
      <c r="AK53" s="18"/>
      <c r="AL53" s="18"/>
      <c r="AM53" s="18"/>
      <c r="AN53" s="18"/>
      <c r="AO53" s="18">
        <f t="shared" si="3"/>
        <v>1.6666666666666666E-4</v>
      </c>
      <c r="AP53" s="18"/>
      <c r="AQ53" s="30">
        <f t="shared" si="4"/>
        <v>1.6666666666666668E-3</v>
      </c>
      <c r="BF53" s="18"/>
      <c r="BG53" s="18"/>
      <c r="BH53" s="18"/>
      <c r="BI53" s="7"/>
      <c r="BJ53" s="7"/>
      <c r="BK53" s="7"/>
      <c r="BL53" s="7"/>
      <c r="BM53" s="7"/>
      <c r="BT53" s="12">
        <v>99</v>
      </c>
      <c r="BU53" s="1">
        <v>99</v>
      </c>
      <c r="BV53" s="12"/>
      <c r="BW53" s="12"/>
      <c r="BX53" s="12"/>
      <c r="BY53" s="12"/>
      <c r="BZ53" s="12"/>
      <c r="CB53" s="12"/>
      <c r="CC53" s="12"/>
    </row>
    <row r="54" spans="1:91" x14ac:dyDescent="0.2">
      <c r="A54" s="1" t="s">
        <v>292</v>
      </c>
      <c r="B54" s="1" t="s">
        <v>130</v>
      </c>
      <c r="C54" s="1">
        <v>2020</v>
      </c>
      <c r="D54" s="1">
        <v>1</v>
      </c>
      <c r="E54" s="1">
        <v>0</v>
      </c>
      <c r="F54" s="1">
        <v>0</v>
      </c>
      <c r="H54" s="10"/>
      <c r="I54" s="10"/>
      <c r="J54" s="10"/>
      <c r="L54" s="18"/>
      <c r="N54" s="18"/>
      <c r="O54" s="10">
        <v>1920</v>
      </c>
      <c r="P54" s="10">
        <v>3180</v>
      </c>
      <c r="Q54" s="18"/>
      <c r="R54" s="18"/>
      <c r="S54" s="18"/>
      <c r="T54" s="18"/>
      <c r="U54" s="18"/>
      <c r="V54" s="18"/>
      <c r="W54" s="18"/>
      <c r="X54" s="10">
        <v>1920</v>
      </c>
      <c r="Y54" s="10">
        <v>3180</v>
      </c>
      <c r="Z54" s="18"/>
      <c r="AA54" s="18"/>
      <c r="AB54" s="18"/>
      <c r="AC54" s="18"/>
      <c r="AD54" s="19"/>
      <c r="AE54" s="8"/>
      <c r="AF54" s="44"/>
      <c r="AG54" s="8"/>
      <c r="AH54" s="8"/>
      <c r="AI54" s="19" t="str">
        <f>IF(Tabelle589711[[#This Row],[installierte Leistung MW]]&lt;&gt;"",Tabelle589711[[#This Row],[Durchschnittsauslastung]]*Tabelle589711[[#This Row],[installierte Leistung MW]],"")</f>
        <v/>
      </c>
      <c r="AJ54" s="18" t="str">
        <f>IF(Tabelle589711[[#This Row],[installierte Leistung MW]]&lt;&gt;"",Tabelle589711[[#This Row],[installierte Leistung MW]],"")</f>
        <v/>
      </c>
      <c r="AK54" s="18"/>
      <c r="AL54" s="18"/>
      <c r="AM54" s="18"/>
      <c r="AN54" s="18"/>
      <c r="AO54" s="18">
        <f t="shared" si="3"/>
        <v>1.6666666666666666E-4</v>
      </c>
      <c r="AP54" s="18"/>
      <c r="AQ54" s="30">
        <f t="shared" si="4"/>
        <v>1.6666666666666668E-3</v>
      </c>
      <c r="BF54" s="18"/>
      <c r="BG54" s="18"/>
      <c r="BH54" s="18"/>
      <c r="BI54" s="7"/>
      <c r="BJ54" s="7"/>
      <c r="BK54" s="7"/>
      <c r="BL54" s="7"/>
      <c r="BM54" s="7"/>
      <c r="BT54" s="12">
        <v>99</v>
      </c>
      <c r="BU54" s="1">
        <v>99</v>
      </c>
      <c r="BV54" s="12"/>
      <c r="BW54" s="12"/>
      <c r="BX54" s="12"/>
      <c r="BY54" s="12"/>
      <c r="BZ54" s="12"/>
      <c r="CB54" s="12"/>
      <c r="CC54" s="12"/>
    </row>
    <row r="55" spans="1:91" x14ac:dyDescent="0.2">
      <c r="A55" s="1" t="s">
        <v>292</v>
      </c>
      <c r="B55" s="1" t="s">
        <v>130</v>
      </c>
      <c r="C55" s="1">
        <v>2030</v>
      </c>
      <c r="D55" s="1">
        <v>1</v>
      </c>
      <c r="E55" s="1">
        <v>0</v>
      </c>
      <c r="F55" s="1">
        <v>0</v>
      </c>
      <c r="H55" s="10"/>
      <c r="I55" s="10"/>
      <c r="J55" s="10"/>
      <c r="L55" s="18"/>
      <c r="N55" s="18"/>
      <c r="O55" s="10">
        <v>1720</v>
      </c>
      <c r="P55" s="10">
        <v>2930</v>
      </c>
      <c r="Q55" s="18"/>
      <c r="R55" s="18"/>
      <c r="S55" s="18"/>
      <c r="T55" s="18"/>
      <c r="U55" s="18"/>
      <c r="V55" s="18"/>
      <c r="W55" s="18"/>
      <c r="X55" s="10">
        <v>1720</v>
      </c>
      <c r="Y55" s="10">
        <v>2930</v>
      </c>
      <c r="Z55" s="18"/>
      <c r="AA55" s="18"/>
      <c r="AB55" s="18"/>
      <c r="AC55" s="18"/>
      <c r="AD55" s="19"/>
      <c r="AE55" s="8"/>
      <c r="AF55" s="44"/>
      <c r="AG55" s="8"/>
      <c r="AH55" s="8"/>
      <c r="AI55" s="19" t="str">
        <f>IF(Tabelle589711[[#This Row],[installierte Leistung MW]]&lt;&gt;"",Tabelle589711[[#This Row],[Durchschnittsauslastung]]*Tabelle589711[[#This Row],[installierte Leistung MW]],"")</f>
        <v/>
      </c>
      <c r="AJ55" s="18" t="str">
        <f>IF(Tabelle589711[[#This Row],[installierte Leistung MW]]&lt;&gt;"",Tabelle589711[[#This Row],[installierte Leistung MW]],"")</f>
        <v/>
      </c>
      <c r="AK55" s="18"/>
      <c r="AL55" s="18"/>
      <c r="AM55" s="18"/>
      <c r="AN55" s="18"/>
      <c r="AO55" s="18">
        <f t="shared" ref="AO55:AO79" si="5">0.01/60</f>
        <v>1.6666666666666666E-4</v>
      </c>
      <c r="AP55" s="18"/>
      <c r="AQ55" s="30">
        <f t="shared" si="4"/>
        <v>1.6666666666666668E-3</v>
      </c>
      <c r="BF55" s="18"/>
      <c r="BG55" s="18"/>
      <c r="BH55" s="18"/>
      <c r="BI55" s="7"/>
      <c r="BJ55" s="7"/>
      <c r="BK55" s="7"/>
      <c r="BL55" s="7"/>
      <c r="BM55" s="7"/>
      <c r="BT55" s="12">
        <v>99</v>
      </c>
      <c r="BU55" s="1">
        <v>99</v>
      </c>
      <c r="BV55" s="12"/>
      <c r="BW55" s="12"/>
      <c r="BX55" s="12"/>
      <c r="BY55" s="12"/>
      <c r="BZ55" s="12"/>
      <c r="CB55" s="12"/>
      <c r="CC55" s="12"/>
    </row>
    <row r="56" spans="1:91" x14ac:dyDescent="0.2">
      <c r="A56" s="1" t="s">
        <v>293</v>
      </c>
      <c r="B56" s="1" t="s">
        <v>130</v>
      </c>
      <c r="C56" s="1">
        <v>2010</v>
      </c>
      <c r="D56" s="1">
        <v>1</v>
      </c>
      <c r="E56" s="1">
        <v>0</v>
      </c>
      <c r="F56" s="1">
        <v>0</v>
      </c>
      <c r="H56" s="10"/>
      <c r="I56" s="10"/>
      <c r="J56" s="10"/>
      <c r="L56" s="18"/>
      <c r="N56" s="18"/>
      <c r="O56" s="10">
        <v>800</v>
      </c>
      <c r="P56" s="10">
        <v>2220</v>
      </c>
      <c r="Q56" s="18"/>
      <c r="R56" s="18"/>
      <c r="S56" s="18"/>
      <c r="T56" s="18"/>
      <c r="U56" s="18"/>
      <c r="V56" s="18"/>
      <c r="W56" s="18"/>
      <c r="X56" s="10">
        <v>800</v>
      </c>
      <c r="Y56" s="10">
        <v>2220</v>
      </c>
      <c r="Z56" s="18"/>
      <c r="AA56" s="18"/>
      <c r="AB56" s="18"/>
      <c r="AC56" s="18"/>
      <c r="AD56" s="19"/>
      <c r="AE56" s="8"/>
      <c r="AF56" s="44"/>
      <c r="AG56" s="8"/>
      <c r="AH56" s="8"/>
      <c r="AI56" s="19" t="str">
        <f>IF(Tabelle589711[[#This Row],[installierte Leistung MW]]&lt;&gt;"",Tabelle589711[[#This Row],[Durchschnittsauslastung]]*Tabelle589711[[#This Row],[installierte Leistung MW]],"")</f>
        <v/>
      </c>
      <c r="AJ56" s="18" t="str">
        <f>IF(Tabelle589711[[#This Row],[installierte Leistung MW]]&lt;&gt;"",Tabelle589711[[#This Row],[installierte Leistung MW]],"")</f>
        <v/>
      </c>
      <c r="AK56" s="18"/>
      <c r="AL56" s="18"/>
      <c r="AM56" s="18"/>
      <c r="AN56" s="18"/>
      <c r="AO56" s="18">
        <f t="shared" si="5"/>
        <v>1.6666666666666666E-4</v>
      </c>
      <c r="AP56" s="18"/>
      <c r="AQ56" s="30">
        <f t="shared" si="4"/>
        <v>1.6666666666666668E-3</v>
      </c>
      <c r="BF56" s="18"/>
      <c r="BG56" s="18"/>
      <c r="BH56" s="18"/>
      <c r="BI56" s="7"/>
      <c r="BJ56" s="7"/>
      <c r="BK56" s="7"/>
      <c r="BL56" s="7"/>
      <c r="BM56" s="7"/>
      <c r="BT56" s="12">
        <v>99</v>
      </c>
      <c r="BU56" s="1">
        <v>99</v>
      </c>
      <c r="BV56" s="12"/>
      <c r="BW56" s="12"/>
      <c r="BX56" s="12"/>
      <c r="BY56" s="12"/>
      <c r="BZ56" s="12"/>
      <c r="CB56" s="12"/>
      <c r="CC56" s="12"/>
    </row>
    <row r="57" spans="1:91" x14ac:dyDescent="0.2">
      <c r="A57" s="1" t="s">
        <v>293</v>
      </c>
      <c r="B57" s="1" t="s">
        <v>130</v>
      </c>
      <c r="C57" s="1">
        <v>2020</v>
      </c>
      <c r="D57" s="1">
        <v>1</v>
      </c>
      <c r="E57" s="1">
        <v>0</v>
      </c>
      <c r="F57" s="1">
        <v>0</v>
      </c>
      <c r="H57" s="10"/>
      <c r="I57" s="10"/>
      <c r="J57" s="10"/>
      <c r="L57" s="18"/>
      <c r="N57" s="18"/>
      <c r="O57" s="10">
        <v>870</v>
      </c>
      <c r="P57" s="10">
        <v>2990</v>
      </c>
      <c r="Q57" s="18"/>
      <c r="R57" s="18"/>
      <c r="S57" s="18"/>
      <c r="T57" s="18"/>
      <c r="U57" s="18"/>
      <c r="V57" s="18"/>
      <c r="W57" s="18"/>
      <c r="X57" s="10">
        <v>870</v>
      </c>
      <c r="Y57" s="10">
        <v>2990</v>
      </c>
      <c r="Z57" s="18"/>
      <c r="AA57" s="18"/>
      <c r="AB57" s="18"/>
      <c r="AC57" s="18"/>
      <c r="AD57" s="19"/>
      <c r="AE57" s="8"/>
      <c r="AF57" s="44"/>
      <c r="AG57" s="8"/>
      <c r="AH57" s="8"/>
      <c r="AI57" s="19" t="str">
        <f>IF(Tabelle589711[[#This Row],[installierte Leistung MW]]&lt;&gt;"",Tabelle589711[[#This Row],[Durchschnittsauslastung]]*Tabelle589711[[#This Row],[installierte Leistung MW]],"")</f>
        <v/>
      </c>
      <c r="AJ57" s="18" t="str">
        <f>IF(Tabelle589711[[#This Row],[installierte Leistung MW]]&lt;&gt;"",Tabelle589711[[#This Row],[installierte Leistung MW]],"")</f>
        <v/>
      </c>
      <c r="AK57" s="18"/>
      <c r="AL57" s="18"/>
      <c r="AM57" s="18"/>
      <c r="AN57" s="18"/>
      <c r="AO57" s="18">
        <f t="shared" si="5"/>
        <v>1.6666666666666666E-4</v>
      </c>
      <c r="AP57" s="18"/>
      <c r="AQ57" s="30">
        <f t="shared" si="4"/>
        <v>1.6666666666666668E-3</v>
      </c>
      <c r="BF57" s="18"/>
      <c r="BG57" s="18"/>
      <c r="BH57" s="18"/>
      <c r="BI57" s="7"/>
      <c r="BJ57" s="7"/>
      <c r="BK57" s="7"/>
      <c r="BL57" s="7"/>
      <c r="BM57" s="7"/>
      <c r="BT57" s="12">
        <v>99</v>
      </c>
      <c r="BU57" s="1">
        <v>99</v>
      </c>
      <c r="BV57" s="12"/>
      <c r="BW57" s="12"/>
      <c r="BX57" s="12"/>
      <c r="BY57" s="12"/>
      <c r="BZ57" s="12"/>
      <c r="CB57" s="12"/>
      <c r="CC57" s="12"/>
    </row>
    <row r="58" spans="1:91" x14ac:dyDescent="0.2">
      <c r="A58" s="1" t="s">
        <v>293</v>
      </c>
      <c r="B58" s="1" t="s">
        <v>130</v>
      </c>
      <c r="C58" s="1">
        <v>2030</v>
      </c>
      <c r="D58" s="1">
        <v>1</v>
      </c>
      <c r="E58" s="1">
        <v>0</v>
      </c>
      <c r="F58" s="1">
        <v>0</v>
      </c>
      <c r="H58" s="10"/>
      <c r="I58" s="10"/>
      <c r="J58" s="10"/>
      <c r="L58" s="18"/>
      <c r="N58" s="18"/>
      <c r="O58" s="10">
        <v>790</v>
      </c>
      <c r="P58" s="10">
        <v>2880</v>
      </c>
      <c r="Q58" s="18"/>
      <c r="R58" s="18"/>
      <c r="S58" s="18"/>
      <c r="T58" s="18"/>
      <c r="U58" s="18"/>
      <c r="V58" s="18"/>
      <c r="W58" s="18"/>
      <c r="X58" s="10">
        <v>790</v>
      </c>
      <c r="Y58" s="10">
        <v>2880</v>
      </c>
      <c r="Z58" s="18"/>
      <c r="AA58" s="18"/>
      <c r="AB58" s="18"/>
      <c r="AC58" s="18"/>
      <c r="AD58" s="19"/>
      <c r="AE58" s="8"/>
      <c r="AF58" s="44"/>
      <c r="AG58" s="8"/>
      <c r="AH58" s="8"/>
      <c r="AI58" s="19" t="str">
        <f>IF(Tabelle589711[[#This Row],[installierte Leistung MW]]&lt;&gt;"",Tabelle589711[[#This Row],[Durchschnittsauslastung]]*Tabelle589711[[#This Row],[installierte Leistung MW]],"")</f>
        <v/>
      </c>
      <c r="AJ58" s="18" t="str">
        <f>IF(Tabelle589711[[#This Row],[installierte Leistung MW]]&lt;&gt;"",Tabelle589711[[#This Row],[installierte Leistung MW]],"")</f>
        <v/>
      </c>
      <c r="AK58" s="18"/>
      <c r="AL58" s="18"/>
      <c r="AM58" s="18"/>
      <c r="AN58" s="18"/>
      <c r="AO58" s="18">
        <f t="shared" si="5"/>
        <v>1.6666666666666666E-4</v>
      </c>
      <c r="AP58" s="18"/>
      <c r="AQ58" s="30">
        <f t="shared" si="4"/>
        <v>1.6666666666666668E-3</v>
      </c>
      <c r="BF58" s="18"/>
      <c r="BG58" s="18"/>
      <c r="BH58" s="18"/>
      <c r="BI58" s="7"/>
      <c r="BJ58" s="7"/>
      <c r="BK58" s="7"/>
      <c r="BL58" s="7"/>
      <c r="BM58" s="7"/>
      <c r="BT58" s="12">
        <v>99</v>
      </c>
      <c r="BU58" s="1">
        <v>99</v>
      </c>
      <c r="BV58" s="12"/>
      <c r="BW58" s="12"/>
      <c r="BX58" s="12"/>
      <c r="BY58" s="12"/>
      <c r="BZ58" s="12"/>
      <c r="CB58" s="12"/>
      <c r="CC58" s="12"/>
    </row>
    <row r="59" spans="1:91" x14ac:dyDescent="0.2">
      <c r="A59" s="1" t="s">
        <v>294</v>
      </c>
      <c r="B59" s="1" t="s">
        <v>130</v>
      </c>
      <c r="C59" s="1">
        <v>2010</v>
      </c>
      <c r="D59" s="1">
        <v>1</v>
      </c>
      <c r="E59" s="1">
        <v>0</v>
      </c>
      <c r="F59" s="1">
        <v>0</v>
      </c>
      <c r="H59" s="10"/>
      <c r="I59" s="10"/>
      <c r="J59" s="10"/>
      <c r="L59" s="18"/>
      <c r="N59" s="18"/>
      <c r="O59" s="10">
        <v>2380</v>
      </c>
      <c r="P59" s="10">
        <v>2380</v>
      </c>
      <c r="Q59" s="18"/>
      <c r="R59" s="18"/>
      <c r="S59" s="18"/>
      <c r="T59" s="18"/>
      <c r="U59" s="18"/>
      <c r="V59" s="18"/>
      <c r="W59" s="18"/>
      <c r="X59" s="10">
        <v>2380</v>
      </c>
      <c r="Y59" s="10">
        <v>2380</v>
      </c>
      <c r="Z59" s="18"/>
      <c r="AA59" s="18"/>
      <c r="AB59" s="18"/>
      <c r="AC59" s="18"/>
      <c r="AD59" s="19"/>
      <c r="AE59" s="8"/>
      <c r="AF59" s="44"/>
      <c r="AG59" s="8"/>
      <c r="AH59" s="8"/>
      <c r="AI59" s="19" t="str">
        <f>IF(Tabelle589711[[#This Row],[installierte Leistung MW]]&lt;&gt;"",Tabelle589711[[#This Row],[Durchschnittsauslastung]]*Tabelle589711[[#This Row],[installierte Leistung MW]],"")</f>
        <v/>
      </c>
      <c r="AJ59" s="18" t="str">
        <f>IF(Tabelle589711[[#This Row],[installierte Leistung MW]]&lt;&gt;"",Tabelle589711[[#This Row],[installierte Leistung MW]],"")</f>
        <v/>
      </c>
      <c r="AK59" s="18"/>
      <c r="AL59" s="18"/>
      <c r="AM59" s="18"/>
      <c r="AN59" s="18"/>
      <c r="AO59" s="18">
        <f t="shared" si="5"/>
        <v>1.6666666666666666E-4</v>
      </c>
      <c r="AP59" s="18"/>
      <c r="AQ59" s="30">
        <f t="shared" si="4"/>
        <v>1.6666666666666668E-3</v>
      </c>
      <c r="BF59" s="18"/>
      <c r="BG59" s="18"/>
      <c r="BH59" s="18"/>
      <c r="BI59" s="7"/>
      <c r="BJ59" s="7"/>
      <c r="BK59" s="7"/>
      <c r="BL59" s="7"/>
      <c r="BM59" s="7"/>
      <c r="BT59" s="12">
        <v>99</v>
      </c>
      <c r="BU59" s="1">
        <v>99</v>
      </c>
      <c r="BV59" s="12"/>
      <c r="BW59" s="12"/>
      <c r="BX59" s="12"/>
      <c r="BY59" s="12"/>
      <c r="BZ59" s="12"/>
      <c r="CB59" s="12"/>
      <c r="CC59" s="12"/>
    </row>
    <row r="60" spans="1:91" x14ac:dyDescent="0.2">
      <c r="A60" s="1" t="s">
        <v>294</v>
      </c>
      <c r="B60" s="1" t="s">
        <v>130</v>
      </c>
      <c r="C60" s="1">
        <v>2020</v>
      </c>
      <c r="D60" s="1">
        <v>1</v>
      </c>
      <c r="E60" s="1">
        <v>0</v>
      </c>
      <c r="F60" s="1">
        <v>0</v>
      </c>
      <c r="H60" s="10"/>
      <c r="I60" s="10"/>
      <c r="J60" s="10"/>
      <c r="L60" s="18"/>
      <c r="N60" s="18"/>
      <c r="O60" s="10">
        <v>2450</v>
      </c>
      <c r="P60" s="10">
        <v>3200</v>
      </c>
      <c r="Q60" s="18"/>
      <c r="R60" s="18"/>
      <c r="S60" s="18"/>
      <c r="T60" s="18"/>
      <c r="U60" s="18"/>
      <c r="V60" s="18"/>
      <c r="W60" s="18"/>
      <c r="X60" s="10">
        <v>2450</v>
      </c>
      <c r="Y60" s="10">
        <v>3200</v>
      </c>
      <c r="Z60" s="18"/>
      <c r="AA60" s="18"/>
      <c r="AB60" s="18"/>
      <c r="AC60" s="18"/>
      <c r="AD60" s="19"/>
      <c r="AE60" s="8"/>
      <c r="AF60" s="44"/>
      <c r="AG60" s="8"/>
      <c r="AH60" s="8"/>
      <c r="AI60" s="19" t="str">
        <f>IF(Tabelle589711[[#This Row],[installierte Leistung MW]]&lt;&gt;"",Tabelle589711[[#This Row],[Durchschnittsauslastung]]*Tabelle589711[[#This Row],[installierte Leistung MW]],"")</f>
        <v/>
      </c>
      <c r="AJ60" s="18" t="str">
        <f>IF(Tabelle589711[[#This Row],[installierte Leistung MW]]&lt;&gt;"",Tabelle589711[[#This Row],[installierte Leistung MW]],"")</f>
        <v/>
      </c>
      <c r="AK60" s="18"/>
      <c r="AL60" s="18"/>
      <c r="AM60" s="18"/>
      <c r="AN60" s="18"/>
      <c r="AO60" s="18">
        <f t="shared" si="5"/>
        <v>1.6666666666666666E-4</v>
      </c>
      <c r="AP60" s="18"/>
      <c r="AQ60" s="30">
        <f t="shared" si="4"/>
        <v>1.6666666666666668E-3</v>
      </c>
      <c r="BF60" s="18"/>
      <c r="BG60" s="18"/>
      <c r="BH60" s="18"/>
      <c r="BI60" s="7"/>
      <c r="BJ60" s="7"/>
      <c r="BK60" s="7"/>
      <c r="BL60" s="7"/>
      <c r="BM60" s="7"/>
      <c r="BT60" s="12">
        <v>99</v>
      </c>
      <c r="BU60" s="1">
        <v>99</v>
      </c>
      <c r="BV60" s="12"/>
      <c r="BW60" s="12"/>
      <c r="BX60" s="12"/>
      <c r="BY60" s="12"/>
      <c r="BZ60" s="12"/>
      <c r="CB60" s="12"/>
      <c r="CC60" s="12"/>
    </row>
    <row r="61" spans="1:91" x14ac:dyDescent="0.2">
      <c r="A61" s="1" t="s">
        <v>294</v>
      </c>
      <c r="B61" s="1" t="s">
        <v>130</v>
      </c>
      <c r="C61" s="1">
        <v>2030</v>
      </c>
      <c r="D61" s="1">
        <v>1</v>
      </c>
      <c r="E61" s="1">
        <v>0</v>
      </c>
      <c r="F61" s="1">
        <v>0</v>
      </c>
      <c r="H61" s="10"/>
      <c r="I61" s="10"/>
      <c r="J61" s="10"/>
      <c r="L61" s="18"/>
      <c r="N61" s="18"/>
      <c r="O61" s="10">
        <v>2180</v>
      </c>
      <c r="P61" s="10">
        <v>2900</v>
      </c>
      <c r="Q61" s="18"/>
      <c r="R61" s="18"/>
      <c r="S61" s="18"/>
      <c r="T61" s="18"/>
      <c r="U61" s="18"/>
      <c r="V61" s="18"/>
      <c r="W61" s="18"/>
      <c r="X61" s="10">
        <v>2180</v>
      </c>
      <c r="Y61" s="10">
        <v>2900</v>
      </c>
      <c r="Z61" s="18"/>
      <c r="AA61" s="18"/>
      <c r="AB61" s="18"/>
      <c r="AC61" s="18"/>
      <c r="AD61" s="19"/>
      <c r="AE61" s="8"/>
      <c r="AF61" s="44"/>
      <c r="AG61" s="8"/>
      <c r="AH61" s="8"/>
      <c r="AI61" s="19" t="str">
        <f>IF(Tabelle589711[[#This Row],[installierte Leistung MW]]&lt;&gt;"",Tabelle589711[[#This Row],[Durchschnittsauslastung]]*Tabelle589711[[#This Row],[installierte Leistung MW]],"")</f>
        <v/>
      </c>
      <c r="AJ61" s="18" t="str">
        <f>IF(Tabelle589711[[#This Row],[installierte Leistung MW]]&lt;&gt;"",Tabelle589711[[#This Row],[installierte Leistung MW]],"")</f>
        <v/>
      </c>
      <c r="AK61" s="18"/>
      <c r="AL61" s="18"/>
      <c r="AM61" s="18"/>
      <c r="AN61" s="18"/>
      <c r="AO61" s="18">
        <f t="shared" si="5"/>
        <v>1.6666666666666666E-4</v>
      </c>
      <c r="AP61" s="18"/>
      <c r="AQ61" s="30">
        <f t="shared" si="4"/>
        <v>1.6666666666666668E-3</v>
      </c>
      <c r="BF61" s="18"/>
      <c r="BG61" s="18"/>
      <c r="BH61" s="18"/>
      <c r="BI61" s="7"/>
      <c r="BJ61" s="7"/>
      <c r="BK61" s="7"/>
      <c r="BL61" s="7"/>
      <c r="BM61" s="7"/>
      <c r="BT61" s="12">
        <v>99</v>
      </c>
      <c r="BU61" s="1">
        <v>99</v>
      </c>
      <c r="BV61" s="12"/>
      <c r="BW61" s="12"/>
      <c r="BX61" s="12"/>
      <c r="BY61" s="12"/>
      <c r="BZ61" s="12"/>
      <c r="CB61" s="12"/>
      <c r="CC61" s="12"/>
    </row>
    <row r="62" spans="1:91" x14ac:dyDescent="0.2">
      <c r="A62" s="1" t="s">
        <v>295</v>
      </c>
      <c r="B62" s="1" t="s">
        <v>130</v>
      </c>
      <c r="C62" s="1">
        <v>2010</v>
      </c>
      <c r="D62" s="1">
        <v>1</v>
      </c>
      <c r="E62" s="1">
        <v>0</v>
      </c>
      <c r="F62" s="1">
        <v>0</v>
      </c>
      <c r="H62" s="10"/>
      <c r="I62" s="10"/>
      <c r="J62" s="10"/>
      <c r="L62" s="18"/>
      <c r="N62" s="18"/>
      <c r="O62" s="10">
        <v>620</v>
      </c>
      <c r="P62" s="10">
        <v>620</v>
      </c>
      <c r="Q62" s="18"/>
      <c r="R62" s="18"/>
      <c r="S62" s="18"/>
      <c r="T62" s="18"/>
      <c r="U62" s="18"/>
      <c r="V62" s="18"/>
      <c r="W62" s="18"/>
      <c r="X62" s="10">
        <v>620</v>
      </c>
      <c r="Y62" s="10">
        <v>620</v>
      </c>
      <c r="Z62" s="18"/>
      <c r="AA62" s="18"/>
      <c r="AB62" s="18"/>
      <c r="AC62" s="18"/>
      <c r="AD62" s="19"/>
      <c r="AE62" s="8"/>
      <c r="AF62" s="44"/>
      <c r="AG62" s="8"/>
      <c r="AH62" s="8"/>
      <c r="AI62" s="19" t="str">
        <f>IF(Tabelle589711[[#This Row],[installierte Leistung MW]]&lt;&gt;"",Tabelle589711[[#This Row],[Durchschnittsauslastung]]*Tabelle589711[[#This Row],[installierte Leistung MW]],"")</f>
        <v/>
      </c>
      <c r="AJ62" s="18" t="str">
        <f>IF(Tabelle589711[[#This Row],[installierte Leistung MW]]&lt;&gt;"",Tabelle589711[[#This Row],[installierte Leistung MW]],"")</f>
        <v/>
      </c>
      <c r="AK62" s="18"/>
      <c r="AL62" s="18"/>
      <c r="AM62" s="18"/>
      <c r="AN62" s="18"/>
      <c r="AO62" s="18">
        <f t="shared" si="5"/>
        <v>1.6666666666666666E-4</v>
      </c>
      <c r="AP62" s="18"/>
      <c r="AQ62" s="30">
        <f t="shared" si="4"/>
        <v>1.6666666666666668E-3</v>
      </c>
      <c r="BF62" s="18"/>
      <c r="BG62" s="18"/>
      <c r="BH62" s="18"/>
      <c r="BI62" s="7"/>
      <c r="BJ62" s="7"/>
      <c r="BK62" s="7"/>
      <c r="BL62" s="7"/>
      <c r="BM62" s="7"/>
      <c r="BT62" s="12">
        <v>99</v>
      </c>
      <c r="BU62" s="1">
        <v>99</v>
      </c>
      <c r="BV62" s="12"/>
      <c r="BW62" s="12"/>
      <c r="BX62" s="12"/>
      <c r="BY62" s="12"/>
      <c r="BZ62" s="12"/>
      <c r="CB62" s="12"/>
      <c r="CC62" s="12"/>
    </row>
    <row r="63" spans="1:91" x14ac:dyDescent="0.2">
      <c r="A63" s="1" t="s">
        <v>295</v>
      </c>
      <c r="B63" s="1" t="s">
        <v>130</v>
      </c>
      <c r="C63" s="1">
        <v>2020</v>
      </c>
      <c r="D63" s="1">
        <v>1</v>
      </c>
      <c r="E63" s="1">
        <v>0</v>
      </c>
      <c r="F63" s="1">
        <v>0</v>
      </c>
      <c r="H63" s="10"/>
      <c r="I63" s="10"/>
      <c r="J63" s="10"/>
      <c r="L63" s="18"/>
      <c r="N63" s="18"/>
      <c r="O63" s="10">
        <v>700</v>
      </c>
      <c r="P63" s="10">
        <v>720</v>
      </c>
      <c r="Q63" s="18"/>
      <c r="R63" s="18"/>
      <c r="S63" s="18"/>
      <c r="T63" s="18"/>
      <c r="U63" s="18"/>
      <c r="V63" s="18"/>
      <c r="W63" s="18"/>
      <c r="X63" s="10">
        <v>700</v>
      </c>
      <c r="Y63" s="10">
        <v>720</v>
      </c>
      <c r="Z63" s="18"/>
      <c r="AA63" s="18"/>
      <c r="AB63" s="18"/>
      <c r="AC63" s="18"/>
      <c r="AD63" s="19"/>
      <c r="AE63" s="8"/>
      <c r="AF63" s="44"/>
      <c r="AG63" s="8"/>
      <c r="AH63" s="8"/>
      <c r="AI63" s="19" t="str">
        <f>IF(Tabelle589711[[#This Row],[installierte Leistung MW]]&lt;&gt;"",Tabelle589711[[#This Row],[Durchschnittsauslastung]]*Tabelle589711[[#This Row],[installierte Leistung MW]],"")</f>
        <v/>
      </c>
      <c r="AJ63" s="18" t="str">
        <f>IF(Tabelle589711[[#This Row],[installierte Leistung MW]]&lt;&gt;"",Tabelle589711[[#This Row],[installierte Leistung MW]],"")</f>
        <v/>
      </c>
      <c r="AK63" s="18"/>
      <c r="AL63" s="18"/>
      <c r="AM63" s="18"/>
      <c r="AN63" s="18"/>
      <c r="AO63" s="18">
        <f t="shared" si="5"/>
        <v>1.6666666666666666E-4</v>
      </c>
      <c r="AP63" s="18"/>
      <c r="AQ63" s="30">
        <f t="shared" si="4"/>
        <v>1.6666666666666668E-3</v>
      </c>
      <c r="BF63" s="18"/>
      <c r="BG63" s="18"/>
      <c r="BH63" s="18"/>
      <c r="BI63" s="7"/>
      <c r="BJ63" s="7"/>
      <c r="BK63" s="7"/>
      <c r="BL63" s="7"/>
      <c r="BM63" s="7"/>
      <c r="BT63" s="12">
        <v>99</v>
      </c>
      <c r="BU63" s="1">
        <v>99</v>
      </c>
      <c r="BV63" s="12"/>
      <c r="BW63" s="12"/>
      <c r="BX63" s="12"/>
      <c r="BY63" s="12"/>
      <c r="BZ63" s="12"/>
      <c r="CB63" s="12"/>
      <c r="CC63" s="12"/>
    </row>
    <row r="64" spans="1:91" x14ac:dyDescent="0.2">
      <c r="A64" s="1" t="s">
        <v>295</v>
      </c>
      <c r="B64" s="1" t="s">
        <v>130</v>
      </c>
      <c r="C64" s="1">
        <v>2030</v>
      </c>
      <c r="D64" s="1">
        <v>1</v>
      </c>
      <c r="E64" s="1">
        <v>0</v>
      </c>
      <c r="F64" s="1">
        <v>0</v>
      </c>
      <c r="H64" s="10"/>
      <c r="I64" s="10"/>
      <c r="J64" s="10"/>
      <c r="L64" s="18"/>
      <c r="N64" s="18"/>
      <c r="O64" s="10">
        <v>620</v>
      </c>
      <c r="P64" s="10">
        <v>670</v>
      </c>
      <c r="Q64" s="18"/>
      <c r="R64" s="18"/>
      <c r="S64" s="18"/>
      <c r="T64" s="18"/>
      <c r="U64" s="18"/>
      <c r="V64" s="18"/>
      <c r="W64" s="18"/>
      <c r="X64" s="10">
        <v>620</v>
      </c>
      <c r="Y64" s="10">
        <v>670</v>
      </c>
      <c r="Z64" s="18"/>
      <c r="AA64" s="18"/>
      <c r="AB64" s="18"/>
      <c r="AC64" s="18"/>
      <c r="AD64" s="19"/>
      <c r="AE64" s="8"/>
      <c r="AF64" s="44"/>
      <c r="AG64" s="8"/>
      <c r="AH64" s="8"/>
      <c r="AI64" s="19" t="str">
        <f>IF(Tabelle589711[[#This Row],[installierte Leistung MW]]&lt;&gt;"",Tabelle589711[[#This Row],[Durchschnittsauslastung]]*Tabelle589711[[#This Row],[installierte Leistung MW]],"")</f>
        <v/>
      </c>
      <c r="AJ64" s="18" t="str">
        <f>IF(Tabelle589711[[#This Row],[installierte Leistung MW]]&lt;&gt;"",Tabelle589711[[#This Row],[installierte Leistung MW]],"")</f>
        <v/>
      </c>
      <c r="AK64" s="18"/>
      <c r="AL64" s="18"/>
      <c r="AM64" s="18"/>
      <c r="AN64" s="18"/>
      <c r="AO64" s="18">
        <f t="shared" si="5"/>
        <v>1.6666666666666666E-4</v>
      </c>
      <c r="AP64" s="18"/>
      <c r="AQ64" s="30">
        <f t="shared" si="4"/>
        <v>1.6666666666666668E-3</v>
      </c>
      <c r="BF64" s="18"/>
      <c r="BG64" s="18"/>
      <c r="BH64" s="18"/>
      <c r="BI64" s="7"/>
      <c r="BJ64" s="7"/>
      <c r="BK64" s="7"/>
      <c r="BL64" s="7"/>
      <c r="BM64" s="7"/>
      <c r="BT64" s="12">
        <v>99</v>
      </c>
      <c r="BU64" s="1">
        <v>99</v>
      </c>
      <c r="BV64" s="12"/>
      <c r="BW64" s="12"/>
      <c r="BX64" s="12"/>
      <c r="BY64" s="12"/>
      <c r="BZ64" s="12"/>
      <c r="CB64" s="12"/>
      <c r="CC64" s="12"/>
    </row>
    <row r="65" spans="1:81" x14ac:dyDescent="0.2">
      <c r="A65" s="1" t="s">
        <v>296</v>
      </c>
      <c r="B65" s="1" t="s">
        <v>130</v>
      </c>
      <c r="C65" s="1">
        <v>2010</v>
      </c>
      <c r="D65" s="1">
        <v>1</v>
      </c>
      <c r="E65" s="1">
        <v>0</v>
      </c>
      <c r="F65" s="1">
        <v>0</v>
      </c>
      <c r="H65" s="10"/>
      <c r="I65" s="10"/>
      <c r="J65" s="10"/>
      <c r="L65" s="18"/>
      <c r="N65" s="18"/>
      <c r="O65" s="10">
        <v>80</v>
      </c>
      <c r="P65" s="10">
        <v>80</v>
      </c>
      <c r="Q65" s="18"/>
      <c r="R65" s="18"/>
      <c r="S65" s="18"/>
      <c r="T65" s="18"/>
      <c r="U65" s="18"/>
      <c r="V65" s="18"/>
      <c r="W65" s="18"/>
      <c r="X65" s="10">
        <v>80</v>
      </c>
      <c r="Y65" s="10">
        <v>80</v>
      </c>
      <c r="Z65" s="18"/>
      <c r="AA65" s="18"/>
      <c r="AB65" s="18"/>
      <c r="AC65" s="18"/>
      <c r="AD65" s="19"/>
      <c r="AE65" s="8"/>
      <c r="AF65" s="44"/>
      <c r="AG65" s="8"/>
      <c r="AH65" s="8"/>
      <c r="AI65" s="19" t="str">
        <f>IF(Tabelle589711[[#This Row],[installierte Leistung MW]]&lt;&gt;"",Tabelle589711[[#This Row],[Durchschnittsauslastung]]*Tabelle589711[[#This Row],[installierte Leistung MW]],"")</f>
        <v/>
      </c>
      <c r="AJ65" s="18" t="str">
        <f>IF(Tabelle589711[[#This Row],[installierte Leistung MW]]&lt;&gt;"",Tabelle589711[[#This Row],[installierte Leistung MW]],"")</f>
        <v/>
      </c>
      <c r="AK65" s="18"/>
      <c r="AL65" s="18"/>
      <c r="AM65" s="18"/>
      <c r="AN65" s="18"/>
      <c r="AO65" s="18">
        <f t="shared" si="5"/>
        <v>1.6666666666666666E-4</v>
      </c>
      <c r="AP65" s="18"/>
      <c r="AQ65" s="30">
        <f t="shared" si="4"/>
        <v>1.6666666666666668E-3</v>
      </c>
      <c r="BF65" s="18"/>
      <c r="BG65" s="18"/>
      <c r="BH65" s="18"/>
      <c r="BI65" s="7"/>
      <c r="BJ65" s="7"/>
      <c r="BK65" s="7"/>
      <c r="BL65" s="7"/>
      <c r="BM65" s="7"/>
      <c r="BT65" s="12">
        <v>99</v>
      </c>
      <c r="BU65" s="1">
        <v>99</v>
      </c>
      <c r="BV65" s="12"/>
      <c r="BW65" s="12"/>
      <c r="BX65" s="12"/>
      <c r="BY65" s="12"/>
      <c r="BZ65" s="12"/>
      <c r="CB65" s="12"/>
      <c r="CC65" s="12"/>
    </row>
    <row r="66" spans="1:81" x14ac:dyDescent="0.2">
      <c r="A66" s="1" t="s">
        <v>296</v>
      </c>
      <c r="B66" s="1" t="s">
        <v>130</v>
      </c>
      <c r="C66" s="1">
        <v>2020</v>
      </c>
      <c r="D66" s="1">
        <v>1</v>
      </c>
      <c r="E66" s="1">
        <v>0</v>
      </c>
      <c r="F66" s="1">
        <v>0</v>
      </c>
      <c r="H66" s="10"/>
      <c r="I66" s="10"/>
      <c r="J66" s="10"/>
      <c r="L66" s="18"/>
      <c r="N66" s="18"/>
      <c r="O66" s="10">
        <v>130</v>
      </c>
      <c r="P66" s="10">
        <v>110</v>
      </c>
      <c r="Q66" s="18"/>
      <c r="R66" s="18"/>
      <c r="S66" s="18"/>
      <c r="T66" s="18"/>
      <c r="U66" s="18"/>
      <c r="V66" s="18"/>
      <c r="W66" s="18"/>
      <c r="X66" s="10">
        <v>130</v>
      </c>
      <c r="Y66" s="10">
        <v>110</v>
      </c>
      <c r="Z66" s="18"/>
      <c r="AA66" s="18"/>
      <c r="AB66" s="18"/>
      <c r="AC66" s="18"/>
      <c r="AD66" s="19"/>
      <c r="AE66" s="8"/>
      <c r="AF66" s="44"/>
      <c r="AG66" s="8"/>
      <c r="AH66" s="8"/>
      <c r="AI66" s="19" t="str">
        <f>IF(Tabelle589711[[#This Row],[installierte Leistung MW]]&lt;&gt;"",Tabelle589711[[#This Row],[Durchschnittsauslastung]]*Tabelle589711[[#This Row],[installierte Leistung MW]],"")</f>
        <v/>
      </c>
      <c r="AJ66" s="18" t="str">
        <f>IF(Tabelle589711[[#This Row],[installierte Leistung MW]]&lt;&gt;"",Tabelle589711[[#This Row],[installierte Leistung MW]],"")</f>
        <v/>
      </c>
      <c r="AK66" s="18"/>
      <c r="AL66" s="18"/>
      <c r="AM66" s="18"/>
      <c r="AN66" s="18"/>
      <c r="AO66" s="18">
        <f t="shared" si="5"/>
        <v>1.6666666666666666E-4</v>
      </c>
      <c r="AP66" s="18"/>
      <c r="AQ66" s="30">
        <f t="shared" si="4"/>
        <v>1.6666666666666668E-3</v>
      </c>
      <c r="BF66" s="18"/>
      <c r="BG66" s="18"/>
      <c r="BH66" s="18"/>
      <c r="BI66" s="7"/>
      <c r="BJ66" s="7"/>
      <c r="BK66" s="7"/>
      <c r="BL66" s="7"/>
      <c r="BM66" s="7"/>
      <c r="BT66" s="12">
        <v>99</v>
      </c>
      <c r="BU66" s="1">
        <v>99</v>
      </c>
      <c r="BV66" s="12"/>
      <c r="BW66" s="12"/>
      <c r="BX66" s="12"/>
      <c r="BY66" s="12"/>
      <c r="BZ66" s="12"/>
      <c r="CB66" s="12"/>
      <c r="CC66" s="12"/>
    </row>
    <row r="67" spans="1:81" x14ac:dyDescent="0.2">
      <c r="A67" s="1" t="s">
        <v>296</v>
      </c>
      <c r="B67" s="1" t="s">
        <v>130</v>
      </c>
      <c r="C67" s="1">
        <v>2030</v>
      </c>
      <c r="D67" s="1">
        <v>1</v>
      </c>
      <c r="E67" s="1">
        <v>0</v>
      </c>
      <c r="F67" s="1">
        <v>0</v>
      </c>
      <c r="H67" s="10"/>
      <c r="I67" s="10"/>
      <c r="J67" s="10"/>
      <c r="L67" s="18"/>
      <c r="N67" s="18"/>
      <c r="O67" s="10">
        <v>160</v>
      </c>
      <c r="P67" s="10">
        <v>100</v>
      </c>
      <c r="Q67" s="18"/>
      <c r="R67" s="18"/>
      <c r="S67" s="18"/>
      <c r="T67" s="18"/>
      <c r="U67" s="18"/>
      <c r="V67" s="18"/>
      <c r="W67" s="18"/>
      <c r="X67" s="10">
        <v>160</v>
      </c>
      <c r="Y67" s="10">
        <v>100</v>
      </c>
      <c r="Z67" s="18"/>
      <c r="AA67" s="18"/>
      <c r="AB67" s="18"/>
      <c r="AC67" s="18"/>
      <c r="AD67" s="19"/>
      <c r="AE67" s="8"/>
      <c r="AF67" s="44"/>
      <c r="AG67" s="8"/>
      <c r="AH67" s="8"/>
      <c r="AI67" s="19" t="str">
        <f>IF(Tabelle589711[[#This Row],[installierte Leistung MW]]&lt;&gt;"",Tabelle589711[[#This Row],[Durchschnittsauslastung]]*Tabelle589711[[#This Row],[installierte Leistung MW]],"")</f>
        <v/>
      </c>
      <c r="AJ67" s="18" t="str">
        <f>IF(Tabelle589711[[#This Row],[installierte Leistung MW]]&lt;&gt;"",Tabelle589711[[#This Row],[installierte Leistung MW]],"")</f>
        <v/>
      </c>
      <c r="AK67" s="18"/>
      <c r="AL67" s="18"/>
      <c r="AM67" s="18"/>
      <c r="AN67" s="18"/>
      <c r="AO67" s="18">
        <f t="shared" si="5"/>
        <v>1.6666666666666666E-4</v>
      </c>
      <c r="AP67" s="18"/>
      <c r="AQ67" s="30">
        <f t="shared" si="4"/>
        <v>1.6666666666666668E-3</v>
      </c>
      <c r="BF67" s="18"/>
      <c r="BG67" s="18"/>
      <c r="BH67" s="18"/>
      <c r="BI67" s="7"/>
      <c r="BJ67" s="7"/>
      <c r="BK67" s="7"/>
      <c r="BL67" s="7"/>
      <c r="BM67" s="7"/>
      <c r="BT67" s="12">
        <v>99</v>
      </c>
      <c r="BU67" s="1">
        <v>99</v>
      </c>
      <c r="BV67" s="12"/>
      <c r="BW67" s="12"/>
      <c r="BX67" s="12"/>
      <c r="BY67" s="12"/>
      <c r="BZ67" s="12"/>
      <c r="CB67" s="12"/>
      <c r="CC67" s="12"/>
    </row>
    <row r="68" spans="1:81" x14ac:dyDescent="0.2">
      <c r="A68" s="1" t="s">
        <v>297</v>
      </c>
      <c r="B68" s="1" t="s">
        <v>130</v>
      </c>
      <c r="C68" s="1">
        <v>2010</v>
      </c>
      <c r="D68" s="1">
        <v>1</v>
      </c>
      <c r="E68" s="1">
        <v>0</v>
      </c>
      <c r="F68" s="1">
        <v>0</v>
      </c>
      <c r="H68" s="10"/>
      <c r="I68" s="10"/>
      <c r="J68" s="10"/>
      <c r="L68" s="18"/>
      <c r="N68" s="18"/>
      <c r="O68" s="10">
        <v>600</v>
      </c>
      <c r="P68" s="10">
        <v>600</v>
      </c>
      <c r="Q68" s="18"/>
      <c r="R68" s="18"/>
      <c r="S68" s="18"/>
      <c r="T68" s="18"/>
      <c r="U68" s="18"/>
      <c r="V68" s="18"/>
      <c r="W68" s="18"/>
      <c r="X68" s="10">
        <v>600</v>
      </c>
      <c r="Y68" s="10">
        <v>600</v>
      </c>
      <c r="Z68" s="18"/>
      <c r="AA68" s="18"/>
      <c r="AB68" s="18"/>
      <c r="AC68" s="18"/>
      <c r="AD68" s="19"/>
      <c r="AE68" s="8"/>
      <c r="AF68" s="44"/>
      <c r="AG68" s="8"/>
      <c r="AH68" s="8"/>
      <c r="AI68" s="19" t="str">
        <f>IF(Tabelle589711[[#This Row],[installierte Leistung MW]]&lt;&gt;"",Tabelle589711[[#This Row],[Durchschnittsauslastung]]*Tabelle589711[[#This Row],[installierte Leistung MW]],"")</f>
        <v/>
      </c>
      <c r="AJ68" s="18" t="str">
        <f>IF(Tabelle589711[[#This Row],[installierte Leistung MW]]&lt;&gt;"",Tabelle589711[[#This Row],[installierte Leistung MW]],"")</f>
        <v/>
      </c>
      <c r="AK68" s="18"/>
      <c r="AL68" s="18"/>
      <c r="AM68" s="18"/>
      <c r="AN68" s="18"/>
      <c r="AO68" s="18">
        <f t="shared" si="5"/>
        <v>1.6666666666666666E-4</v>
      </c>
      <c r="AP68" s="18"/>
      <c r="AQ68" s="30">
        <f t="shared" si="4"/>
        <v>1.6666666666666668E-3</v>
      </c>
      <c r="BF68" s="18"/>
      <c r="BG68" s="18"/>
      <c r="BH68" s="18"/>
      <c r="BI68" s="7"/>
      <c r="BJ68" s="7"/>
      <c r="BK68" s="7"/>
      <c r="BL68" s="7"/>
      <c r="BM68" s="7"/>
      <c r="BT68" s="12">
        <v>99</v>
      </c>
      <c r="BU68" s="1">
        <v>99</v>
      </c>
      <c r="BV68" s="12"/>
      <c r="BW68" s="12"/>
      <c r="BX68" s="12"/>
      <c r="BY68" s="12"/>
      <c r="BZ68" s="12"/>
      <c r="CB68" s="12"/>
      <c r="CC68" s="12"/>
    </row>
    <row r="69" spans="1:81" x14ac:dyDescent="0.2">
      <c r="A69" s="1" t="s">
        <v>297</v>
      </c>
      <c r="B69" s="1" t="s">
        <v>130</v>
      </c>
      <c r="C69" s="1">
        <v>2020</v>
      </c>
      <c r="D69" s="1">
        <v>1</v>
      </c>
      <c r="E69" s="1">
        <v>0</v>
      </c>
      <c r="F69" s="1">
        <v>0</v>
      </c>
      <c r="H69" s="10"/>
      <c r="I69" s="10"/>
      <c r="J69" s="10"/>
      <c r="L69" s="18"/>
      <c r="N69" s="18"/>
      <c r="O69" s="10">
        <v>700</v>
      </c>
      <c r="P69" s="10">
        <v>700</v>
      </c>
      <c r="Q69" s="18"/>
      <c r="R69" s="18"/>
      <c r="S69" s="18"/>
      <c r="T69" s="18"/>
      <c r="U69" s="18"/>
      <c r="V69" s="18"/>
      <c r="W69" s="18"/>
      <c r="X69" s="10">
        <v>700</v>
      </c>
      <c r="Y69" s="10">
        <v>700</v>
      </c>
      <c r="Z69" s="18"/>
      <c r="AA69" s="18"/>
      <c r="AB69" s="18"/>
      <c r="AC69" s="18"/>
      <c r="AD69" s="19"/>
      <c r="AE69" s="8"/>
      <c r="AF69" s="44"/>
      <c r="AG69" s="8"/>
      <c r="AH69" s="8"/>
      <c r="AI69" s="19" t="str">
        <f>IF(Tabelle589711[[#This Row],[installierte Leistung MW]]&lt;&gt;"",Tabelle589711[[#This Row],[Durchschnittsauslastung]]*Tabelle589711[[#This Row],[installierte Leistung MW]],"")</f>
        <v/>
      </c>
      <c r="AJ69" s="18" t="str">
        <f>IF(Tabelle589711[[#This Row],[installierte Leistung MW]]&lt;&gt;"",Tabelle589711[[#This Row],[installierte Leistung MW]],"")</f>
        <v/>
      </c>
      <c r="AK69" s="18"/>
      <c r="AL69" s="18"/>
      <c r="AM69" s="18"/>
      <c r="AN69" s="18"/>
      <c r="AO69" s="18">
        <f t="shared" si="5"/>
        <v>1.6666666666666666E-4</v>
      </c>
      <c r="AP69" s="18"/>
      <c r="AQ69" s="30">
        <f t="shared" si="4"/>
        <v>1.6666666666666668E-3</v>
      </c>
      <c r="BF69" s="18"/>
      <c r="BG69" s="18"/>
      <c r="BH69" s="18"/>
      <c r="BI69" s="7"/>
      <c r="BJ69" s="7"/>
      <c r="BK69" s="7"/>
      <c r="BL69" s="7"/>
      <c r="BM69" s="7"/>
      <c r="BT69" s="12">
        <v>99</v>
      </c>
      <c r="BU69" s="1">
        <v>99</v>
      </c>
      <c r="BV69" s="12"/>
      <c r="BW69" s="12"/>
      <c r="BX69" s="12"/>
      <c r="BY69" s="12"/>
      <c r="BZ69" s="12"/>
      <c r="CB69" s="12"/>
      <c r="CC69" s="12"/>
    </row>
    <row r="70" spans="1:81" x14ac:dyDescent="0.2">
      <c r="A70" s="1" t="s">
        <v>297</v>
      </c>
      <c r="B70" s="1" t="s">
        <v>130</v>
      </c>
      <c r="C70" s="1">
        <v>2030</v>
      </c>
      <c r="D70" s="1">
        <v>1</v>
      </c>
      <c r="E70" s="1">
        <v>0</v>
      </c>
      <c r="F70" s="1">
        <v>0</v>
      </c>
      <c r="H70" s="10"/>
      <c r="I70" s="10"/>
      <c r="J70" s="10"/>
      <c r="L70" s="18"/>
      <c r="N70" s="18"/>
      <c r="O70" s="10">
        <v>610</v>
      </c>
      <c r="P70" s="10">
        <v>610</v>
      </c>
      <c r="Q70" s="18"/>
      <c r="R70" s="18"/>
      <c r="S70" s="18"/>
      <c r="T70" s="18"/>
      <c r="U70" s="18"/>
      <c r="V70" s="18"/>
      <c r="W70" s="18"/>
      <c r="X70" s="10">
        <v>610</v>
      </c>
      <c r="Y70" s="10">
        <v>610</v>
      </c>
      <c r="Z70" s="18"/>
      <c r="AA70" s="18"/>
      <c r="AB70" s="18"/>
      <c r="AC70" s="18"/>
      <c r="AD70" s="19"/>
      <c r="AE70" s="8"/>
      <c r="AF70" s="44"/>
      <c r="AG70" s="8"/>
      <c r="AH70" s="8"/>
      <c r="AI70" s="19" t="str">
        <f>IF(Tabelle589711[[#This Row],[installierte Leistung MW]]&lt;&gt;"",Tabelle589711[[#This Row],[Durchschnittsauslastung]]*Tabelle589711[[#This Row],[installierte Leistung MW]],"")</f>
        <v/>
      </c>
      <c r="AJ70" s="18" t="str">
        <f>IF(Tabelle589711[[#This Row],[installierte Leistung MW]]&lt;&gt;"",Tabelle589711[[#This Row],[installierte Leistung MW]],"")</f>
        <v/>
      </c>
      <c r="AK70" s="18"/>
      <c r="AL70" s="18"/>
      <c r="AM70" s="18"/>
      <c r="AN70" s="18"/>
      <c r="AO70" s="18">
        <f t="shared" si="5"/>
        <v>1.6666666666666666E-4</v>
      </c>
      <c r="AP70" s="18"/>
      <c r="AQ70" s="30">
        <f t="shared" si="4"/>
        <v>1.6666666666666668E-3</v>
      </c>
      <c r="BF70" s="18"/>
      <c r="BG70" s="18"/>
      <c r="BH70" s="18"/>
      <c r="BI70" s="7"/>
      <c r="BJ70" s="7"/>
      <c r="BK70" s="7"/>
      <c r="BL70" s="7"/>
      <c r="BM70" s="7"/>
      <c r="BT70" s="12">
        <v>99</v>
      </c>
      <c r="BU70" s="1">
        <v>99</v>
      </c>
      <c r="BV70" s="12"/>
      <c r="BW70" s="12"/>
      <c r="BX70" s="12"/>
      <c r="BY70" s="12"/>
      <c r="BZ70" s="12"/>
      <c r="CB70" s="12"/>
      <c r="CC70" s="12"/>
    </row>
    <row r="71" spans="1:81" x14ac:dyDescent="0.2">
      <c r="A71" s="1" t="s">
        <v>298</v>
      </c>
      <c r="B71" s="1" t="s">
        <v>130</v>
      </c>
      <c r="C71" s="1">
        <v>2010</v>
      </c>
      <c r="D71" s="1">
        <v>1</v>
      </c>
      <c r="E71" s="1">
        <v>0</v>
      </c>
      <c r="F71" s="1">
        <v>0</v>
      </c>
      <c r="H71" s="10"/>
      <c r="I71" s="10"/>
      <c r="J71" s="10"/>
      <c r="L71" s="18"/>
      <c r="N71" s="18"/>
      <c r="O71" s="10">
        <v>130</v>
      </c>
      <c r="P71" s="10">
        <v>140</v>
      </c>
      <c r="Q71" s="18"/>
      <c r="R71" s="18"/>
      <c r="S71" s="18"/>
      <c r="T71" s="18"/>
      <c r="U71" s="18"/>
      <c r="V71" s="18"/>
      <c r="W71" s="18"/>
      <c r="X71" s="10">
        <v>130</v>
      </c>
      <c r="Y71" s="10">
        <v>140</v>
      </c>
      <c r="Z71" s="18"/>
      <c r="AA71" s="18"/>
      <c r="AB71" s="18"/>
      <c r="AC71" s="18"/>
      <c r="AD71" s="19"/>
      <c r="AE71" s="8"/>
      <c r="AF71" s="44"/>
      <c r="AG71" s="8"/>
      <c r="AH71" s="8"/>
      <c r="AI71" s="19" t="str">
        <f>IF(Tabelle589711[[#This Row],[installierte Leistung MW]]&lt;&gt;"",Tabelle589711[[#This Row],[Durchschnittsauslastung]]*Tabelle589711[[#This Row],[installierte Leistung MW]],"")</f>
        <v/>
      </c>
      <c r="AJ71" s="18" t="str">
        <f>IF(Tabelle589711[[#This Row],[installierte Leistung MW]]&lt;&gt;"",Tabelle589711[[#This Row],[installierte Leistung MW]],"")</f>
        <v/>
      </c>
      <c r="AK71" s="18"/>
      <c r="AL71" s="18"/>
      <c r="AM71" s="18"/>
      <c r="AN71" s="18"/>
      <c r="AO71" s="18">
        <f t="shared" si="5"/>
        <v>1.6666666666666666E-4</v>
      </c>
      <c r="AP71" s="18"/>
      <c r="AQ71" s="30">
        <f t="shared" si="4"/>
        <v>1.6666666666666668E-3</v>
      </c>
      <c r="BF71" s="18"/>
      <c r="BG71" s="18"/>
      <c r="BH71" s="18"/>
      <c r="BI71" s="7"/>
      <c r="BJ71" s="7"/>
      <c r="BK71" s="7"/>
      <c r="BL71" s="7"/>
      <c r="BM71" s="7"/>
      <c r="BT71" s="12">
        <v>99</v>
      </c>
      <c r="BU71" s="1">
        <v>99</v>
      </c>
      <c r="BV71" s="12"/>
      <c r="BW71" s="12"/>
      <c r="BX71" s="12"/>
      <c r="BY71" s="12"/>
      <c r="BZ71" s="12"/>
      <c r="CB71" s="12"/>
      <c r="CC71" s="12"/>
    </row>
    <row r="72" spans="1:81" x14ac:dyDescent="0.2">
      <c r="A72" s="1" t="s">
        <v>298</v>
      </c>
      <c r="B72" s="1" t="s">
        <v>130</v>
      </c>
      <c r="C72" s="1">
        <v>2020</v>
      </c>
      <c r="D72" s="1">
        <v>1</v>
      </c>
      <c r="E72" s="1">
        <v>0</v>
      </c>
      <c r="F72" s="1">
        <v>0</v>
      </c>
      <c r="H72" s="10"/>
      <c r="I72" s="10"/>
      <c r="J72" s="10"/>
      <c r="L72" s="18"/>
      <c r="N72" s="18"/>
      <c r="O72" s="10">
        <v>220</v>
      </c>
      <c r="P72" s="10">
        <v>210</v>
      </c>
      <c r="Q72" s="18"/>
      <c r="R72" s="18"/>
      <c r="S72" s="18"/>
      <c r="T72" s="18"/>
      <c r="U72" s="18"/>
      <c r="V72" s="18"/>
      <c r="W72" s="18"/>
      <c r="X72" s="10">
        <v>220</v>
      </c>
      <c r="Y72" s="10">
        <v>210</v>
      </c>
      <c r="Z72" s="18"/>
      <c r="AA72" s="18"/>
      <c r="AB72" s="18"/>
      <c r="AC72" s="18"/>
      <c r="AD72" s="19"/>
      <c r="AE72" s="8"/>
      <c r="AF72" s="44"/>
      <c r="AG72" s="8"/>
      <c r="AH72" s="8"/>
      <c r="AI72" s="19" t="str">
        <f>IF(Tabelle589711[[#This Row],[installierte Leistung MW]]&lt;&gt;"",Tabelle589711[[#This Row],[Durchschnittsauslastung]]*Tabelle589711[[#This Row],[installierte Leistung MW]],"")</f>
        <v/>
      </c>
      <c r="AJ72" s="18" t="str">
        <f>IF(Tabelle589711[[#This Row],[installierte Leistung MW]]&lt;&gt;"",Tabelle589711[[#This Row],[installierte Leistung MW]],"")</f>
        <v/>
      </c>
      <c r="AK72" s="18"/>
      <c r="AL72" s="18"/>
      <c r="AM72" s="18"/>
      <c r="AN72" s="18"/>
      <c r="AO72" s="18">
        <f t="shared" si="5"/>
        <v>1.6666666666666666E-4</v>
      </c>
      <c r="AP72" s="18"/>
      <c r="AQ72" s="30">
        <f t="shared" si="4"/>
        <v>1.6666666666666668E-3</v>
      </c>
      <c r="BF72" s="18"/>
      <c r="BG72" s="18"/>
      <c r="BH72" s="18"/>
      <c r="BI72" s="7"/>
      <c r="BJ72" s="7"/>
      <c r="BK72" s="7"/>
      <c r="BL72" s="7"/>
      <c r="BM72" s="7"/>
      <c r="BT72" s="12">
        <v>99</v>
      </c>
      <c r="BU72" s="1">
        <v>99</v>
      </c>
      <c r="BV72" s="12"/>
      <c r="BW72" s="12"/>
      <c r="BX72" s="12"/>
      <c r="BY72" s="12"/>
      <c r="BZ72" s="12"/>
      <c r="CB72" s="12"/>
      <c r="CC72" s="12"/>
    </row>
    <row r="73" spans="1:81" x14ac:dyDescent="0.2">
      <c r="A73" s="1" t="s">
        <v>298</v>
      </c>
      <c r="B73" s="1" t="s">
        <v>130</v>
      </c>
      <c r="C73" s="1">
        <v>2030</v>
      </c>
      <c r="D73" s="1">
        <v>1</v>
      </c>
      <c r="E73" s="1">
        <v>0</v>
      </c>
      <c r="F73" s="1">
        <v>0</v>
      </c>
      <c r="H73" s="10"/>
      <c r="I73" s="10"/>
      <c r="J73" s="10"/>
      <c r="L73" s="18"/>
      <c r="N73" s="18"/>
      <c r="O73" s="10">
        <v>220</v>
      </c>
      <c r="P73" s="10">
        <v>200</v>
      </c>
      <c r="Q73" s="18"/>
      <c r="R73" s="18"/>
      <c r="S73" s="18"/>
      <c r="T73" s="18"/>
      <c r="U73" s="18"/>
      <c r="V73" s="18"/>
      <c r="W73" s="18"/>
      <c r="X73" s="10">
        <v>220</v>
      </c>
      <c r="Y73" s="10">
        <v>200</v>
      </c>
      <c r="Z73" s="18"/>
      <c r="AA73" s="18"/>
      <c r="AB73" s="18"/>
      <c r="AC73" s="18"/>
      <c r="AD73" s="19"/>
      <c r="AE73" s="8"/>
      <c r="AF73" s="44"/>
      <c r="AG73" s="8"/>
      <c r="AH73" s="8"/>
      <c r="AI73" s="19" t="str">
        <f>IF(Tabelle589711[[#This Row],[installierte Leistung MW]]&lt;&gt;"",Tabelle589711[[#This Row],[Durchschnittsauslastung]]*Tabelle589711[[#This Row],[installierte Leistung MW]],"")</f>
        <v/>
      </c>
      <c r="AJ73" s="18" t="str">
        <f>IF(Tabelle589711[[#This Row],[installierte Leistung MW]]&lt;&gt;"",Tabelle589711[[#This Row],[installierte Leistung MW]],"")</f>
        <v/>
      </c>
      <c r="AK73" s="18"/>
      <c r="AL73" s="18"/>
      <c r="AM73" s="18"/>
      <c r="AN73" s="18"/>
      <c r="AO73" s="18">
        <f t="shared" si="5"/>
        <v>1.6666666666666666E-4</v>
      </c>
      <c r="AP73" s="18"/>
      <c r="AQ73" s="30">
        <f t="shared" si="4"/>
        <v>1.6666666666666668E-3</v>
      </c>
      <c r="BF73" s="18"/>
      <c r="BG73" s="18"/>
      <c r="BH73" s="18"/>
      <c r="BI73" s="7"/>
      <c r="BJ73" s="7"/>
      <c r="BK73" s="7"/>
      <c r="BL73" s="7"/>
      <c r="BM73" s="7"/>
      <c r="BT73" s="12">
        <v>99</v>
      </c>
      <c r="BU73" s="1">
        <v>99</v>
      </c>
      <c r="BV73" s="12"/>
      <c r="BW73" s="12"/>
      <c r="BX73" s="12"/>
      <c r="BY73" s="12"/>
      <c r="BZ73" s="12"/>
      <c r="CB73" s="12"/>
      <c r="CC73" s="12"/>
    </row>
    <row r="74" spans="1:81" x14ac:dyDescent="0.2">
      <c r="A74" s="1" t="s">
        <v>299</v>
      </c>
      <c r="B74" s="1" t="s">
        <v>130</v>
      </c>
      <c r="C74" s="1">
        <v>2010</v>
      </c>
      <c r="D74" s="1">
        <v>1</v>
      </c>
      <c r="E74" s="1">
        <v>0</v>
      </c>
      <c r="F74" s="1">
        <v>0</v>
      </c>
      <c r="H74" s="10"/>
      <c r="I74" s="10"/>
      <c r="J74" s="10"/>
      <c r="L74" s="18"/>
      <c r="N74" s="18"/>
      <c r="O74" s="10">
        <v>520</v>
      </c>
      <c r="P74" s="10">
        <v>900</v>
      </c>
      <c r="Q74" s="18"/>
      <c r="R74" s="18"/>
      <c r="S74" s="18"/>
      <c r="T74" s="18"/>
      <c r="U74" s="18"/>
      <c r="V74" s="18"/>
      <c r="W74" s="18"/>
      <c r="X74" s="10">
        <v>520</v>
      </c>
      <c r="Y74" s="10">
        <v>900</v>
      </c>
      <c r="Z74" s="18"/>
      <c r="AA74" s="18"/>
      <c r="AB74" s="18"/>
      <c r="AC74" s="18"/>
      <c r="AD74" s="19"/>
      <c r="AE74" s="8"/>
      <c r="AF74" s="44"/>
      <c r="AG74" s="8"/>
      <c r="AH74" s="8"/>
      <c r="AI74" s="19" t="str">
        <f>IF(Tabelle589711[[#This Row],[installierte Leistung MW]]&lt;&gt;"",Tabelle589711[[#This Row],[Durchschnittsauslastung]]*Tabelle589711[[#This Row],[installierte Leistung MW]],"")</f>
        <v/>
      </c>
      <c r="AJ74" s="18" t="str">
        <f>IF(Tabelle589711[[#This Row],[installierte Leistung MW]]&lt;&gt;"",Tabelle589711[[#This Row],[installierte Leistung MW]],"")</f>
        <v/>
      </c>
      <c r="AK74" s="18"/>
      <c r="AL74" s="18"/>
      <c r="AM74" s="18"/>
      <c r="AN74" s="18"/>
      <c r="AO74" s="18">
        <f t="shared" si="5"/>
        <v>1.6666666666666666E-4</v>
      </c>
      <c r="AP74" s="18"/>
      <c r="AQ74" s="30">
        <f t="shared" si="4"/>
        <v>1.6666666666666668E-3</v>
      </c>
      <c r="BF74" s="18"/>
      <c r="BG74" s="18"/>
      <c r="BH74" s="18"/>
      <c r="BI74" s="7"/>
      <c r="BJ74" s="7"/>
      <c r="BK74" s="7"/>
      <c r="BL74" s="7"/>
      <c r="BM74" s="7"/>
      <c r="BT74" s="12">
        <v>99</v>
      </c>
      <c r="BU74" s="1">
        <v>99</v>
      </c>
      <c r="BV74" s="12"/>
      <c r="BW74" s="12"/>
      <c r="BX74" s="12"/>
      <c r="BY74" s="12"/>
      <c r="BZ74" s="12"/>
      <c r="CB74" s="12"/>
      <c r="CC74" s="12"/>
    </row>
    <row r="75" spans="1:81" x14ac:dyDescent="0.2">
      <c r="A75" s="1" t="s">
        <v>299</v>
      </c>
      <c r="B75" s="1" t="s">
        <v>130</v>
      </c>
      <c r="C75" s="1">
        <v>2020</v>
      </c>
      <c r="D75" s="1">
        <v>1</v>
      </c>
      <c r="E75" s="1">
        <v>0</v>
      </c>
      <c r="F75" s="1">
        <v>0</v>
      </c>
      <c r="H75" s="10"/>
      <c r="I75" s="10"/>
      <c r="J75" s="10"/>
      <c r="L75" s="18"/>
      <c r="N75" s="18"/>
      <c r="O75" s="10">
        <v>600</v>
      </c>
      <c r="P75" s="10">
        <v>1120</v>
      </c>
      <c r="Q75" s="18"/>
      <c r="R75" s="18"/>
      <c r="S75" s="18"/>
      <c r="T75" s="18"/>
      <c r="U75" s="18"/>
      <c r="V75" s="18"/>
      <c r="W75" s="18"/>
      <c r="X75" s="10">
        <v>600</v>
      </c>
      <c r="Y75" s="10">
        <v>1120</v>
      </c>
      <c r="Z75" s="18"/>
      <c r="AA75" s="18"/>
      <c r="AB75" s="18"/>
      <c r="AC75" s="18"/>
      <c r="AD75" s="19"/>
      <c r="AE75" s="8"/>
      <c r="AF75" s="44"/>
      <c r="AG75" s="8"/>
      <c r="AH75" s="8"/>
      <c r="AI75" s="19" t="str">
        <f>IF(Tabelle589711[[#This Row],[installierte Leistung MW]]&lt;&gt;"",Tabelle589711[[#This Row],[Durchschnittsauslastung]]*Tabelle589711[[#This Row],[installierte Leistung MW]],"")</f>
        <v/>
      </c>
      <c r="AJ75" s="18" t="str">
        <f>IF(Tabelle589711[[#This Row],[installierte Leistung MW]]&lt;&gt;"",Tabelle589711[[#This Row],[installierte Leistung MW]],"")</f>
        <v/>
      </c>
      <c r="AK75" s="18"/>
      <c r="AL75" s="18"/>
      <c r="AM75" s="18"/>
      <c r="AN75" s="18"/>
      <c r="AO75" s="18">
        <f t="shared" si="5"/>
        <v>1.6666666666666666E-4</v>
      </c>
      <c r="AP75" s="18"/>
      <c r="AQ75" s="30">
        <f t="shared" si="4"/>
        <v>1.6666666666666668E-3</v>
      </c>
      <c r="BF75" s="18"/>
      <c r="BG75" s="18"/>
      <c r="BH75" s="18"/>
      <c r="BI75" s="7"/>
      <c r="BJ75" s="7"/>
      <c r="BK75" s="7"/>
      <c r="BL75" s="7"/>
      <c r="BM75" s="7"/>
      <c r="BT75" s="12">
        <v>99</v>
      </c>
      <c r="BU75" s="1">
        <v>99</v>
      </c>
      <c r="BV75" s="12"/>
      <c r="BW75" s="12"/>
      <c r="BX75" s="12"/>
      <c r="BY75" s="12"/>
      <c r="BZ75" s="12"/>
      <c r="CB75" s="12"/>
      <c r="CC75" s="12"/>
    </row>
    <row r="76" spans="1:81" x14ac:dyDescent="0.2">
      <c r="A76" s="1" t="s">
        <v>299</v>
      </c>
      <c r="B76" s="1" t="s">
        <v>130</v>
      </c>
      <c r="C76" s="1">
        <v>2030</v>
      </c>
      <c r="D76" s="1">
        <v>1</v>
      </c>
      <c r="E76" s="1">
        <v>0</v>
      </c>
      <c r="F76" s="1">
        <v>0</v>
      </c>
      <c r="H76" s="10"/>
      <c r="I76" s="10"/>
      <c r="J76" s="10"/>
      <c r="L76" s="18"/>
      <c r="N76" s="18"/>
      <c r="O76" s="10">
        <v>570</v>
      </c>
      <c r="P76" s="10">
        <v>1030</v>
      </c>
      <c r="Q76" s="18"/>
      <c r="R76" s="18"/>
      <c r="S76" s="18"/>
      <c r="T76" s="18"/>
      <c r="U76" s="18"/>
      <c r="V76" s="18"/>
      <c r="W76" s="18"/>
      <c r="X76" s="10">
        <v>570</v>
      </c>
      <c r="Y76" s="10">
        <v>1030</v>
      </c>
      <c r="Z76" s="18"/>
      <c r="AA76" s="18"/>
      <c r="AB76" s="18"/>
      <c r="AC76" s="18"/>
      <c r="AD76" s="19"/>
      <c r="AE76" s="8"/>
      <c r="AF76" s="44"/>
      <c r="AG76" s="8"/>
      <c r="AH76" s="8"/>
      <c r="AI76" s="19" t="str">
        <f>IF(Tabelle589711[[#This Row],[installierte Leistung MW]]&lt;&gt;"",Tabelle589711[[#This Row],[Durchschnittsauslastung]]*Tabelle589711[[#This Row],[installierte Leistung MW]],"")</f>
        <v/>
      </c>
      <c r="AJ76" s="18" t="str">
        <f>IF(Tabelle589711[[#This Row],[installierte Leistung MW]]&lt;&gt;"",Tabelle589711[[#This Row],[installierte Leistung MW]],"")</f>
        <v/>
      </c>
      <c r="AK76" s="18"/>
      <c r="AL76" s="18"/>
      <c r="AM76" s="18"/>
      <c r="AN76" s="18"/>
      <c r="AO76" s="18">
        <f t="shared" si="5"/>
        <v>1.6666666666666666E-4</v>
      </c>
      <c r="AP76" s="18"/>
      <c r="AQ76" s="30">
        <f t="shared" si="4"/>
        <v>1.6666666666666668E-3</v>
      </c>
      <c r="BF76" s="18"/>
      <c r="BG76" s="18"/>
      <c r="BH76" s="18"/>
      <c r="BI76" s="7"/>
      <c r="BJ76" s="7"/>
      <c r="BK76" s="7"/>
      <c r="BL76" s="7"/>
      <c r="BM76" s="7"/>
      <c r="BT76" s="12">
        <v>99</v>
      </c>
      <c r="BU76" s="1">
        <v>99</v>
      </c>
      <c r="BV76" s="12"/>
      <c r="BW76" s="12"/>
      <c r="BX76" s="12"/>
      <c r="BY76" s="12"/>
      <c r="BZ76" s="12"/>
      <c r="CB76" s="12"/>
      <c r="CC76" s="12"/>
    </row>
    <row r="77" spans="1:81" x14ac:dyDescent="0.2">
      <c r="A77" s="1" t="s">
        <v>300</v>
      </c>
      <c r="B77" s="1" t="s">
        <v>130</v>
      </c>
      <c r="C77" s="1">
        <v>2010</v>
      </c>
      <c r="D77" s="1">
        <v>1</v>
      </c>
      <c r="E77" s="1">
        <v>0</v>
      </c>
      <c r="F77" s="1">
        <v>0</v>
      </c>
      <c r="H77" s="10"/>
      <c r="I77" s="10"/>
      <c r="J77" s="10"/>
      <c r="L77" s="18"/>
      <c r="N77" s="18"/>
      <c r="O77" s="10">
        <v>300</v>
      </c>
      <c r="P77" s="10">
        <v>730</v>
      </c>
      <c r="Q77" s="18"/>
      <c r="R77" s="18"/>
      <c r="S77" s="18"/>
      <c r="T77" s="18"/>
      <c r="U77" s="18"/>
      <c r="V77" s="18"/>
      <c r="W77" s="18"/>
      <c r="X77" s="10">
        <v>300</v>
      </c>
      <c r="Y77" s="10">
        <v>730</v>
      </c>
      <c r="Z77" s="18"/>
      <c r="AA77" s="18"/>
      <c r="AB77" s="18"/>
      <c r="AC77" s="18"/>
      <c r="AD77" s="19"/>
      <c r="AE77" s="8"/>
      <c r="AF77" s="44"/>
      <c r="AG77" s="8"/>
      <c r="AH77" s="8"/>
      <c r="AI77" s="19" t="str">
        <f>IF(Tabelle589711[[#This Row],[installierte Leistung MW]]&lt;&gt;"",Tabelle589711[[#This Row],[Durchschnittsauslastung]]*Tabelle589711[[#This Row],[installierte Leistung MW]],"")</f>
        <v/>
      </c>
      <c r="AJ77" s="18" t="str">
        <f>IF(Tabelle589711[[#This Row],[installierte Leistung MW]]&lt;&gt;"",Tabelle589711[[#This Row],[installierte Leistung MW]],"")</f>
        <v/>
      </c>
      <c r="AK77" s="18"/>
      <c r="AL77" s="18"/>
      <c r="AM77" s="18"/>
      <c r="AN77" s="18"/>
      <c r="AO77" s="18">
        <f t="shared" si="5"/>
        <v>1.6666666666666666E-4</v>
      </c>
      <c r="AP77" s="18"/>
      <c r="AQ77" s="30">
        <f t="shared" si="4"/>
        <v>1.6666666666666668E-3</v>
      </c>
      <c r="BF77" s="18"/>
      <c r="BG77" s="18"/>
      <c r="BH77" s="18"/>
      <c r="BI77" s="7"/>
      <c r="BJ77" s="7"/>
      <c r="BK77" s="7"/>
      <c r="BL77" s="7"/>
      <c r="BM77" s="7"/>
      <c r="BT77" s="12">
        <v>99</v>
      </c>
      <c r="BU77" s="1">
        <v>99</v>
      </c>
      <c r="BV77" s="12"/>
      <c r="BW77" s="12"/>
      <c r="BX77" s="12"/>
      <c r="BY77" s="12"/>
      <c r="BZ77" s="12"/>
      <c r="CB77" s="12"/>
      <c r="CC77" s="12"/>
    </row>
    <row r="78" spans="1:81" x14ac:dyDescent="0.2">
      <c r="A78" s="1" t="s">
        <v>300</v>
      </c>
      <c r="B78" s="1" t="s">
        <v>130</v>
      </c>
      <c r="C78" s="1">
        <v>2020</v>
      </c>
      <c r="D78" s="1">
        <v>1</v>
      </c>
      <c r="E78" s="1">
        <v>0</v>
      </c>
      <c r="F78" s="1">
        <v>0</v>
      </c>
      <c r="H78" s="10"/>
      <c r="I78" s="10"/>
      <c r="J78" s="10"/>
      <c r="L78" s="18"/>
      <c r="N78" s="18"/>
      <c r="O78" s="10">
        <v>410</v>
      </c>
      <c r="P78" s="10">
        <v>1180</v>
      </c>
      <c r="Q78" s="18"/>
      <c r="R78" s="18"/>
      <c r="S78" s="18"/>
      <c r="T78" s="18"/>
      <c r="U78" s="18"/>
      <c r="V78" s="18"/>
      <c r="W78" s="18"/>
      <c r="X78" s="10">
        <v>410</v>
      </c>
      <c r="Y78" s="10">
        <v>1180</v>
      </c>
      <c r="Z78" s="18"/>
      <c r="AA78" s="18"/>
      <c r="AB78" s="18"/>
      <c r="AC78" s="18"/>
      <c r="AD78" s="19"/>
      <c r="AE78" s="8"/>
      <c r="AF78" s="44"/>
      <c r="AG78" s="8"/>
      <c r="AH78" s="8"/>
      <c r="AI78" s="19" t="str">
        <f>IF(Tabelle589711[[#This Row],[installierte Leistung MW]]&lt;&gt;"",Tabelle589711[[#This Row],[Durchschnittsauslastung]]*Tabelle589711[[#This Row],[installierte Leistung MW]],"")</f>
        <v/>
      </c>
      <c r="AJ78" s="18" t="str">
        <f>IF(Tabelle589711[[#This Row],[installierte Leistung MW]]&lt;&gt;"",Tabelle589711[[#This Row],[installierte Leistung MW]],"")</f>
        <v/>
      </c>
      <c r="AK78" s="18"/>
      <c r="AL78" s="18"/>
      <c r="AM78" s="18"/>
      <c r="AN78" s="18"/>
      <c r="AO78" s="18">
        <f t="shared" si="5"/>
        <v>1.6666666666666666E-4</v>
      </c>
      <c r="AP78" s="18"/>
      <c r="AQ78" s="30">
        <f t="shared" si="4"/>
        <v>1.6666666666666668E-3</v>
      </c>
      <c r="BF78" s="18"/>
      <c r="BG78" s="18"/>
      <c r="BH78" s="18"/>
      <c r="BI78" s="7"/>
      <c r="BJ78" s="7"/>
      <c r="BK78" s="7"/>
      <c r="BL78" s="7"/>
      <c r="BM78" s="7"/>
      <c r="BT78" s="12">
        <v>99</v>
      </c>
      <c r="BU78" s="1">
        <v>99</v>
      </c>
      <c r="BV78" s="12"/>
      <c r="BW78" s="12"/>
      <c r="BX78" s="12"/>
      <c r="BY78" s="12"/>
      <c r="BZ78" s="12"/>
      <c r="CB78" s="12"/>
      <c r="CC78" s="12"/>
    </row>
    <row r="79" spans="1:81" x14ac:dyDescent="0.2">
      <c r="A79" s="1" t="s">
        <v>300</v>
      </c>
      <c r="B79" s="1" t="s">
        <v>130</v>
      </c>
      <c r="C79" s="1">
        <v>2030</v>
      </c>
      <c r="D79" s="1">
        <v>1</v>
      </c>
      <c r="E79" s="1">
        <v>0</v>
      </c>
      <c r="F79" s="1">
        <v>0</v>
      </c>
      <c r="H79" s="10"/>
      <c r="I79" s="10"/>
      <c r="J79" s="10"/>
      <c r="L79" s="18"/>
      <c r="N79" s="18"/>
      <c r="O79" s="10">
        <v>400</v>
      </c>
      <c r="P79" s="10">
        <v>1100</v>
      </c>
      <c r="Q79" s="18"/>
      <c r="R79" s="18"/>
      <c r="S79" s="18"/>
      <c r="T79" s="18"/>
      <c r="U79" s="18"/>
      <c r="V79" s="18"/>
      <c r="W79" s="18"/>
      <c r="X79" s="10">
        <v>400</v>
      </c>
      <c r="Y79" s="10">
        <v>1100</v>
      </c>
      <c r="Z79" s="18"/>
      <c r="AA79" s="18"/>
      <c r="AB79" s="18"/>
      <c r="AC79" s="18"/>
      <c r="AD79" s="19"/>
      <c r="AE79" s="8"/>
      <c r="AF79" s="44"/>
      <c r="AG79" s="8"/>
      <c r="AH79" s="8"/>
      <c r="AI79" s="19" t="str">
        <f>IF(Tabelle589711[[#This Row],[installierte Leistung MW]]&lt;&gt;"",Tabelle589711[[#This Row],[Durchschnittsauslastung]]*Tabelle589711[[#This Row],[installierte Leistung MW]],"")</f>
        <v/>
      </c>
      <c r="AJ79" s="18" t="str">
        <f>IF(Tabelle589711[[#This Row],[installierte Leistung MW]]&lt;&gt;"",Tabelle589711[[#This Row],[installierte Leistung MW]],"")</f>
        <v/>
      </c>
      <c r="AK79" s="18"/>
      <c r="AL79" s="18"/>
      <c r="AM79" s="18"/>
      <c r="AN79" s="18"/>
      <c r="AO79" s="18">
        <f t="shared" si="5"/>
        <v>1.6666666666666666E-4</v>
      </c>
      <c r="AP79" s="18"/>
      <c r="AQ79" s="30">
        <f t="shared" si="4"/>
        <v>1.6666666666666668E-3</v>
      </c>
      <c r="BF79" s="18"/>
      <c r="BG79" s="18"/>
      <c r="BH79" s="18"/>
      <c r="BI79" s="7"/>
      <c r="BJ79" s="7"/>
      <c r="BK79" s="7"/>
      <c r="BL79" s="7"/>
      <c r="BM79" s="7"/>
      <c r="BT79" s="12">
        <v>99</v>
      </c>
      <c r="BU79" s="1">
        <v>99</v>
      </c>
      <c r="BV79" s="12"/>
      <c r="BW79" s="12"/>
      <c r="BX79" s="12"/>
      <c r="BY79" s="12"/>
      <c r="BZ79" s="12"/>
      <c r="CB79" s="12"/>
      <c r="CC79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Dropdown!$C$2:$C$4</xm:f>
          </x14:formula1>
          <xm:sqref>B2:B79</xm:sqref>
        </x14:dataValidation>
        <x14:dataValidation type="list" allowBlank="1" showInputMessage="1" showErrorMessage="1" xr:uid="{00000000-0002-0000-0600-000001000000}">
          <x14:formula1>
            <xm:f>Dropdown!$A$2:$A$54</xm:f>
          </x14:formula1>
          <xm:sqref>A2:A79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71D8-5D17-4585-988A-E6A298C699A0}">
  <sheetPr codeName="Tabelle10"/>
  <dimension ref="A1:BY1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baseColWidth="10" defaultRowHeight="15" x14ac:dyDescent="0.25"/>
  <cols>
    <col min="1" max="1" width="24.140625" bestFit="1" customWidth="1"/>
    <col min="7" max="7" width="26.7109375" bestFit="1" customWidth="1"/>
    <col min="8" max="8" width="26" bestFit="1" customWidth="1"/>
  </cols>
  <sheetData>
    <row r="1" spans="1:77" s="1" customFormat="1" ht="12.75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805</v>
      </c>
      <c r="H1" s="2" t="s">
        <v>806</v>
      </c>
      <c r="I1" s="2" t="s">
        <v>49</v>
      </c>
      <c r="J1" s="2" t="s">
        <v>803</v>
      </c>
      <c r="K1" s="2" t="s">
        <v>804</v>
      </c>
      <c r="L1" s="2" t="s">
        <v>50</v>
      </c>
      <c r="M1" s="2" t="s">
        <v>97</v>
      </c>
      <c r="N1" s="2" t="s">
        <v>154</v>
      </c>
      <c r="O1" s="2" t="s">
        <v>800</v>
      </c>
      <c r="P1" s="2" t="s">
        <v>801</v>
      </c>
      <c r="Q1" s="2" t="s">
        <v>155</v>
      </c>
      <c r="R1" s="2" t="s">
        <v>56</v>
      </c>
      <c r="S1" s="2" t="s">
        <v>55</v>
      </c>
      <c r="T1" s="2" t="s">
        <v>797</v>
      </c>
      <c r="U1" s="2" t="s">
        <v>798</v>
      </c>
      <c r="V1" s="2" t="s">
        <v>235</v>
      </c>
      <c r="W1" s="2" t="s">
        <v>792</v>
      </c>
      <c r="X1" s="2" t="s">
        <v>116</v>
      </c>
      <c r="Y1" s="2" t="s">
        <v>57</v>
      </c>
      <c r="Z1" s="2" t="s">
        <v>123</v>
      </c>
      <c r="AA1" s="2" t="s">
        <v>58</v>
      </c>
      <c r="AB1" s="2" t="s">
        <v>9</v>
      </c>
      <c r="AC1" s="2" t="s">
        <v>423</v>
      </c>
      <c r="AD1" s="2" t="s">
        <v>225</v>
      </c>
      <c r="AE1" s="2" t="s">
        <v>157</v>
      </c>
      <c r="AF1" s="2" t="s">
        <v>227</v>
      </c>
      <c r="AG1" s="2" t="s">
        <v>228</v>
      </c>
      <c r="AH1" s="2" t="s">
        <v>158</v>
      </c>
      <c r="AI1" s="2" t="s">
        <v>214</v>
      </c>
      <c r="AJ1" s="2" t="s">
        <v>215</v>
      </c>
      <c r="AK1" s="2" t="s">
        <v>3</v>
      </c>
      <c r="AL1" s="2" t="s">
        <v>10</v>
      </c>
      <c r="AM1" s="2" t="s">
        <v>16</v>
      </c>
      <c r="AN1" s="2" t="s">
        <v>4</v>
      </c>
      <c r="AO1" s="2" t="s">
        <v>99</v>
      </c>
      <c r="AP1" s="2" t="s">
        <v>183</v>
      </c>
      <c r="AQ1" s="2" t="s">
        <v>182</v>
      </c>
      <c r="AR1" s="2" t="s">
        <v>12</v>
      </c>
      <c r="AS1" s="2" t="s">
        <v>799</v>
      </c>
      <c r="AT1" s="2" t="s">
        <v>231</v>
      </c>
      <c r="AU1" s="2" t="s">
        <v>232</v>
      </c>
      <c r="AV1" s="2" t="s">
        <v>230</v>
      </c>
      <c r="AW1" s="2" t="s">
        <v>332</v>
      </c>
      <c r="AX1" s="2" t="s">
        <v>451</v>
      </c>
      <c r="AY1" s="2" t="s">
        <v>333</v>
      </c>
      <c r="AZ1" s="2" t="s">
        <v>147</v>
      </c>
      <c r="BA1" s="2" t="s">
        <v>22</v>
      </c>
      <c r="BB1" s="2" t="s">
        <v>162</v>
      </c>
      <c r="BC1" s="2" t="s">
        <v>163</v>
      </c>
      <c r="BD1" s="2" t="s">
        <v>807</v>
      </c>
      <c r="BE1" s="2" t="s">
        <v>1</v>
      </c>
      <c r="BF1" s="2" t="s">
        <v>2</v>
      </c>
      <c r="BG1" s="2" t="s">
        <v>59</v>
      </c>
      <c r="BH1" s="2" t="s">
        <v>1089</v>
      </c>
      <c r="BI1" s="2" t="s">
        <v>236</v>
      </c>
      <c r="BJ1" s="2" t="s">
        <v>117</v>
      </c>
      <c r="BK1" s="2" t="s">
        <v>60</v>
      </c>
      <c r="BL1" s="2" t="s">
        <v>61</v>
      </c>
      <c r="BM1" s="2" t="s">
        <v>98</v>
      </c>
      <c r="BN1" s="2" t="s">
        <v>5</v>
      </c>
      <c r="BO1" s="2" t="s">
        <v>6</v>
      </c>
      <c r="BP1" s="2" t="s">
        <v>17</v>
      </c>
      <c r="BQ1" s="2" t="s">
        <v>18</v>
      </c>
      <c r="BR1" s="2" t="s">
        <v>7</v>
      </c>
      <c r="BS1" s="2" t="s">
        <v>19</v>
      </c>
      <c r="BT1" s="2" t="s">
        <v>793</v>
      </c>
      <c r="BU1" s="2" t="s">
        <v>20</v>
      </c>
      <c r="BV1" s="2" t="s">
        <v>21</v>
      </c>
      <c r="BW1" s="2" t="s">
        <v>148</v>
      </c>
      <c r="BX1" s="2" t="s">
        <v>23</v>
      </c>
      <c r="BY1" s="2" t="s">
        <v>51</v>
      </c>
    </row>
    <row r="2" spans="1:77" s="1" customFormat="1" ht="12.75" x14ac:dyDescent="0.2">
      <c r="A2" s="1" t="s">
        <v>54</v>
      </c>
      <c r="B2" s="1" t="s">
        <v>129</v>
      </c>
      <c r="C2" s="1">
        <v>2015</v>
      </c>
      <c r="D2" s="1">
        <v>1</v>
      </c>
      <c r="E2" s="1">
        <v>0</v>
      </c>
      <c r="F2" s="1"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  <c r="T2" s="8">
        <v>0.12</v>
      </c>
      <c r="U2" s="8">
        <v>0.25</v>
      </c>
      <c r="V2" s="8"/>
      <c r="W2" s="19"/>
      <c r="X2" s="19"/>
      <c r="Y2" s="18">
        <v>1150</v>
      </c>
      <c r="Z2" s="8"/>
      <c r="AA2" s="18"/>
      <c r="AP2" s="18"/>
      <c r="AQ2" s="18"/>
      <c r="AR2" s="18"/>
      <c r="AS2" s="18">
        <f>0.34*Umrechnungsfaktoren!$B$15/Umrechnungsfaktoren!$B$7</f>
        <v>0.37866952789699571</v>
      </c>
      <c r="AT2" s="7"/>
      <c r="AU2" s="7"/>
      <c r="AV2" s="7"/>
      <c r="AW2" s="7"/>
      <c r="AX2" s="7"/>
      <c r="AY2" s="7"/>
      <c r="BE2" s="12"/>
      <c r="BG2" s="12"/>
      <c r="BH2" s="12">
        <v>59</v>
      </c>
      <c r="BI2" s="12"/>
      <c r="BJ2" s="12"/>
      <c r="BK2" s="1">
        <v>60</v>
      </c>
      <c r="BL2" s="12"/>
      <c r="BM2" s="12"/>
      <c r="BT2" s="1">
        <v>60</v>
      </c>
    </row>
    <row r="3" spans="1:77" x14ac:dyDescent="0.25">
      <c r="A3" s="54" t="s">
        <v>280</v>
      </c>
      <c r="B3" s="54" t="s">
        <v>129</v>
      </c>
      <c r="C3" s="54">
        <v>2015</v>
      </c>
      <c r="D3" s="1">
        <v>1</v>
      </c>
      <c r="E3" s="1">
        <v>0</v>
      </c>
      <c r="F3" s="1">
        <v>0</v>
      </c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  <c r="T3" s="57">
        <v>0.15</v>
      </c>
      <c r="U3" s="57">
        <v>0.63</v>
      </c>
      <c r="V3" s="57"/>
      <c r="W3" s="56"/>
      <c r="X3" s="56"/>
      <c r="Y3" s="55">
        <v>80</v>
      </c>
      <c r="Z3" s="58"/>
      <c r="AA3" s="55"/>
      <c r="AB3" s="59"/>
      <c r="AC3" s="59"/>
      <c r="AD3" s="59"/>
      <c r="AE3" s="54"/>
      <c r="AF3" s="54"/>
      <c r="AG3" s="54"/>
      <c r="AH3" s="54"/>
      <c r="AI3" s="54"/>
      <c r="AJ3" s="54"/>
      <c r="AK3" s="54"/>
      <c r="AL3" s="54"/>
      <c r="AM3" s="54"/>
      <c r="AN3" s="59"/>
      <c r="AO3" s="54"/>
      <c r="AP3" s="55"/>
      <c r="AQ3" s="55"/>
      <c r="AR3" s="59"/>
      <c r="AS3" s="55">
        <f>2.43*Umrechnungsfaktoren!$B$15/Umrechnungsfaktoren!$B$7</f>
        <v>2.7063733905579399</v>
      </c>
      <c r="AT3" s="60"/>
      <c r="AU3" s="60"/>
      <c r="AV3" s="60"/>
      <c r="AW3" s="60"/>
      <c r="AX3" s="60"/>
      <c r="AY3" s="59"/>
      <c r="AZ3" s="59"/>
      <c r="BA3" s="54"/>
      <c r="BB3" s="54"/>
      <c r="BC3" s="54"/>
      <c r="BD3" s="54"/>
      <c r="BE3" s="61"/>
      <c r="BF3" s="54"/>
      <c r="BG3" s="61"/>
      <c r="BH3" s="61">
        <v>59</v>
      </c>
      <c r="BI3" s="61"/>
      <c r="BJ3" s="61"/>
      <c r="BK3" s="54">
        <v>60</v>
      </c>
      <c r="BL3" s="61"/>
      <c r="BM3" s="61"/>
      <c r="BN3" s="54"/>
      <c r="BO3" s="54"/>
      <c r="BP3" s="54"/>
      <c r="BQ3" s="54"/>
      <c r="BR3" s="54"/>
      <c r="BS3" s="54"/>
      <c r="BT3" s="54">
        <v>60</v>
      </c>
      <c r="BU3" s="54"/>
      <c r="BV3" s="54"/>
      <c r="BW3" s="54"/>
      <c r="BX3" s="54"/>
      <c r="BY3" s="54"/>
    </row>
    <row r="4" spans="1:77" x14ac:dyDescent="0.25">
      <c r="A4" s="54" t="s">
        <v>84</v>
      </c>
      <c r="B4" s="54" t="s">
        <v>129</v>
      </c>
      <c r="C4" s="54">
        <v>2015</v>
      </c>
      <c r="D4" s="1">
        <v>1</v>
      </c>
      <c r="E4" s="1">
        <v>0</v>
      </c>
      <c r="F4" s="1">
        <v>0</v>
      </c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6"/>
      <c r="T4" s="57">
        <v>0.05</v>
      </c>
      <c r="U4" s="57">
        <v>0.46</v>
      </c>
      <c r="V4" s="57"/>
      <c r="W4" s="56"/>
      <c r="X4" s="56"/>
      <c r="Y4" s="55">
        <v>2120</v>
      </c>
      <c r="Z4" s="58"/>
      <c r="AA4" s="55"/>
      <c r="AB4" s="59"/>
      <c r="AC4" s="59"/>
      <c r="AD4" s="59"/>
      <c r="AE4" s="54"/>
      <c r="AF4" s="54"/>
      <c r="AG4" s="54"/>
      <c r="AH4" s="54"/>
      <c r="AI4" s="54"/>
      <c r="AJ4" s="54"/>
      <c r="AK4" s="54"/>
      <c r="AL4" s="54"/>
      <c r="AM4" s="54"/>
      <c r="AN4" s="59"/>
      <c r="AO4" s="54"/>
      <c r="AP4" s="55"/>
      <c r="AQ4" s="55"/>
      <c r="AR4" s="59"/>
      <c r="AS4" s="55">
        <f>0.87*Umrechnungsfaktoren!$B$15/Umrechnungsfaktoren!$B$7</f>
        <v>0.96894849785407722</v>
      </c>
      <c r="AT4" s="60"/>
      <c r="AU4" s="60"/>
      <c r="AV4" s="60"/>
      <c r="AW4" s="60"/>
      <c r="AX4" s="60"/>
      <c r="AY4" s="59"/>
      <c r="AZ4" s="59"/>
      <c r="BA4" s="54"/>
      <c r="BB4" s="54"/>
      <c r="BC4" s="54"/>
      <c r="BD4" s="54"/>
      <c r="BE4" s="61"/>
      <c r="BF4" s="54"/>
      <c r="BG4" s="61"/>
      <c r="BH4" s="61">
        <v>59</v>
      </c>
      <c r="BI4" s="61"/>
      <c r="BJ4" s="61"/>
      <c r="BK4" s="54">
        <v>60</v>
      </c>
      <c r="BL4" s="61"/>
      <c r="BM4" s="61"/>
      <c r="BN4" s="54"/>
      <c r="BO4" s="54"/>
      <c r="BP4" s="54"/>
      <c r="BQ4" s="54"/>
      <c r="BR4" s="54"/>
      <c r="BS4" s="54"/>
      <c r="BT4" s="54">
        <v>60</v>
      </c>
      <c r="BU4" s="54"/>
      <c r="BV4" s="54"/>
      <c r="BW4" s="54"/>
      <c r="BX4" s="54"/>
      <c r="BY4" s="54"/>
    </row>
    <row r="5" spans="1:77" x14ac:dyDescent="0.25">
      <c r="A5" s="54" t="s">
        <v>29</v>
      </c>
      <c r="B5" s="54" t="s">
        <v>129</v>
      </c>
      <c r="C5" s="54">
        <v>2015</v>
      </c>
      <c r="D5" s="1">
        <v>1</v>
      </c>
      <c r="E5" s="1">
        <v>0</v>
      </c>
      <c r="F5" s="1">
        <v>0</v>
      </c>
      <c r="G5" s="54"/>
      <c r="H5" s="54"/>
      <c r="I5" s="55"/>
      <c r="J5" s="55"/>
      <c r="K5" s="55"/>
      <c r="L5" s="55"/>
      <c r="M5" s="55"/>
      <c r="N5" s="55"/>
      <c r="O5" s="55"/>
      <c r="P5" s="55"/>
      <c r="Q5" s="55"/>
      <c r="R5" s="55"/>
      <c r="S5" s="56"/>
      <c r="T5" s="57">
        <v>0.14000000000000001</v>
      </c>
      <c r="U5" s="57">
        <v>0.49</v>
      </c>
      <c r="V5" s="57"/>
      <c r="W5" s="56"/>
      <c r="X5" s="56"/>
      <c r="Y5" s="55">
        <v>1190</v>
      </c>
      <c r="Z5" s="58"/>
      <c r="AA5" s="55"/>
      <c r="AB5" s="59"/>
      <c r="AC5" s="59"/>
      <c r="AD5" s="59"/>
      <c r="AE5" s="54"/>
      <c r="AF5" s="54"/>
      <c r="AG5" s="54"/>
      <c r="AH5" s="54"/>
      <c r="AI5" s="54"/>
      <c r="AJ5" s="54"/>
      <c r="AK5" s="54"/>
      <c r="AL5" s="54"/>
      <c r="AM5" s="54"/>
      <c r="AN5" s="59"/>
      <c r="AO5" s="54"/>
      <c r="AP5" s="55"/>
      <c r="AQ5" s="55"/>
      <c r="AR5" s="59"/>
      <c r="AS5" s="55">
        <f>1.39*Umrechnungsfaktoren!$B$15/Umrechnungsfaktoren!$B$7</f>
        <v>1.5480901287553646</v>
      </c>
      <c r="AT5" s="60"/>
      <c r="AU5" s="60"/>
      <c r="AV5" s="60"/>
      <c r="AW5" s="60"/>
      <c r="AX5" s="60"/>
      <c r="AY5" s="59"/>
      <c r="AZ5" s="59"/>
      <c r="BA5" s="54"/>
      <c r="BB5" s="54"/>
      <c r="BC5" s="54"/>
      <c r="BD5" s="54"/>
      <c r="BE5" s="61"/>
      <c r="BF5" s="54"/>
      <c r="BG5" s="61"/>
      <c r="BH5" s="61">
        <v>59</v>
      </c>
      <c r="BI5" s="61"/>
      <c r="BJ5" s="61"/>
      <c r="BK5" s="54">
        <v>60</v>
      </c>
      <c r="BL5" s="61"/>
      <c r="BM5" s="61"/>
      <c r="BN5" s="54"/>
      <c r="BO5" s="54"/>
      <c r="BP5" s="54"/>
      <c r="BQ5" s="54"/>
      <c r="BR5" s="54"/>
      <c r="BS5" s="54"/>
      <c r="BT5" s="54">
        <v>60</v>
      </c>
      <c r="BU5" s="54"/>
      <c r="BV5" s="54"/>
      <c r="BW5" s="54"/>
      <c r="BX5" s="54"/>
      <c r="BY5" s="54"/>
    </row>
    <row r="6" spans="1:77" x14ac:dyDescent="0.25">
      <c r="A6" s="54" t="s">
        <v>77</v>
      </c>
      <c r="B6" s="54" t="s">
        <v>129</v>
      </c>
      <c r="C6" s="54">
        <v>2015</v>
      </c>
      <c r="D6" s="1">
        <v>1</v>
      </c>
      <c r="E6" s="1">
        <v>0</v>
      </c>
      <c r="F6" s="1">
        <v>0</v>
      </c>
      <c r="G6" s="54"/>
      <c r="H6" s="54"/>
      <c r="I6" s="55"/>
      <c r="J6" s="55"/>
      <c r="K6" s="55"/>
      <c r="L6" s="55"/>
      <c r="M6" s="55"/>
      <c r="N6" s="55"/>
      <c r="O6" s="55"/>
      <c r="P6" s="55"/>
      <c r="Q6" s="55"/>
      <c r="R6" s="55"/>
      <c r="S6" s="56"/>
      <c r="T6" s="57">
        <v>0.28000000000000003</v>
      </c>
      <c r="U6" s="57">
        <v>0.72</v>
      </c>
      <c r="V6" s="57"/>
      <c r="W6" s="56"/>
      <c r="X6" s="56"/>
      <c r="Y6" s="55">
        <v>140</v>
      </c>
      <c r="Z6" s="58"/>
      <c r="AA6" s="55"/>
      <c r="AB6" s="59"/>
      <c r="AC6" s="59"/>
      <c r="AD6" s="59"/>
      <c r="AE6" s="54"/>
      <c r="AF6" s="54"/>
      <c r="AG6" s="54"/>
      <c r="AH6" s="54"/>
      <c r="AI6" s="54"/>
      <c r="AJ6" s="54"/>
      <c r="AK6" s="54"/>
      <c r="AL6" s="54"/>
      <c r="AM6" s="54"/>
      <c r="AN6" s="59"/>
      <c r="AO6" s="54"/>
      <c r="AP6" s="55"/>
      <c r="AQ6" s="55"/>
      <c r="AR6" s="59"/>
      <c r="AS6" s="55">
        <f>6.95*Umrechnungsfaktoren!$B$15/Umrechnungsfaktoren!$B$7</f>
        <v>7.7404506437768239</v>
      </c>
      <c r="AT6" s="60"/>
      <c r="AU6" s="60"/>
      <c r="AV6" s="60"/>
      <c r="AW6" s="60"/>
      <c r="AX6" s="60"/>
      <c r="AY6" s="59"/>
      <c r="AZ6" s="59"/>
      <c r="BA6" s="54"/>
      <c r="BB6" s="54"/>
      <c r="BC6" s="54"/>
      <c r="BD6" s="54"/>
      <c r="BE6" s="61"/>
      <c r="BF6" s="54"/>
      <c r="BG6" s="61"/>
      <c r="BH6" s="61">
        <v>59</v>
      </c>
      <c r="BI6" s="61"/>
      <c r="BJ6" s="61"/>
      <c r="BK6" s="54">
        <v>60</v>
      </c>
      <c r="BL6" s="61"/>
      <c r="BM6" s="61"/>
      <c r="BN6" s="54"/>
      <c r="BO6" s="54"/>
      <c r="BP6" s="54"/>
      <c r="BQ6" s="54"/>
      <c r="BR6" s="54"/>
      <c r="BS6" s="54"/>
      <c r="BT6" s="54">
        <v>60</v>
      </c>
      <c r="BU6" s="54"/>
      <c r="BV6" s="54"/>
      <c r="BW6" s="54"/>
      <c r="BX6" s="54"/>
      <c r="BY6" s="54"/>
    </row>
    <row r="7" spans="1:77" x14ac:dyDescent="0.25">
      <c r="A7" s="54" t="s">
        <v>746</v>
      </c>
      <c r="B7" s="54" t="s">
        <v>130</v>
      </c>
      <c r="C7" s="54">
        <v>2015</v>
      </c>
      <c r="D7" s="1">
        <v>1</v>
      </c>
      <c r="E7" s="1">
        <v>0</v>
      </c>
      <c r="F7" s="1">
        <v>0</v>
      </c>
      <c r="G7" s="54"/>
      <c r="H7" s="54"/>
      <c r="I7" s="55"/>
      <c r="J7" s="55">
        <v>17000</v>
      </c>
      <c r="K7" s="55">
        <v>3000</v>
      </c>
      <c r="L7" s="55"/>
      <c r="M7" s="55"/>
      <c r="N7" s="55"/>
      <c r="O7" s="55">
        <v>17000</v>
      </c>
      <c r="P7" s="55">
        <v>3000</v>
      </c>
      <c r="Q7" s="55"/>
      <c r="R7" s="55"/>
      <c r="S7" s="56"/>
      <c r="T7" s="57"/>
      <c r="U7" s="57"/>
      <c r="V7" s="57"/>
      <c r="W7" s="56"/>
      <c r="X7" s="56"/>
      <c r="Y7" s="55"/>
      <c r="Z7" s="58"/>
      <c r="AA7" s="55"/>
      <c r="AB7" s="59"/>
      <c r="AC7" s="59"/>
      <c r="AD7" s="59"/>
      <c r="AE7" s="54"/>
      <c r="AF7" s="54"/>
      <c r="AG7" s="54"/>
      <c r="AH7" s="54"/>
      <c r="AI7" s="54"/>
      <c r="AJ7" s="54"/>
      <c r="AK7" s="54"/>
      <c r="AL7" s="54"/>
      <c r="AM7" s="54"/>
      <c r="AN7" s="59"/>
      <c r="AO7" s="54"/>
      <c r="AP7" s="55"/>
      <c r="AQ7" s="55"/>
      <c r="AR7" s="59"/>
      <c r="AS7" s="55"/>
      <c r="AT7" s="60"/>
      <c r="AU7" s="60"/>
      <c r="AV7" s="60"/>
      <c r="AW7" s="60"/>
      <c r="AX7" s="60"/>
      <c r="AY7" s="59"/>
      <c r="AZ7" s="59"/>
      <c r="BA7" s="54" t="s">
        <v>802</v>
      </c>
      <c r="BB7" s="54"/>
      <c r="BC7" s="54"/>
      <c r="BD7" s="54"/>
      <c r="BE7" s="61">
        <v>65</v>
      </c>
      <c r="BF7" s="54">
        <v>65</v>
      </c>
      <c r="BG7" s="61"/>
      <c r="BH7" s="61"/>
      <c r="BI7" s="61"/>
      <c r="BJ7" s="61"/>
      <c r="BK7" s="54"/>
      <c r="BL7" s="61"/>
      <c r="BM7" s="61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</row>
    <row r="8" spans="1:77" x14ac:dyDescent="0.25">
      <c r="A8" s="54" t="s">
        <v>137</v>
      </c>
      <c r="B8" s="54" t="s">
        <v>130</v>
      </c>
      <c r="C8" s="54">
        <v>2015</v>
      </c>
      <c r="D8" s="54">
        <v>1</v>
      </c>
      <c r="E8" s="54">
        <v>0</v>
      </c>
      <c r="F8" s="1">
        <v>0</v>
      </c>
      <c r="G8" s="54"/>
      <c r="H8" s="54"/>
      <c r="I8" s="55"/>
      <c r="J8" s="55">
        <v>3000</v>
      </c>
      <c r="K8" s="55">
        <v>1000</v>
      </c>
      <c r="L8" s="55"/>
      <c r="M8" s="55"/>
      <c r="N8" s="55"/>
      <c r="O8" s="55">
        <v>3000</v>
      </c>
      <c r="P8" s="55">
        <v>1000</v>
      </c>
      <c r="Q8" s="55"/>
      <c r="R8" s="55"/>
      <c r="S8" s="56"/>
      <c r="T8" s="57"/>
      <c r="U8" s="57"/>
      <c r="V8" s="57"/>
      <c r="W8" s="56"/>
      <c r="X8" s="56"/>
      <c r="Y8" s="55"/>
      <c r="Z8" s="58"/>
      <c r="AA8" s="55"/>
      <c r="AB8" s="59"/>
      <c r="AC8" s="59"/>
      <c r="AD8" s="59"/>
      <c r="AE8" s="54"/>
      <c r="AF8" s="54"/>
      <c r="AG8" s="54"/>
      <c r="AH8" s="54"/>
      <c r="AI8" s="54"/>
      <c r="AJ8" s="54"/>
      <c r="AK8" s="54"/>
      <c r="AL8" s="54"/>
      <c r="AM8" s="54"/>
      <c r="AN8" s="59"/>
      <c r="AO8" s="54"/>
      <c r="AP8" s="55"/>
      <c r="AQ8" s="55"/>
      <c r="AR8" s="59"/>
      <c r="AS8" s="55"/>
      <c r="AT8" s="60"/>
      <c r="AU8" s="60"/>
      <c r="AV8" s="60"/>
      <c r="AW8" s="60"/>
      <c r="AX8" s="60"/>
      <c r="AY8" s="59"/>
      <c r="AZ8" s="59"/>
      <c r="BA8" s="54" t="s">
        <v>802</v>
      </c>
      <c r="BB8" s="54"/>
      <c r="BC8" s="54"/>
      <c r="BD8" s="54"/>
      <c r="BE8" s="61">
        <v>65</v>
      </c>
      <c r="BF8" s="54">
        <v>65</v>
      </c>
      <c r="BG8" s="61"/>
      <c r="BH8" s="61"/>
      <c r="BI8" s="61"/>
      <c r="BJ8" s="61"/>
      <c r="BK8" s="54"/>
      <c r="BL8" s="61"/>
      <c r="BM8" s="61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</row>
    <row r="9" spans="1:77" x14ac:dyDescent="0.25">
      <c r="A9" s="54" t="s">
        <v>135</v>
      </c>
      <c r="B9" s="54" t="s">
        <v>142</v>
      </c>
      <c r="C9" s="54">
        <v>2015</v>
      </c>
      <c r="D9" s="54">
        <v>1</v>
      </c>
      <c r="E9" s="54">
        <v>0</v>
      </c>
      <c r="F9" s="1">
        <v>0</v>
      </c>
      <c r="G9" s="54">
        <v>9.3000000000000007</v>
      </c>
      <c r="H9" s="54">
        <v>22.6</v>
      </c>
      <c r="I9" s="55"/>
      <c r="J9" s="55">
        <v>500</v>
      </c>
      <c r="K9" s="55">
        <v>500</v>
      </c>
      <c r="L9" s="55">
        <v>1300</v>
      </c>
      <c r="M9" s="55"/>
      <c r="N9" s="55"/>
      <c r="O9" s="55">
        <v>500</v>
      </c>
      <c r="P9" s="55">
        <v>500</v>
      </c>
      <c r="Q9" s="55">
        <v>1300</v>
      </c>
      <c r="R9" s="55"/>
      <c r="S9" s="56"/>
      <c r="T9" s="57"/>
      <c r="U9" s="57"/>
      <c r="V9" s="57"/>
      <c r="W9" s="56"/>
      <c r="X9" s="56"/>
      <c r="Y9" s="55"/>
      <c r="Z9" s="58"/>
      <c r="AA9" s="55"/>
      <c r="AB9" s="59"/>
      <c r="AC9" s="59"/>
      <c r="AD9" s="59"/>
      <c r="AE9" s="54"/>
      <c r="AF9" s="54"/>
      <c r="AG9" s="54"/>
      <c r="AH9" s="54"/>
      <c r="AI9" s="54"/>
      <c r="AJ9" s="54"/>
      <c r="AK9" s="54"/>
      <c r="AL9" s="54"/>
      <c r="AM9" s="54"/>
      <c r="AN9" s="59"/>
      <c r="AO9" s="54"/>
      <c r="AP9" s="55"/>
      <c r="AQ9" s="55"/>
      <c r="AR9" s="59"/>
      <c r="AS9" s="55"/>
      <c r="AT9" s="60"/>
      <c r="AU9" s="60"/>
      <c r="AV9" s="60"/>
      <c r="AW9" s="60"/>
      <c r="AX9" s="60"/>
      <c r="AY9" s="59"/>
      <c r="AZ9" s="59"/>
      <c r="BA9" s="54"/>
      <c r="BB9" s="54"/>
      <c r="BC9" s="54"/>
      <c r="BD9" s="54">
        <v>69</v>
      </c>
      <c r="BE9" s="61">
        <v>74</v>
      </c>
      <c r="BF9" s="54">
        <v>74</v>
      </c>
      <c r="BG9" s="61"/>
      <c r="BH9" s="61"/>
      <c r="BI9" s="61"/>
      <c r="BJ9" s="61"/>
      <c r="BK9" s="54"/>
      <c r="BL9" s="61"/>
      <c r="BM9" s="61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</row>
    <row r="10" spans="1:77" x14ac:dyDescent="0.25">
      <c r="A10" s="54" t="s">
        <v>287</v>
      </c>
      <c r="B10" s="54" t="s">
        <v>142</v>
      </c>
      <c r="C10" s="54">
        <v>2015</v>
      </c>
      <c r="D10" s="54">
        <v>1</v>
      </c>
      <c r="E10" s="54">
        <v>0</v>
      </c>
      <c r="F10" s="1">
        <v>0</v>
      </c>
      <c r="G10" s="54">
        <v>5.5</v>
      </c>
      <c r="H10" s="54">
        <v>9.5</v>
      </c>
      <c r="I10" s="55"/>
      <c r="J10" s="55">
        <v>500</v>
      </c>
      <c r="K10" s="55">
        <v>500</v>
      </c>
      <c r="L10" s="55">
        <v>1000</v>
      </c>
      <c r="M10" s="55"/>
      <c r="N10" s="55"/>
      <c r="O10" s="55">
        <v>500</v>
      </c>
      <c r="P10" s="55">
        <v>500</v>
      </c>
      <c r="Q10" s="55">
        <v>1000</v>
      </c>
      <c r="R10" s="55"/>
      <c r="S10" s="56"/>
      <c r="T10" s="57"/>
      <c r="U10" s="57"/>
      <c r="V10" s="57"/>
      <c r="W10" s="56"/>
      <c r="X10" s="56"/>
      <c r="Y10" s="55"/>
      <c r="Z10" s="58"/>
      <c r="AA10" s="55"/>
      <c r="AB10" s="59"/>
      <c r="AC10" s="59"/>
      <c r="AD10" s="59"/>
      <c r="AE10" s="54"/>
      <c r="AF10" s="54"/>
      <c r="AG10" s="54"/>
      <c r="AH10" s="54"/>
      <c r="AI10" s="54"/>
      <c r="AJ10" s="54"/>
      <c r="AK10" s="54"/>
      <c r="AL10" s="54"/>
      <c r="AM10" s="54"/>
      <c r="AN10" s="59"/>
      <c r="AO10" s="54"/>
      <c r="AP10" s="55"/>
      <c r="AQ10" s="55"/>
      <c r="AR10" s="59"/>
      <c r="AS10" s="55"/>
      <c r="AT10" s="60"/>
      <c r="AU10" s="60"/>
      <c r="AV10" s="60"/>
      <c r="AW10" s="60"/>
      <c r="AX10" s="60"/>
      <c r="AY10" s="59"/>
      <c r="AZ10" s="59"/>
      <c r="BA10" s="54"/>
      <c r="BB10" s="54"/>
      <c r="BC10" s="54"/>
      <c r="BD10" s="54">
        <v>77</v>
      </c>
      <c r="BE10" s="61">
        <v>76</v>
      </c>
      <c r="BF10" s="54">
        <v>76</v>
      </c>
      <c r="BG10" s="61"/>
      <c r="BH10" s="61"/>
      <c r="BI10" s="61"/>
      <c r="BJ10" s="61"/>
      <c r="BK10" s="54"/>
      <c r="BL10" s="61"/>
      <c r="BM10" s="61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</row>
    <row r="11" spans="1:77" x14ac:dyDescent="0.25">
      <c r="A11" s="54" t="s">
        <v>136</v>
      </c>
      <c r="B11" s="54" t="s">
        <v>142</v>
      </c>
      <c r="C11" s="54">
        <v>2015</v>
      </c>
      <c r="D11" s="54">
        <v>1</v>
      </c>
      <c r="E11" s="54">
        <v>0</v>
      </c>
      <c r="F11" s="1">
        <v>0</v>
      </c>
      <c r="G11" s="54"/>
      <c r="H11" s="54"/>
      <c r="I11" s="55"/>
      <c r="J11" s="55">
        <v>300</v>
      </c>
      <c r="K11" s="55">
        <v>300</v>
      </c>
      <c r="L11" s="55">
        <v>700</v>
      </c>
      <c r="M11" s="55"/>
      <c r="N11" s="55"/>
      <c r="O11" s="55">
        <v>300</v>
      </c>
      <c r="P11" s="55">
        <v>300</v>
      </c>
      <c r="Q11" s="55">
        <v>700</v>
      </c>
      <c r="R11" s="55"/>
      <c r="S11" s="56"/>
      <c r="T11" s="57"/>
      <c r="U11" s="57"/>
      <c r="V11" s="57"/>
      <c r="W11" s="56"/>
      <c r="X11" s="56"/>
      <c r="Y11" s="55"/>
      <c r="Z11" s="58"/>
      <c r="AA11" s="55"/>
      <c r="AB11" s="59"/>
      <c r="AC11" s="59"/>
      <c r="AD11" s="59"/>
      <c r="AE11" s="54"/>
      <c r="AF11" s="54"/>
      <c r="AG11" s="54"/>
      <c r="AH11" s="54"/>
      <c r="AI11" s="54"/>
      <c r="AJ11" s="54"/>
      <c r="AK11" s="54"/>
      <c r="AL11" s="54"/>
      <c r="AM11" s="54"/>
      <c r="AN11" s="59"/>
      <c r="AO11" s="54"/>
      <c r="AP11" s="55"/>
      <c r="AQ11" s="55"/>
      <c r="AR11" s="59"/>
      <c r="AS11" s="55"/>
      <c r="AT11" s="60"/>
      <c r="AU11" s="60"/>
      <c r="AV11" s="60"/>
      <c r="AW11" s="60"/>
      <c r="AX11" s="60"/>
      <c r="AY11" s="59"/>
      <c r="AZ11" s="59"/>
      <c r="BA11" s="54"/>
      <c r="BB11" s="54"/>
      <c r="BC11" s="54"/>
      <c r="BD11" s="54"/>
      <c r="BE11" s="61">
        <v>77</v>
      </c>
      <c r="BF11" s="54">
        <v>77</v>
      </c>
      <c r="BG11" s="61"/>
      <c r="BH11" s="61"/>
      <c r="BI11" s="61"/>
      <c r="BJ11" s="61"/>
      <c r="BK11" s="54"/>
      <c r="BL11" s="61"/>
      <c r="BM11" s="61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</row>
    <row r="12" spans="1:77" x14ac:dyDescent="0.25">
      <c r="A12" s="54" t="s">
        <v>138</v>
      </c>
      <c r="B12" s="54" t="s">
        <v>142</v>
      </c>
      <c r="C12" s="54">
        <v>2015</v>
      </c>
      <c r="D12" s="54">
        <v>1</v>
      </c>
      <c r="E12" s="54">
        <v>0</v>
      </c>
      <c r="F12" s="1">
        <v>0</v>
      </c>
      <c r="G12" s="54">
        <v>18</v>
      </c>
      <c r="H12" s="54">
        <v>20</v>
      </c>
      <c r="I12" s="55"/>
      <c r="J12" s="55"/>
      <c r="K12" s="55"/>
      <c r="L12" s="55">
        <v>12400</v>
      </c>
      <c r="M12" s="55"/>
      <c r="N12" s="55"/>
      <c r="O12" s="55"/>
      <c r="P12" s="55"/>
      <c r="Q12" s="55">
        <v>12400</v>
      </c>
      <c r="R12" s="55"/>
      <c r="S12" s="56"/>
      <c r="T12" s="57"/>
      <c r="U12" s="57"/>
      <c r="V12" s="57"/>
      <c r="W12" s="56"/>
      <c r="X12" s="56"/>
      <c r="Y12" s="55"/>
      <c r="Z12" s="58"/>
      <c r="AA12" s="55"/>
      <c r="AB12" s="59"/>
      <c r="AC12" s="59"/>
      <c r="AD12" s="59"/>
      <c r="AE12" s="54"/>
      <c r="AF12" s="54"/>
      <c r="AG12" s="54"/>
      <c r="AH12" s="54"/>
      <c r="AI12" s="54"/>
      <c r="AJ12" s="54"/>
      <c r="AK12" s="54"/>
      <c r="AL12" s="54"/>
      <c r="AM12" s="54"/>
      <c r="AN12" s="59"/>
      <c r="AO12" s="54"/>
      <c r="AP12" s="55"/>
      <c r="AQ12" s="55"/>
      <c r="AR12" s="59"/>
      <c r="AS12" s="55"/>
      <c r="AT12" s="60"/>
      <c r="AU12" s="60"/>
      <c r="AV12" s="60"/>
      <c r="AW12" s="60"/>
      <c r="AX12" s="60"/>
      <c r="AY12" s="59"/>
      <c r="AZ12" s="59"/>
      <c r="BA12" s="54"/>
      <c r="BB12" s="54"/>
      <c r="BC12" s="54"/>
      <c r="BD12" s="54">
        <v>78</v>
      </c>
      <c r="BE12" s="61">
        <v>81</v>
      </c>
      <c r="BF12" s="54">
        <v>81</v>
      </c>
      <c r="BG12" s="61"/>
      <c r="BH12" s="61"/>
      <c r="BI12" s="61"/>
      <c r="BJ12" s="61"/>
      <c r="BK12" s="54"/>
      <c r="BL12" s="61"/>
      <c r="BM12" s="61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4BDAAA-8319-4B38-BCEA-0A751F917396}">
          <x14:formula1>
            <xm:f>Dropdown!$C$2:$C$4</xm:f>
          </x14:formula1>
          <xm:sqref>B2:B12</xm:sqref>
        </x14:dataValidation>
        <x14:dataValidation type="list" allowBlank="1" showInputMessage="1" showErrorMessage="1" xr:uid="{B6E0C733-6D4A-442B-AF1D-C930EB8F2F6C}">
          <x14:formula1>
            <xm:f>Dropdown!$A$2:$A$92</xm:f>
          </x14:formula1>
          <xm:sqref>A2:A12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E211-2155-4F53-9C44-7236168E976A}">
  <sheetPr codeName="Tabelle11"/>
  <dimension ref="A1:BT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L1" sqref="BL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8" width="24.42578125" style="1" customWidth="1"/>
    <col min="19" max="19" width="37.7109375" style="1" bestFit="1" customWidth="1"/>
    <col min="20" max="21" width="24.7109375" style="1" customWidth="1"/>
    <col min="22" max="22" width="28.42578125" style="1" customWidth="1"/>
    <col min="23" max="23" width="27.42578125" style="1" bestFit="1" customWidth="1"/>
    <col min="24" max="25" width="27.42578125" style="1" customWidth="1"/>
    <col min="26" max="26" width="20.7109375" style="1" bestFit="1" customWidth="1"/>
    <col min="27" max="31" width="20.7109375" style="1" customWidth="1"/>
    <col min="32" max="32" width="25.85546875" style="1" bestFit="1" customWidth="1"/>
    <col min="33" max="33" width="29.7109375" style="1" bestFit="1" customWidth="1"/>
    <col min="34" max="34" width="24" style="1" bestFit="1" customWidth="1"/>
    <col min="35" max="35" width="38.28515625" style="1" bestFit="1" customWidth="1"/>
    <col min="36" max="38" width="38.28515625" style="1" customWidth="1"/>
    <col min="39" max="39" width="38.28515625" style="1" bestFit="1" customWidth="1"/>
    <col min="40" max="43" width="38.28515625" style="1" customWidth="1"/>
    <col min="44" max="44" width="33.42578125" style="1" bestFit="1" customWidth="1"/>
    <col min="45" max="46" width="33.42578125" style="1" customWidth="1"/>
    <col min="47" max="47" width="25.7109375" style="1" bestFit="1" customWidth="1"/>
    <col min="48" max="48" width="25.7109375" style="1" customWidth="1"/>
    <col min="49" max="49" width="56.7109375" style="1" bestFit="1" customWidth="1"/>
    <col min="50" max="51" width="35.5703125" style="1" customWidth="1"/>
    <col min="52" max="52" width="31.7109375" style="1" bestFit="1" customWidth="1"/>
    <col min="53" max="53" width="31.5703125" style="1" bestFit="1" customWidth="1"/>
    <col min="54" max="58" width="31.5703125" style="1" customWidth="1"/>
    <col min="59" max="59" width="37.42578125" style="1" bestFit="1" customWidth="1"/>
    <col min="60" max="60" width="35.7109375" style="1" bestFit="1" customWidth="1"/>
    <col min="61" max="61" width="28.85546875" style="1" bestFit="1" customWidth="1"/>
    <col min="62" max="62" width="34" style="1" bestFit="1" customWidth="1"/>
    <col min="63" max="63" width="37.85546875" style="1" bestFit="1" customWidth="1"/>
    <col min="64" max="64" width="34.42578125" style="1" bestFit="1" customWidth="1"/>
    <col min="65" max="65" width="38.140625" style="1" bestFit="1" customWidth="1"/>
    <col min="66" max="66" width="22.85546875" style="1" bestFit="1" customWidth="1"/>
    <col min="67" max="67" width="22.85546875" style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87</v>
      </c>
      <c r="Q1" s="2" t="s">
        <v>235</v>
      </c>
      <c r="R1" s="2" t="s">
        <v>792</v>
      </c>
      <c r="S1" s="2" t="s">
        <v>116</v>
      </c>
      <c r="T1" s="2" t="s">
        <v>57</v>
      </c>
      <c r="U1" s="2" t="s">
        <v>123</v>
      </c>
      <c r="V1" s="2" t="s">
        <v>58</v>
      </c>
      <c r="W1" s="2" t="s">
        <v>9</v>
      </c>
      <c r="X1" s="2" t="s">
        <v>423</v>
      </c>
      <c r="Y1" s="2" t="s">
        <v>225</v>
      </c>
      <c r="Z1" s="2" t="s">
        <v>157</v>
      </c>
      <c r="AA1" s="2" t="s">
        <v>227</v>
      </c>
      <c r="AB1" s="2" t="s">
        <v>228</v>
      </c>
      <c r="AC1" s="2" t="s">
        <v>158</v>
      </c>
      <c r="AD1" s="2" t="s">
        <v>214</v>
      </c>
      <c r="AE1" s="2" t="s">
        <v>215</v>
      </c>
      <c r="AF1" s="2" t="s">
        <v>3</v>
      </c>
      <c r="AG1" s="2" t="s">
        <v>10</v>
      </c>
      <c r="AH1" s="2" t="s">
        <v>16</v>
      </c>
      <c r="AI1" s="2" t="s">
        <v>4</v>
      </c>
      <c r="AJ1" s="2" t="s">
        <v>99</v>
      </c>
      <c r="AK1" s="2" t="s">
        <v>183</v>
      </c>
      <c r="AL1" s="2" t="s">
        <v>182</v>
      </c>
      <c r="AM1" s="2" t="s">
        <v>12</v>
      </c>
      <c r="AN1" s="2" t="s">
        <v>790</v>
      </c>
      <c r="AO1" s="2" t="s">
        <v>791</v>
      </c>
      <c r="AP1" s="2" t="s">
        <v>231</v>
      </c>
      <c r="AQ1" s="2" t="s">
        <v>232</v>
      </c>
      <c r="AR1" s="2" t="s">
        <v>230</v>
      </c>
      <c r="AS1" s="2" t="s">
        <v>332</v>
      </c>
      <c r="AT1" s="2" t="s">
        <v>451</v>
      </c>
      <c r="AU1" s="2" t="s">
        <v>333</v>
      </c>
      <c r="AV1" s="2" t="s">
        <v>147</v>
      </c>
      <c r="AW1" s="2" t="s">
        <v>22</v>
      </c>
      <c r="AX1" s="2" t="s">
        <v>162</v>
      </c>
      <c r="AY1" s="2" t="s">
        <v>163</v>
      </c>
      <c r="AZ1" s="2" t="s">
        <v>1</v>
      </c>
      <c r="BA1" s="2" t="s">
        <v>2</v>
      </c>
      <c r="BB1" s="2" t="s">
        <v>59</v>
      </c>
      <c r="BC1" s="2" t="s">
        <v>1089</v>
      </c>
      <c r="BD1" s="2" t="s">
        <v>236</v>
      </c>
      <c r="BE1" s="2" t="s">
        <v>117</v>
      </c>
      <c r="BF1" s="2" t="s">
        <v>60</v>
      </c>
      <c r="BG1" s="2" t="s">
        <v>61</v>
      </c>
      <c r="BH1" s="2" t="s">
        <v>98</v>
      </c>
      <c r="BI1" s="2" t="s">
        <v>5</v>
      </c>
      <c r="BJ1" s="2" t="s">
        <v>6</v>
      </c>
      <c r="BK1" s="2" t="s">
        <v>17</v>
      </c>
      <c r="BL1" s="2" t="s">
        <v>18</v>
      </c>
      <c r="BM1" s="2" t="s">
        <v>7</v>
      </c>
      <c r="BN1" s="2" t="s">
        <v>19</v>
      </c>
      <c r="BO1" s="2" t="s">
        <v>793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1" t="s">
        <v>138</v>
      </c>
      <c r="B2" s="1" t="s">
        <v>142</v>
      </c>
      <c r="C2" s="1">
        <v>2023</v>
      </c>
      <c r="D2" s="1">
        <v>1</v>
      </c>
      <c r="E2" s="1">
        <v>0</v>
      </c>
      <c r="F2" s="1">
        <v>0</v>
      </c>
      <c r="G2" s="18"/>
      <c r="H2" s="18"/>
      <c r="I2" s="18">
        <v>1000</v>
      </c>
      <c r="J2" s="18"/>
      <c r="K2" s="18"/>
      <c r="L2" s="18"/>
      <c r="M2" s="18">
        <v>1000</v>
      </c>
      <c r="N2" s="18"/>
      <c r="O2" s="19"/>
      <c r="P2" s="8"/>
      <c r="Q2" s="8">
        <f>Tabelle5897111728[[#This Row],[Vollbenutzungsstunden h/a]]/8760</f>
        <v>0.22831050228310501</v>
      </c>
      <c r="R2" s="19">
        <v>2000</v>
      </c>
      <c r="S2" s="19">
        <v>140</v>
      </c>
      <c r="T2" s="18">
        <v>10000</v>
      </c>
      <c r="U2" s="8"/>
      <c r="V2" s="18"/>
      <c r="W2" s="1">
        <f t="shared" ref="W2:W7" si="0">60/3600</f>
        <v>1.6666666666666666E-2</v>
      </c>
      <c r="AF2" s="1">
        <v>12</v>
      </c>
      <c r="AI2" s="1">
        <f>7</f>
        <v>7</v>
      </c>
      <c r="AK2" s="18">
        <f>0</f>
        <v>0</v>
      </c>
      <c r="AL2" s="18">
        <f>100*Umrechnungsfaktoren!$B$15/Umrechnungsfaktoren!$B$12</f>
        <v>103.8</v>
      </c>
      <c r="AM2" s="18"/>
      <c r="AN2" s="18">
        <f>10*Umrechnungsfaktoren!$B$15/Umrechnungsfaktoren!$B$12</f>
        <v>10.38</v>
      </c>
      <c r="AO2" s="18">
        <f>30*Umrechnungsfaktoren!$B$15/Umrechnungsfaktoren!$B$12</f>
        <v>31.14</v>
      </c>
      <c r="AP2" s="7"/>
      <c r="AQ2" s="7"/>
      <c r="AR2" s="7"/>
      <c r="AS2" s="7"/>
      <c r="AT2" s="7"/>
      <c r="AU2" s="7"/>
      <c r="AX2" s="1">
        <v>11</v>
      </c>
      <c r="AZ2" s="12">
        <v>12</v>
      </c>
      <c r="BA2" s="1">
        <v>12</v>
      </c>
      <c r="BB2" s="12"/>
      <c r="BC2" s="12"/>
      <c r="BD2" s="12">
        <v>12</v>
      </c>
      <c r="BE2" s="12">
        <v>12</v>
      </c>
      <c r="BF2" s="1">
        <v>12</v>
      </c>
      <c r="BG2" s="12"/>
      <c r="BH2" s="12">
        <v>11</v>
      </c>
      <c r="BJ2" s="1">
        <v>11</v>
      </c>
      <c r="BM2" s="1">
        <v>12</v>
      </c>
      <c r="BN2" s="1">
        <v>12</v>
      </c>
      <c r="BO2" s="1">
        <v>12</v>
      </c>
    </row>
    <row r="3" spans="1:72" x14ac:dyDescent="0.2">
      <c r="A3" s="1" t="s">
        <v>138</v>
      </c>
      <c r="B3" s="54" t="s">
        <v>142</v>
      </c>
      <c r="C3" s="54">
        <v>2050</v>
      </c>
      <c r="D3" s="54">
        <v>1</v>
      </c>
      <c r="E3" s="54">
        <v>0</v>
      </c>
      <c r="F3" s="1">
        <v>0</v>
      </c>
      <c r="G3" s="55"/>
      <c r="H3" s="55"/>
      <c r="I3" s="55">
        <v>1000</v>
      </c>
      <c r="J3" s="55"/>
      <c r="K3" s="55"/>
      <c r="L3" s="55"/>
      <c r="M3" s="55">
        <v>1000</v>
      </c>
      <c r="N3" s="55"/>
      <c r="O3" s="56"/>
      <c r="P3" s="57"/>
      <c r="Q3" s="57">
        <f>Tabelle5897111728[[#This Row],[Vollbenutzungsstunden h/a]]/8760</f>
        <v>0.22831050228310501</v>
      </c>
      <c r="R3" s="56">
        <v>2000</v>
      </c>
      <c r="S3" s="56">
        <v>200</v>
      </c>
      <c r="T3" s="55">
        <v>10000</v>
      </c>
      <c r="U3" s="58"/>
      <c r="V3" s="55"/>
      <c r="W3" s="59">
        <f t="shared" si="0"/>
        <v>1.6666666666666666E-2</v>
      </c>
      <c r="X3" s="59"/>
      <c r="Y3" s="59"/>
      <c r="Z3" s="54"/>
      <c r="AA3" s="54"/>
      <c r="AB3" s="54"/>
      <c r="AC3" s="54"/>
      <c r="AD3" s="54"/>
      <c r="AE3" s="54"/>
      <c r="AF3" s="54">
        <v>12</v>
      </c>
      <c r="AG3" s="54"/>
      <c r="AH3" s="54"/>
      <c r="AI3" s="59">
        <f>7</f>
        <v>7</v>
      </c>
      <c r="AJ3" s="54"/>
      <c r="AK3" s="60">
        <f>0</f>
        <v>0</v>
      </c>
      <c r="AL3" s="60">
        <f>100*Umrechnungsfaktoren!$B$15/Umrechnungsfaktoren!$B$12</f>
        <v>103.8</v>
      </c>
      <c r="AM3" s="59"/>
      <c r="AN3" s="55">
        <f>10*Umrechnungsfaktoren!$B$15/Umrechnungsfaktoren!$B$12</f>
        <v>10.38</v>
      </c>
      <c r="AO3" s="18">
        <f>15*Umrechnungsfaktoren!$B$15/Umrechnungsfaktoren!$B$12</f>
        <v>15.57</v>
      </c>
      <c r="AP3" s="60"/>
      <c r="AQ3" s="60"/>
      <c r="AR3" s="60"/>
      <c r="AS3" s="60"/>
      <c r="AT3" s="60"/>
      <c r="AU3" s="59"/>
      <c r="AV3" s="59"/>
      <c r="AW3" s="54"/>
      <c r="AX3" s="54">
        <v>11</v>
      </c>
      <c r="AY3" s="54"/>
      <c r="AZ3" s="61">
        <v>12</v>
      </c>
      <c r="BA3" s="54">
        <v>12</v>
      </c>
      <c r="BB3" s="61"/>
      <c r="BC3" s="61"/>
      <c r="BD3" s="61">
        <v>12</v>
      </c>
      <c r="BE3" s="61">
        <v>12</v>
      </c>
      <c r="BF3" s="54">
        <v>12</v>
      </c>
      <c r="BG3" s="61"/>
      <c r="BH3" s="61">
        <v>11</v>
      </c>
      <c r="BI3" s="54"/>
      <c r="BJ3" s="54">
        <v>11</v>
      </c>
      <c r="BK3" s="54"/>
      <c r="BL3" s="54"/>
      <c r="BM3" s="54">
        <v>12</v>
      </c>
      <c r="BN3" s="54">
        <v>12</v>
      </c>
      <c r="BO3" s="54">
        <v>12</v>
      </c>
      <c r="BP3" s="54"/>
      <c r="BQ3" s="54"/>
      <c r="BR3" s="54"/>
      <c r="BS3" s="54"/>
      <c r="BT3" s="54"/>
    </row>
    <row r="4" spans="1:72" x14ac:dyDescent="0.2">
      <c r="A4" s="54" t="s">
        <v>789</v>
      </c>
      <c r="B4" s="54" t="s">
        <v>142</v>
      </c>
      <c r="C4" s="1">
        <v>2023</v>
      </c>
      <c r="D4" s="54">
        <v>1</v>
      </c>
      <c r="E4" s="54">
        <v>0</v>
      </c>
      <c r="F4" s="1">
        <v>0</v>
      </c>
      <c r="G4" s="55"/>
      <c r="H4" s="55"/>
      <c r="I4" s="55">
        <f>5*10^6*0.002</f>
        <v>10000</v>
      </c>
      <c r="J4" s="55"/>
      <c r="K4" s="55"/>
      <c r="L4" s="55"/>
      <c r="M4" s="55">
        <f>5*10^6*0.002</f>
        <v>10000</v>
      </c>
      <c r="N4" s="55"/>
      <c r="O4" s="56"/>
      <c r="P4" s="57"/>
      <c r="Q4" s="57">
        <f>Tabelle5897111728[[#This Row],[Vollbenutzungsstunden h/a]]/8760</f>
        <v>0.22831050228310501</v>
      </c>
      <c r="R4" s="56">
        <v>2000</v>
      </c>
      <c r="S4" s="56">
        <f>150000*0.002</f>
        <v>300</v>
      </c>
      <c r="T4" s="55">
        <f>20*10^6*0.002</f>
        <v>40000</v>
      </c>
      <c r="U4" s="58"/>
      <c r="V4" s="55"/>
      <c r="W4" s="59">
        <f t="shared" si="0"/>
        <v>1.6666666666666666E-2</v>
      </c>
      <c r="X4" s="59"/>
      <c r="Y4" s="59"/>
      <c r="Z4" s="54"/>
      <c r="AA4" s="54"/>
      <c r="AB4" s="54"/>
      <c r="AC4" s="54"/>
      <c r="AD4" s="54"/>
      <c r="AE4" s="54"/>
      <c r="AF4" s="1">
        <v>48</v>
      </c>
      <c r="AG4" s="54"/>
      <c r="AH4" s="54"/>
      <c r="AI4" s="59">
        <v>7</v>
      </c>
      <c r="AJ4" s="54"/>
      <c r="AK4" s="60">
        <v>0</v>
      </c>
      <c r="AL4" s="60">
        <v>0</v>
      </c>
      <c r="AM4" s="59"/>
      <c r="AN4" s="18">
        <f>10*Umrechnungsfaktoren!$B$15/Umrechnungsfaktoren!$B$12</f>
        <v>10.38</v>
      </c>
      <c r="AO4" s="18">
        <f>30*Umrechnungsfaktoren!$B$15/Umrechnungsfaktoren!$B$12</f>
        <v>31.14</v>
      </c>
      <c r="AP4" s="60"/>
      <c r="AQ4" s="60"/>
      <c r="AR4" s="60"/>
      <c r="AS4" s="60"/>
      <c r="AT4" s="60"/>
      <c r="AU4" s="59"/>
      <c r="AV4" s="59"/>
      <c r="AW4" s="54"/>
      <c r="AX4" s="54">
        <v>15</v>
      </c>
      <c r="AY4" s="54"/>
      <c r="AZ4" s="61">
        <v>16</v>
      </c>
      <c r="BA4" s="61">
        <v>16</v>
      </c>
      <c r="BB4" s="61"/>
      <c r="BC4" s="61"/>
      <c r="BD4" s="61">
        <v>16</v>
      </c>
      <c r="BE4" s="61">
        <v>16</v>
      </c>
      <c r="BF4" s="61">
        <v>16</v>
      </c>
      <c r="BG4" s="61"/>
      <c r="BH4" s="61">
        <v>16</v>
      </c>
      <c r="BI4" s="54"/>
      <c r="BJ4" s="54">
        <v>16</v>
      </c>
      <c r="BK4" s="54"/>
      <c r="BL4" s="54"/>
      <c r="BM4" s="54">
        <v>16</v>
      </c>
      <c r="BN4" s="54">
        <v>15</v>
      </c>
      <c r="BO4" s="54">
        <v>15</v>
      </c>
      <c r="BP4" s="54"/>
      <c r="BQ4" s="54"/>
      <c r="BR4" s="54"/>
      <c r="BS4" s="54"/>
      <c r="BT4" s="54"/>
    </row>
    <row r="5" spans="1:72" x14ac:dyDescent="0.2">
      <c r="A5" s="54" t="s">
        <v>789</v>
      </c>
      <c r="B5" s="54" t="s">
        <v>142</v>
      </c>
      <c r="C5" s="54">
        <v>2050</v>
      </c>
      <c r="D5" s="54">
        <v>1</v>
      </c>
      <c r="E5" s="54">
        <v>0</v>
      </c>
      <c r="F5" s="1">
        <v>0</v>
      </c>
      <c r="G5" s="55"/>
      <c r="H5" s="55"/>
      <c r="I5" s="55">
        <f>5*10^6*0.002</f>
        <v>10000</v>
      </c>
      <c r="J5" s="55"/>
      <c r="K5" s="55"/>
      <c r="L5" s="55"/>
      <c r="M5" s="55">
        <f>5*10^6*0.002</f>
        <v>10000</v>
      </c>
      <c r="N5" s="55"/>
      <c r="O5" s="56"/>
      <c r="P5" s="57"/>
      <c r="Q5" s="57">
        <f>Tabelle5897111728[[#This Row],[Vollbenutzungsstunden h/a]]/8760</f>
        <v>0.22831050228310501</v>
      </c>
      <c r="R5" s="56">
        <v>2000</v>
      </c>
      <c r="S5" s="56">
        <f>400000*0.002</f>
        <v>800</v>
      </c>
      <c r="T5" s="55">
        <f>20*10^6*0.002</f>
        <v>40000</v>
      </c>
      <c r="U5" s="58"/>
      <c r="V5" s="55"/>
      <c r="W5" s="59">
        <f t="shared" si="0"/>
        <v>1.6666666666666666E-2</v>
      </c>
      <c r="X5" s="59"/>
      <c r="Y5" s="59"/>
      <c r="Z5" s="54"/>
      <c r="AA5" s="54"/>
      <c r="AB5" s="54"/>
      <c r="AC5" s="54"/>
      <c r="AD5" s="54"/>
      <c r="AE5" s="54"/>
      <c r="AF5" s="1">
        <v>48</v>
      </c>
      <c r="AG5" s="54"/>
      <c r="AH5" s="54"/>
      <c r="AI5" s="59">
        <v>7</v>
      </c>
      <c r="AJ5" s="54"/>
      <c r="AK5" s="60">
        <v>0</v>
      </c>
      <c r="AL5" s="60">
        <v>0</v>
      </c>
      <c r="AM5" s="59"/>
      <c r="AN5" s="55">
        <f>10*Umrechnungsfaktoren!$B$15/Umrechnungsfaktoren!$B$12</f>
        <v>10.38</v>
      </c>
      <c r="AO5" s="18">
        <f>15*Umrechnungsfaktoren!$B$15/Umrechnungsfaktoren!$B$12</f>
        <v>15.57</v>
      </c>
      <c r="AP5" s="60"/>
      <c r="AQ5" s="60"/>
      <c r="AR5" s="60"/>
      <c r="AS5" s="60"/>
      <c r="AT5" s="60"/>
      <c r="AU5" s="59"/>
      <c r="AV5" s="59"/>
      <c r="AW5" s="54"/>
      <c r="AX5" s="54">
        <v>15</v>
      </c>
      <c r="AY5" s="54"/>
      <c r="AZ5" s="61">
        <v>16</v>
      </c>
      <c r="BA5" s="61">
        <v>16</v>
      </c>
      <c r="BB5" s="61"/>
      <c r="BC5" s="61"/>
      <c r="BD5" s="61">
        <v>16</v>
      </c>
      <c r="BE5" s="61">
        <v>16</v>
      </c>
      <c r="BF5" s="61">
        <v>16</v>
      </c>
      <c r="BG5" s="61"/>
      <c r="BH5" s="61">
        <v>16</v>
      </c>
      <c r="BI5" s="54"/>
      <c r="BJ5" s="54">
        <v>16</v>
      </c>
      <c r="BK5" s="54"/>
      <c r="BL5" s="54"/>
      <c r="BM5" s="54">
        <v>16</v>
      </c>
      <c r="BN5" s="54">
        <v>15</v>
      </c>
      <c r="BO5" s="54">
        <v>15</v>
      </c>
      <c r="BP5" s="54"/>
      <c r="BQ5" s="54"/>
      <c r="BR5" s="54"/>
      <c r="BS5" s="54"/>
      <c r="BT5" s="54"/>
    </row>
    <row r="6" spans="1:72" x14ac:dyDescent="0.2">
      <c r="A6" s="54" t="s">
        <v>788</v>
      </c>
      <c r="B6" s="54" t="s">
        <v>129</v>
      </c>
      <c r="C6" s="1">
        <v>2023</v>
      </c>
      <c r="D6" s="54">
        <v>1</v>
      </c>
      <c r="E6" s="54">
        <v>0</v>
      </c>
      <c r="F6" s="1">
        <v>0</v>
      </c>
      <c r="G6" s="55"/>
      <c r="H6" s="55"/>
      <c r="I6" s="55">
        <f>4300+4700</f>
        <v>9000</v>
      </c>
      <c r="J6" s="55"/>
      <c r="K6" s="55"/>
      <c r="L6" s="55"/>
      <c r="M6" s="55">
        <f>4300+4700</f>
        <v>9000</v>
      </c>
      <c r="N6" s="55"/>
      <c r="O6" s="56"/>
      <c r="P6" s="57"/>
      <c r="Q6" s="57"/>
      <c r="R6" s="56"/>
      <c r="S6" s="56"/>
      <c r="T6" s="55">
        <f>39000+9400</f>
        <v>48400</v>
      </c>
      <c r="U6" s="58"/>
      <c r="V6" s="55"/>
      <c r="W6" s="59">
        <f t="shared" si="0"/>
        <v>1.6666666666666666E-2</v>
      </c>
      <c r="X6" s="59"/>
      <c r="Y6" s="59"/>
      <c r="Z6" s="54"/>
      <c r="AA6" s="54"/>
      <c r="AB6" s="54"/>
      <c r="AC6" s="54"/>
      <c r="AD6" s="54"/>
      <c r="AE6" s="54"/>
      <c r="AF6" s="1">
        <v>48</v>
      </c>
      <c r="AG6" s="54"/>
      <c r="AH6" s="54"/>
      <c r="AI6" s="59"/>
      <c r="AJ6" s="54"/>
      <c r="AK6" s="18">
        <f>40*Umrechnungsfaktoren!$B$15/Umrechnungsfaktoren!$B$12</f>
        <v>41.52</v>
      </c>
      <c r="AL6" s="60">
        <f>100*Umrechnungsfaktoren!$B$15/Umrechnungsfaktoren!$B$12</f>
        <v>103.8</v>
      </c>
      <c r="AM6" s="59"/>
      <c r="AN6" s="18"/>
      <c r="AO6" s="18"/>
      <c r="AP6" s="60"/>
      <c r="AQ6" s="60"/>
      <c r="AR6" s="60"/>
      <c r="AS6" s="60"/>
      <c r="AT6" s="60"/>
      <c r="AU6" s="59">
        <f>10*Umrechnungsfaktoren!$B$15/Umrechnungsfaktoren!$B$12</f>
        <v>10.38</v>
      </c>
      <c r="AV6" s="59"/>
      <c r="AW6" s="54"/>
      <c r="AX6" s="54">
        <v>26</v>
      </c>
      <c r="AY6" s="54"/>
      <c r="AZ6" s="61">
        <v>28</v>
      </c>
      <c r="BA6" s="61">
        <v>28</v>
      </c>
      <c r="BB6" s="61"/>
      <c r="BC6" s="61"/>
      <c r="BD6" s="61"/>
      <c r="BE6" s="61"/>
      <c r="BF6" s="54">
        <v>28</v>
      </c>
      <c r="BG6" s="61"/>
      <c r="BH6" s="61">
        <v>27</v>
      </c>
      <c r="BI6" s="54"/>
      <c r="BJ6" s="61">
        <v>27</v>
      </c>
      <c r="BK6" s="54"/>
      <c r="BL6" s="54"/>
      <c r="BM6" s="61">
        <v>28</v>
      </c>
      <c r="BN6" s="54">
        <v>27</v>
      </c>
      <c r="BO6" s="54"/>
      <c r="BP6" s="54"/>
      <c r="BQ6" s="54">
        <v>27</v>
      </c>
      <c r="BR6" s="54"/>
      <c r="BS6" s="54"/>
      <c r="BT6" s="54"/>
    </row>
    <row r="7" spans="1:72" x14ac:dyDescent="0.2">
      <c r="A7" s="54" t="s">
        <v>788</v>
      </c>
      <c r="B7" s="54" t="s">
        <v>129</v>
      </c>
      <c r="C7" s="54">
        <v>2050</v>
      </c>
      <c r="D7" s="54">
        <v>1</v>
      </c>
      <c r="E7" s="54">
        <v>0</v>
      </c>
      <c r="F7" s="1">
        <v>0</v>
      </c>
      <c r="G7" s="55"/>
      <c r="H7" s="55"/>
      <c r="I7" s="55">
        <f>4300+4700</f>
        <v>9000</v>
      </c>
      <c r="J7" s="55"/>
      <c r="K7" s="55"/>
      <c r="L7" s="55"/>
      <c r="M7" s="55">
        <f>4300+4700</f>
        <v>9000</v>
      </c>
      <c r="N7" s="55"/>
      <c r="O7" s="56"/>
      <c r="P7" s="57"/>
      <c r="Q7" s="57"/>
      <c r="R7" s="56"/>
      <c r="S7" s="56"/>
      <c r="T7" s="55">
        <f>39000+9400</f>
        <v>48400</v>
      </c>
      <c r="U7" s="58"/>
      <c r="V7" s="55"/>
      <c r="W7" s="59">
        <f t="shared" si="0"/>
        <v>1.6666666666666666E-2</v>
      </c>
      <c r="X7" s="59"/>
      <c r="Y7" s="59"/>
      <c r="Z7" s="54"/>
      <c r="AA7" s="54"/>
      <c r="AB7" s="54"/>
      <c r="AC7" s="54"/>
      <c r="AD7" s="54"/>
      <c r="AE7" s="54"/>
      <c r="AF7" s="1">
        <v>48</v>
      </c>
      <c r="AG7" s="54"/>
      <c r="AH7" s="54"/>
      <c r="AI7" s="59"/>
      <c r="AJ7" s="54"/>
      <c r="AK7" s="18">
        <f>40*Umrechnungsfaktoren!$B$15/Umrechnungsfaktoren!$B$12</f>
        <v>41.52</v>
      </c>
      <c r="AL7" s="60">
        <f>100*Umrechnungsfaktoren!$B$15/Umrechnungsfaktoren!$B$12</f>
        <v>103.8</v>
      </c>
      <c r="AM7" s="59"/>
      <c r="AN7" s="55"/>
      <c r="AO7" s="18"/>
      <c r="AP7" s="60"/>
      <c r="AQ7" s="60"/>
      <c r="AR7" s="60"/>
      <c r="AS7" s="60"/>
      <c r="AT7" s="60"/>
      <c r="AU7" s="59">
        <f>10*Umrechnungsfaktoren!$B$15/Umrechnungsfaktoren!$B$12</f>
        <v>10.38</v>
      </c>
      <c r="AV7" s="59"/>
      <c r="AW7" s="54"/>
      <c r="AX7" s="54">
        <v>26</v>
      </c>
      <c r="AY7" s="54"/>
      <c r="AZ7" s="61">
        <v>28</v>
      </c>
      <c r="BA7" s="61">
        <v>28</v>
      </c>
      <c r="BB7" s="61"/>
      <c r="BC7" s="61"/>
      <c r="BD7" s="61"/>
      <c r="BE7" s="61"/>
      <c r="BF7" s="54">
        <v>28</v>
      </c>
      <c r="BG7" s="61"/>
      <c r="BH7" s="61">
        <v>27</v>
      </c>
      <c r="BI7" s="54"/>
      <c r="BJ7" s="61">
        <v>27</v>
      </c>
      <c r="BK7" s="54"/>
      <c r="BL7" s="54"/>
      <c r="BM7" s="61">
        <v>28</v>
      </c>
      <c r="BN7" s="54">
        <v>27</v>
      </c>
      <c r="BO7" s="54"/>
      <c r="BP7" s="54"/>
      <c r="BQ7" s="54">
        <v>27</v>
      </c>
      <c r="BR7" s="54"/>
      <c r="BS7" s="54"/>
      <c r="BT7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63DC42-9D98-41EE-B64E-10F0959A491F}">
          <x14:formula1>
            <xm:f>Dropdown!$C$2:$C$4</xm:f>
          </x14:formula1>
          <xm:sqref>B2:B7</xm:sqref>
        </x14:dataValidation>
        <x14:dataValidation type="list" allowBlank="1" showInputMessage="1" showErrorMessage="1" xr:uid="{01F6541C-7AAC-4149-AC41-EC7E523E5556}">
          <x14:formula1>
            <xm:f>Dropdown!$A$2:$A$92</xm:f>
          </x14:formula1>
          <xm:sqref>A2:A7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BD65"/>
  <sheetViews>
    <sheetView zoomScale="70" zoomScaleNormal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32" sqref="A32:J33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customWidth="1"/>
    <col min="8" max="8" width="28.85546875" style="1" bestFit="1" customWidth="1"/>
    <col min="9" max="9" width="31" style="1" bestFit="1" customWidth="1"/>
    <col min="10" max="10" width="31" style="1" customWidth="1"/>
    <col min="11" max="13" width="24.5703125" style="1" customWidth="1"/>
    <col min="14" max="14" width="24.42578125" style="1" bestFit="1" customWidth="1"/>
    <col min="15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3" width="20.7109375" style="1" bestFit="1" customWidth="1"/>
    <col min="24" max="24" width="25.85546875" style="1" bestFit="1" customWidth="1"/>
    <col min="25" max="25" width="29.7109375" style="1" bestFit="1" customWidth="1"/>
    <col min="26" max="26" width="24" style="1" bestFit="1" customWidth="1"/>
    <col min="27" max="27" width="38.28515625" style="1" bestFit="1" customWidth="1"/>
    <col min="28" max="28" width="38.28515625" style="1" customWidth="1"/>
    <col min="29" max="29" width="38.28515625" style="1" bestFit="1" customWidth="1"/>
    <col min="30" max="30" width="33.42578125" style="1" bestFit="1" customWidth="1"/>
    <col min="31" max="31" width="25.7109375" style="1" bestFit="1" customWidth="1"/>
    <col min="32" max="32" width="25.7109375" style="1" customWidth="1"/>
    <col min="33" max="37" width="35.5703125" style="1" customWidth="1"/>
    <col min="38" max="38" width="31.7109375" style="1" bestFit="1" customWidth="1"/>
    <col min="39" max="39" width="31.5703125" style="1" bestFit="1" customWidth="1"/>
    <col min="40" max="43" width="31.5703125" style="1" customWidth="1"/>
    <col min="44" max="44" width="37.42578125" style="1" bestFit="1" customWidth="1"/>
    <col min="45" max="45" width="35.7109375" style="1" bestFit="1" customWidth="1"/>
    <col min="46" max="46" width="28.85546875" style="1" bestFit="1" customWidth="1"/>
    <col min="47" max="47" width="34" style="1" bestFit="1" customWidth="1"/>
    <col min="48" max="48" width="37.85546875" style="1" bestFit="1" customWidth="1"/>
    <col min="49" max="49" width="34.42578125" style="1" bestFit="1" customWidth="1"/>
    <col min="50" max="50" width="38.140625" style="1" bestFit="1" customWidth="1"/>
    <col min="51" max="51" width="22.85546875" style="1" bestFit="1" customWidth="1"/>
    <col min="52" max="52" width="28.5703125" style="1" bestFit="1" customWidth="1"/>
    <col min="53" max="53" width="28.28515625" style="1" bestFit="1" customWidth="1"/>
    <col min="54" max="54" width="28.28515625" style="1" customWidth="1"/>
    <col min="55" max="55" width="31" style="1" bestFit="1" customWidth="1"/>
    <col min="56" max="56" width="28.85546875" style="1" bestFit="1" customWidth="1"/>
    <col min="57" max="16384" width="11.42578125" style="1"/>
  </cols>
  <sheetData>
    <row r="1" spans="1:56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771</v>
      </c>
      <c r="H1" s="2" t="s">
        <v>49</v>
      </c>
      <c r="I1" s="2" t="s">
        <v>149</v>
      </c>
      <c r="J1" s="2" t="s">
        <v>50</v>
      </c>
      <c r="K1" s="2" t="s">
        <v>97</v>
      </c>
      <c r="L1" s="2" t="s">
        <v>154</v>
      </c>
      <c r="M1" s="2" t="s">
        <v>156</v>
      </c>
      <c r="N1" s="2" t="s">
        <v>155</v>
      </c>
      <c r="O1" s="2" t="s">
        <v>56</v>
      </c>
      <c r="P1" s="2" t="s">
        <v>55</v>
      </c>
      <c r="Q1" s="2" t="s">
        <v>550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157</v>
      </c>
      <c r="X1" s="2" t="s">
        <v>3</v>
      </c>
      <c r="Y1" s="2" t="s">
        <v>10</v>
      </c>
      <c r="Z1" s="2" t="s">
        <v>16</v>
      </c>
      <c r="AA1" s="2" t="s">
        <v>4</v>
      </c>
      <c r="AB1" s="2" t="s">
        <v>99</v>
      </c>
      <c r="AC1" s="2" t="s">
        <v>12</v>
      </c>
      <c r="AD1" s="2" t="s">
        <v>230</v>
      </c>
      <c r="AE1" s="2" t="s">
        <v>15</v>
      </c>
      <c r="AF1" s="2" t="s">
        <v>147</v>
      </c>
      <c r="AG1" s="2" t="s">
        <v>22</v>
      </c>
      <c r="AH1" s="2" t="s">
        <v>844</v>
      </c>
      <c r="AI1" s="2" t="s">
        <v>162</v>
      </c>
      <c r="AJ1" s="2" t="s">
        <v>163</v>
      </c>
      <c r="AK1" s="2" t="s">
        <v>807</v>
      </c>
      <c r="AL1" s="2" t="s">
        <v>1</v>
      </c>
      <c r="AM1" s="2" t="s">
        <v>2</v>
      </c>
      <c r="AN1" s="2" t="s">
        <v>59</v>
      </c>
      <c r="AO1" s="2" t="s">
        <v>1089</v>
      </c>
      <c r="AP1" s="2" t="s">
        <v>117</v>
      </c>
      <c r="AQ1" s="2" t="s">
        <v>60</v>
      </c>
      <c r="AR1" s="2" t="s">
        <v>61</v>
      </c>
      <c r="AS1" s="2" t="s">
        <v>98</v>
      </c>
      <c r="AT1" s="2" t="s">
        <v>5</v>
      </c>
      <c r="AU1" s="2" t="s">
        <v>6</v>
      </c>
      <c r="AV1" s="2" t="s">
        <v>17</v>
      </c>
      <c r="AW1" s="2" t="s">
        <v>18</v>
      </c>
      <c r="AX1" s="2" t="s">
        <v>7</v>
      </c>
      <c r="AY1" s="2" t="s">
        <v>19</v>
      </c>
      <c r="AZ1" s="2" t="s">
        <v>20</v>
      </c>
      <c r="BA1" s="2" t="s">
        <v>21</v>
      </c>
      <c r="BB1" s="2" t="s">
        <v>148</v>
      </c>
      <c r="BC1" s="2" t="s">
        <v>23</v>
      </c>
      <c r="BD1" s="2" t="s">
        <v>51</v>
      </c>
    </row>
    <row r="2" spans="1:56" x14ac:dyDescent="0.2">
      <c r="A2" s="5" t="s">
        <v>29</v>
      </c>
      <c r="B2" s="1" t="s">
        <v>129</v>
      </c>
      <c r="C2" s="5">
        <v>2005</v>
      </c>
      <c r="D2" s="5">
        <v>1</v>
      </c>
      <c r="E2" s="5">
        <v>0</v>
      </c>
      <c r="F2" s="5">
        <v>0</v>
      </c>
      <c r="G2" s="5">
        <v>8.8000000000000007</v>
      </c>
      <c r="H2" s="17"/>
      <c r="I2" s="17"/>
      <c r="J2" s="17">
        <f>Tabelle25[[#This Row],[flexible Leistung (MW)]]+Herleitung_Klo09!M4</f>
        <v>730</v>
      </c>
      <c r="K2" s="17"/>
      <c r="L2" s="17"/>
      <c r="M2" s="17"/>
      <c r="N2" s="84">
        <f>Tabelle5[[#This Row],[Potenzial pos. max MW]]</f>
        <v>730</v>
      </c>
      <c r="O2" s="17">
        <f>Herleitung_Klo09!L5</f>
        <v>391.42857142857144</v>
      </c>
      <c r="P2" s="15">
        <f>'Klo09'!$O2/'Klo09'!$U2</f>
        <v>0.36131868131868128</v>
      </c>
      <c r="Q2" s="15">
        <v>0.67</v>
      </c>
      <c r="R2" s="18"/>
      <c r="S2" s="18"/>
      <c r="T2" s="8"/>
      <c r="U2" s="17">
        <f>Herleitung_Klo09!F8</f>
        <v>1083.3333333333335</v>
      </c>
      <c r="V2" s="5"/>
      <c r="W2" s="5">
        <v>4</v>
      </c>
      <c r="X2" s="5"/>
      <c r="Y2" s="5"/>
      <c r="Z2" s="5"/>
      <c r="AA2" s="5"/>
      <c r="AB2" s="5">
        <v>40</v>
      </c>
      <c r="AC2" s="5"/>
      <c r="AD2" s="5"/>
      <c r="AE2" s="5"/>
      <c r="AF2" s="5"/>
      <c r="AG2" s="5"/>
      <c r="AH2" s="5"/>
      <c r="AI2" s="83" t="s">
        <v>1067</v>
      </c>
      <c r="AJ2" s="83" t="s">
        <v>1067</v>
      </c>
      <c r="AK2" s="5">
        <v>69</v>
      </c>
      <c r="AL2" s="13" t="s">
        <v>64</v>
      </c>
      <c r="AM2" s="5"/>
      <c r="AN2" s="13" t="s">
        <v>67</v>
      </c>
      <c r="AO2" s="13" t="s">
        <v>108</v>
      </c>
      <c r="AP2" s="13" t="s">
        <v>67</v>
      </c>
      <c r="AQ2" s="13" t="s">
        <v>67</v>
      </c>
      <c r="AR2" s="13" t="s">
        <v>67</v>
      </c>
      <c r="AS2" s="13"/>
      <c r="AT2" s="5">
        <v>69</v>
      </c>
      <c r="AU2" s="5"/>
      <c r="AV2" s="5"/>
      <c r="AW2" s="5"/>
      <c r="AX2" s="5">
        <v>69</v>
      </c>
      <c r="AY2" s="5"/>
      <c r="AZ2" s="5"/>
      <c r="BA2" s="5"/>
      <c r="BB2" s="5"/>
      <c r="BC2" s="5"/>
      <c r="BD2" s="5"/>
    </row>
    <row r="3" spans="1:56" x14ac:dyDescent="0.2">
      <c r="A3" s="1" t="s">
        <v>29</v>
      </c>
      <c r="B3" s="1" t="s">
        <v>129</v>
      </c>
      <c r="C3" s="1">
        <v>2020</v>
      </c>
      <c r="D3" s="1">
        <v>1</v>
      </c>
      <c r="E3" s="1">
        <v>0</v>
      </c>
      <c r="F3" s="1">
        <v>0</v>
      </c>
      <c r="H3" s="18"/>
      <c r="I3" s="18"/>
      <c r="J3" s="18">
        <f>650+80</f>
        <v>730</v>
      </c>
      <c r="K3" s="18"/>
      <c r="L3" s="18"/>
      <c r="M3" s="18"/>
      <c r="N3" s="84">
        <f>Tabelle5[[#This Row],[Potenzial pos. max MW]]</f>
        <v>730</v>
      </c>
      <c r="O3" s="18">
        <f>Herleitung_Klo09!L9</f>
        <v>467.61904761904771</v>
      </c>
      <c r="P3" s="8">
        <f>'Klo09'!$O3/'Klo09'!$U3</f>
        <v>0.39045725646123264</v>
      </c>
      <c r="Q3" s="8">
        <v>0.67</v>
      </c>
      <c r="R3" s="18"/>
      <c r="S3" s="18"/>
      <c r="T3" s="8"/>
      <c r="U3" s="18">
        <f>Herleitung_Klo09!F9</f>
        <v>1197.6190476190477</v>
      </c>
      <c r="W3" s="1">
        <v>4</v>
      </c>
      <c r="AB3" s="1">
        <v>40</v>
      </c>
      <c r="AI3" s="83" t="s">
        <v>1067</v>
      </c>
      <c r="AJ3" s="83" t="s">
        <v>1067</v>
      </c>
      <c r="AL3" s="12" t="s">
        <v>64</v>
      </c>
      <c r="AN3" s="12" t="s">
        <v>67</v>
      </c>
      <c r="AO3" s="12" t="s">
        <v>108</v>
      </c>
      <c r="AP3" s="12" t="s">
        <v>67</v>
      </c>
      <c r="AQ3" s="12" t="s">
        <v>67</v>
      </c>
      <c r="AR3" s="12" t="s">
        <v>67</v>
      </c>
      <c r="AS3" s="12"/>
      <c r="AT3" s="1">
        <v>69</v>
      </c>
      <c r="AX3" s="1">
        <v>69</v>
      </c>
    </row>
    <row r="4" spans="1:56" x14ac:dyDescent="0.2">
      <c r="A4" s="5" t="s">
        <v>53</v>
      </c>
      <c r="B4" s="1" t="s">
        <v>129</v>
      </c>
      <c r="C4" s="5">
        <v>2005</v>
      </c>
      <c r="D4" s="5">
        <v>1</v>
      </c>
      <c r="E4" s="5">
        <v>0</v>
      </c>
      <c r="F4" s="5">
        <v>0</v>
      </c>
      <c r="G4" s="5">
        <v>5</v>
      </c>
      <c r="H4" s="17"/>
      <c r="I4" s="17"/>
      <c r="J4" s="17">
        <v>170</v>
      </c>
      <c r="K4" s="17"/>
      <c r="L4" s="17"/>
      <c r="M4" s="17"/>
      <c r="N4" s="84">
        <f>Tabelle5[[#This Row],[Potenzial pos. max MW]]</f>
        <v>170</v>
      </c>
      <c r="O4" s="17">
        <f>Herleitung_Klo09!L10</f>
        <v>399.54337899543373</v>
      </c>
      <c r="P4" s="15">
        <f>'Klo09'!$O4/'Klo09'!$U4</f>
        <v>0.7</v>
      </c>
      <c r="Q4" s="15">
        <v>0.3</v>
      </c>
      <c r="R4" s="18">
        <v>570</v>
      </c>
      <c r="S4" s="18"/>
      <c r="T4" s="8"/>
      <c r="U4" s="17">
        <f>Herleitung_Klo09!J10</f>
        <v>570.77625570776252</v>
      </c>
      <c r="V4" s="5"/>
      <c r="W4" s="5">
        <v>4</v>
      </c>
      <c r="X4" s="5"/>
      <c r="Y4" s="5"/>
      <c r="Z4" s="5"/>
      <c r="AA4" s="5"/>
      <c r="AB4" s="5">
        <v>40</v>
      </c>
      <c r="AC4" s="5"/>
      <c r="AD4" s="5"/>
      <c r="AE4" s="5"/>
      <c r="AF4" s="5"/>
      <c r="AG4" s="5"/>
      <c r="AH4" s="5"/>
      <c r="AI4" s="83" t="s">
        <v>1067</v>
      </c>
      <c r="AJ4" s="83" t="s">
        <v>1067</v>
      </c>
      <c r="AK4" s="5">
        <v>69</v>
      </c>
      <c r="AL4" s="13" t="s">
        <v>65</v>
      </c>
      <c r="AM4" s="5"/>
      <c r="AN4" s="13" t="s">
        <v>68</v>
      </c>
      <c r="AO4" s="13" t="s">
        <v>108</v>
      </c>
      <c r="AP4" s="13" t="s">
        <v>68</v>
      </c>
      <c r="AQ4" s="13" t="s">
        <v>68</v>
      </c>
      <c r="AR4" s="13" t="s">
        <v>68</v>
      </c>
      <c r="AS4" s="13"/>
      <c r="AT4" s="5">
        <v>69</v>
      </c>
      <c r="AU4" s="5"/>
      <c r="AV4" s="5"/>
      <c r="AW4" s="5"/>
      <c r="AX4" s="5">
        <v>69</v>
      </c>
      <c r="AY4" s="5"/>
      <c r="AZ4" s="5"/>
      <c r="BA4" s="5"/>
      <c r="BB4" s="5"/>
      <c r="BC4" s="5"/>
      <c r="BD4" s="5"/>
    </row>
    <row r="5" spans="1:56" x14ac:dyDescent="0.2">
      <c r="A5" s="1" t="s">
        <v>41</v>
      </c>
      <c r="B5" s="1" t="s">
        <v>129</v>
      </c>
      <c r="C5" s="1">
        <v>2020</v>
      </c>
      <c r="D5" s="1">
        <v>1</v>
      </c>
      <c r="E5" s="1">
        <v>0</v>
      </c>
      <c r="F5" s="1">
        <v>0</v>
      </c>
      <c r="H5" s="18"/>
      <c r="I5" s="18"/>
      <c r="J5" s="18">
        <f>J4*Tabelle5[[#This Row],[Mindestleistung MW]]/O4</f>
        <v>166.54726530612248</v>
      </c>
      <c r="K5" s="18"/>
      <c r="L5" s="18"/>
      <c r="M5" s="18"/>
      <c r="N5" s="84">
        <f>Tabelle5[[#This Row],[Potenzial pos. max MW]]</f>
        <v>166.54726530612248</v>
      </c>
      <c r="O5" s="18">
        <f>Tabelle25[[#This Row],[Mindestleistung]]+Herleitung_Klo09!L7</f>
        <v>391.42857142857144</v>
      </c>
      <c r="P5" s="8">
        <v>0.7</v>
      </c>
      <c r="Q5" s="8">
        <v>0.3</v>
      </c>
      <c r="R5" s="18">
        <v>570</v>
      </c>
      <c r="S5" s="18"/>
      <c r="T5" s="8"/>
      <c r="U5" s="18">
        <f>Herleitung_Klo09!F11</f>
        <v>570.77625570776252</v>
      </c>
      <c r="W5" s="1">
        <v>4</v>
      </c>
      <c r="AB5" s="1">
        <v>40</v>
      </c>
      <c r="AI5" s="83" t="s">
        <v>1067</v>
      </c>
      <c r="AJ5" s="83" t="s">
        <v>1067</v>
      </c>
      <c r="AL5" s="12" t="s">
        <v>73</v>
      </c>
      <c r="AN5" s="12" t="s">
        <v>73</v>
      </c>
      <c r="AO5" s="12" t="s">
        <v>108</v>
      </c>
      <c r="AP5" s="12" t="s">
        <v>73</v>
      </c>
      <c r="AQ5" s="12" t="s">
        <v>73</v>
      </c>
      <c r="AR5" s="12" t="s">
        <v>73</v>
      </c>
      <c r="AS5" s="12"/>
      <c r="AT5" s="1">
        <v>69</v>
      </c>
      <c r="AX5" s="1">
        <v>69</v>
      </c>
    </row>
    <row r="6" spans="1:56" x14ac:dyDescent="0.2">
      <c r="A6" s="5" t="s">
        <v>54</v>
      </c>
      <c r="B6" s="1" t="s">
        <v>129</v>
      </c>
      <c r="C6" s="5">
        <v>2005</v>
      </c>
      <c r="D6" s="5">
        <v>0</v>
      </c>
      <c r="E6" s="5">
        <v>1</v>
      </c>
      <c r="F6" s="5">
        <v>0</v>
      </c>
      <c r="G6" s="5">
        <v>10.5</v>
      </c>
      <c r="H6" s="17">
        <v>275</v>
      </c>
      <c r="I6" s="17"/>
      <c r="J6" s="17">
        <v>325</v>
      </c>
      <c r="K6" s="17"/>
      <c r="L6" s="17"/>
      <c r="M6" s="18"/>
      <c r="N6" s="84"/>
      <c r="O6" s="17">
        <f>Herleitung_Klo09!L12</f>
        <v>900</v>
      </c>
      <c r="P6" s="15">
        <f>'Klo09'!$O6/'Klo09'!$U6</f>
        <v>0.75</v>
      </c>
      <c r="Q6" s="15">
        <f>(1-Tabelle5[[#This Row],[Mindestauslastung]])</f>
        <v>0.25</v>
      </c>
      <c r="R6" s="18"/>
      <c r="S6" s="18"/>
      <c r="T6" s="8"/>
      <c r="U6" s="17">
        <f>Herleitung_Klo09!F12</f>
        <v>1200</v>
      </c>
      <c r="V6" s="5"/>
      <c r="W6" s="5">
        <v>4</v>
      </c>
      <c r="X6" s="5"/>
      <c r="Y6" s="5"/>
      <c r="Z6" s="5"/>
      <c r="AA6" s="5"/>
      <c r="AB6" s="5">
        <v>40</v>
      </c>
      <c r="AC6" s="5"/>
      <c r="AD6" s="5"/>
      <c r="AE6" s="5"/>
      <c r="AF6" s="5"/>
      <c r="AG6" s="5"/>
      <c r="AH6" s="5"/>
      <c r="AI6" s="83" t="s">
        <v>1067</v>
      </c>
      <c r="AJ6" s="83" t="s">
        <v>1067</v>
      </c>
      <c r="AK6" s="5">
        <v>69</v>
      </c>
      <c r="AL6" s="13" t="s">
        <v>69</v>
      </c>
      <c r="AM6" s="5"/>
      <c r="AN6" s="13" t="s">
        <v>70</v>
      </c>
      <c r="AO6" s="13" t="s">
        <v>108</v>
      </c>
      <c r="AP6" s="13" t="s">
        <v>70</v>
      </c>
      <c r="AQ6" s="13" t="s">
        <v>70</v>
      </c>
      <c r="AR6" s="13" t="s">
        <v>70</v>
      </c>
      <c r="AS6" s="13"/>
      <c r="AT6" s="5">
        <v>69</v>
      </c>
      <c r="AU6" s="5"/>
      <c r="AV6" s="5"/>
      <c r="AW6" s="5"/>
      <c r="AX6" s="5">
        <v>69</v>
      </c>
      <c r="AY6" s="5"/>
      <c r="AZ6" s="5"/>
      <c r="BA6" s="5"/>
      <c r="BB6" s="5"/>
      <c r="BC6" s="5"/>
      <c r="BD6" s="5" t="s">
        <v>52</v>
      </c>
    </row>
    <row r="7" spans="1:56" x14ac:dyDescent="0.2">
      <c r="A7" s="1" t="s">
        <v>54</v>
      </c>
      <c r="B7" s="1" t="s">
        <v>129</v>
      </c>
      <c r="C7" s="1">
        <v>2020</v>
      </c>
      <c r="D7" s="1">
        <v>0</v>
      </c>
      <c r="E7" s="1">
        <v>1</v>
      </c>
      <c r="F7" s="1">
        <v>0</v>
      </c>
      <c r="H7" s="18"/>
      <c r="I7" s="18"/>
      <c r="J7" s="18">
        <f>Herleitung_Klo09!M13</f>
        <v>100</v>
      </c>
      <c r="K7" s="18"/>
      <c r="L7" s="18"/>
      <c r="M7" s="18"/>
      <c r="N7" s="84"/>
      <c r="O7" s="18">
        <f>Herleitung_Klo09!L13</f>
        <v>300</v>
      </c>
      <c r="P7" s="8">
        <f>'Klo09'!$O7/'Klo09'!$U7</f>
        <v>0.75</v>
      </c>
      <c r="Q7" s="8">
        <f>(1-Tabelle5[[#This Row],[Mindestauslastung]])</f>
        <v>0.25</v>
      </c>
      <c r="R7" s="18"/>
      <c r="S7" s="18"/>
      <c r="T7" s="8"/>
      <c r="U7" s="18">
        <f>Herleitung_Klo09!F13</f>
        <v>400</v>
      </c>
      <c r="W7" s="1">
        <v>4</v>
      </c>
      <c r="AB7" s="1">
        <v>40</v>
      </c>
      <c r="AI7" s="83" t="s">
        <v>1067</v>
      </c>
      <c r="AJ7" s="83" t="s">
        <v>1067</v>
      </c>
      <c r="AL7" s="12" t="s">
        <v>69</v>
      </c>
      <c r="AN7" s="12" t="s">
        <v>70</v>
      </c>
      <c r="AO7" s="12" t="s">
        <v>108</v>
      </c>
      <c r="AP7" s="12" t="s">
        <v>70</v>
      </c>
      <c r="AQ7" s="12" t="s">
        <v>70</v>
      </c>
      <c r="AR7" s="12" t="s">
        <v>70</v>
      </c>
      <c r="AS7" s="12"/>
      <c r="AT7" s="1">
        <v>69</v>
      </c>
      <c r="AX7" s="1">
        <v>69</v>
      </c>
      <c r="BD7" s="1" t="s">
        <v>52</v>
      </c>
    </row>
    <row r="8" spans="1:56" x14ac:dyDescent="0.2">
      <c r="A8" s="5" t="s">
        <v>72</v>
      </c>
      <c r="B8" s="1" t="s">
        <v>129</v>
      </c>
      <c r="C8" s="5">
        <v>2005</v>
      </c>
      <c r="D8" s="1">
        <v>0</v>
      </c>
      <c r="E8" s="1">
        <v>1</v>
      </c>
      <c r="F8" s="5">
        <v>0</v>
      </c>
      <c r="G8" s="5"/>
      <c r="H8" s="17">
        <v>5</v>
      </c>
      <c r="I8" s="17"/>
      <c r="J8" s="17">
        <v>7.5</v>
      </c>
      <c r="K8" s="17"/>
      <c r="L8" s="17"/>
      <c r="M8" s="17"/>
      <c r="N8" s="84"/>
      <c r="O8" s="17">
        <f>'Klo09'!$U8*'Klo09'!$P8</f>
        <v>0</v>
      </c>
      <c r="P8" s="15">
        <v>0.75</v>
      </c>
      <c r="Q8" s="15">
        <f>(1-Tabelle5[[#This Row],[Mindestauslastung]])</f>
        <v>0.25</v>
      </c>
      <c r="R8" s="18"/>
      <c r="S8" s="18"/>
      <c r="T8" s="8"/>
      <c r="U8" s="17"/>
      <c r="V8" s="5"/>
      <c r="W8" s="5">
        <v>4</v>
      </c>
      <c r="X8" s="5"/>
      <c r="Y8" s="5"/>
      <c r="Z8" s="5"/>
      <c r="AA8" s="5"/>
      <c r="AB8" s="5">
        <v>40</v>
      </c>
      <c r="AC8" s="5"/>
      <c r="AD8" s="5"/>
      <c r="AE8" s="5"/>
      <c r="AF8" s="5"/>
      <c r="AG8" s="5" t="s">
        <v>74</v>
      </c>
      <c r="AH8" s="5"/>
      <c r="AI8" s="83" t="s">
        <v>1067</v>
      </c>
      <c r="AJ8" s="83" t="s">
        <v>1067</v>
      </c>
      <c r="AK8" s="5"/>
      <c r="AL8" s="13" t="s">
        <v>66</v>
      </c>
      <c r="AM8" s="5"/>
      <c r="AN8" s="13" t="s">
        <v>71</v>
      </c>
      <c r="AO8" s="13" t="s">
        <v>108</v>
      </c>
      <c r="AP8" s="13" t="s">
        <v>71</v>
      </c>
      <c r="AQ8" s="13" t="s">
        <v>71</v>
      </c>
      <c r="AR8" s="13" t="s">
        <v>71</v>
      </c>
      <c r="AS8" s="13"/>
      <c r="AT8" s="5">
        <v>69</v>
      </c>
      <c r="AU8" s="5"/>
      <c r="AV8" s="5"/>
      <c r="AW8" s="5"/>
      <c r="AX8" s="5">
        <v>69</v>
      </c>
      <c r="AY8" s="5"/>
      <c r="AZ8" s="5"/>
      <c r="BA8" s="5"/>
      <c r="BB8" s="5"/>
      <c r="BC8" s="5">
        <v>58</v>
      </c>
      <c r="BD8" s="5"/>
    </row>
    <row r="9" spans="1:56" x14ac:dyDescent="0.2">
      <c r="A9" s="1" t="s">
        <v>72</v>
      </c>
      <c r="B9" s="1" t="s">
        <v>129</v>
      </c>
      <c r="C9" s="1">
        <v>2020</v>
      </c>
      <c r="D9" s="1">
        <v>0</v>
      </c>
      <c r="E9" s="1">
        <v>1</v>
      </c>
      <c r="F9" s="1">
        <v>0</v>
      </c>
      <c r="H9" s="18">
        <v>5</v>
      </c>
      <c r="I9" s="18"/>
      <c r="J9" s="18">
        <v>7.5</v>
      </c>
      <c r="K9" s="18"/>
      <c r="L9" s="18"/>
      <c r="M9" s="18"/>
      <c r="N9" s="84"/>
      <c r="O9" s="18">
        <f>'Klo09'!$U9*'Klo09'!$P9</f>
        <v>0</v>
      </c>
      <c r="P9" s="8">
        <v>0.75</v>
      </c>
      <c r="Q9" s="8">
        <f>(1-Tabelle5[[#This Row],[Mindestauslastung]])</f>
        <v>0.25</v>
      </c>
      <c r="R9" s="18"/>
      <c r="S9" s="18"/>
      <c r="T9" s="8"/>
      <c r="U9" s="18"/>
      <c r="W9" s="1">
        <v>4</v>
      </c>
      <c r="AB9" s="1">
        <v>40</v>
      </c>
      <c r="AG9" s="1" t="s">
        <v>74</v>
      </c>
      <c r="AI9" s="83" t="s">
        <v>1067</v>
      </c>
      <c r="AJ9" s="83" t="s">
        <v>1067</v>
      </c>
      <c r="AL9" s="12">
        <v>58</v>
      </c>
      <c r="AN9" s="12" t="s">
        <v>75</v>
      </c>
      <c r="AO9" s="12" t="s">
        <v>108</v>
      </c>
      <c r="AP9" s="12" t="s">
        <v>75</v>
      </c>
      <c r="AQ9" s="12" t="s">
        <v>75</v>
      </c>
      <c r="AR9" s="12" t="s">
        <v>75</v>
      </c>
      <c r="AS9" s="12"/>
      <c r="AT9" s="1">
        <v>69</v>
      </c>
      <c r="AX9" s="1">
        <v>69</v>
      </c>
      <c r="BC9" s="1">
        <v>58</v>
      </c>
    </row>
    <row r="10" spans="1:56" x14ac:dyDescent="0.2">
      <c r="A10" s="5" t="s">
        <v>76</v>
      </c>
      <c r="B10" s="1" t="s">
        <v>129</v>
      </c>
      <c r="C10" s="5">
        <v>2005</v>
      </c>
      <c r="D10" s="1">
        <v>0</v>
      </c>
      <c r="E10" s="1">
        <v>1</v>
      </c>
      <c r="F10" s="5">
        <v>0</v>
      </c>
      <c r="G10" s="5"/>
      <c r="H10" s="17"/>
      <c r="I10" s="17"/>
      <c r="J10" s="17">
        <v>25</v>
      </c>
      <c r="K10" s="17"/>
      <c r="L10" s="17"/>
      <c r="M10" s="17"/>
      <c r="N10" s="84"/>
      <c r="O10" s="17">
        <f>'Klo09'!$U10*'Klo09'!$P10</f>
        <v>0</v>
      </c>
      <c r="P10" s="15">
        <v>0.75</v>
      </c>
      <c r="Q10" s="15">
        <f>(1-Tabelle5[[#This Row],[Mindestauslastung]])</f>
        <v>0.25</v>
      </c>
      <c r="R10" s="18"/>
      <c r="S10" s="18"/>
      <c r="T10" s="8"/>
      <c r="U10" s="17"/>
      <c r="V10" s="5"/>
      <c r="W10" s="5">
        <v>4</v>
      </c>
      <c r="X10" s="5"/>
      <c r="Y10" s="5"/>
      <c r="Z10" s="5"/>
      <c r="AA10" s="5"/>
      <c r="AB10" s="5">
        <v>40</v>
      </c>
      <c r="AC10" s="5"/>
      <c r="AD10" s="5"/>
      <c r="AE10" s="5"/>
      <c r="AF10" s="5"/>
      <c r="AG10" s="5" t="s">
        <v>74</v>
      </c>
      <c r="AH10" s="5"/>
      <c r="AI10" s="83" t="s">
        <v>1067</v>
      </c>
      <c r="AJ10" s="83" t="s">
        <v>1067</v>
      </c>
      <c r="AK10" s="5"/>
      <c r="AL10" s="13" t="s">
        <v>66</v>
      </c>
      <c r="AM10" s="5"/>
      <c r="AN10" s="13" t="s">
        <v>71</v>
      </c>
      <c r="AO10" s="13" t="s">
        <v>108</v>
      </c>
      <c r="AP10" s="13" t="s">
        <v>71</v>
      </c>
      <c r="AQ10" s="13" t="s">
        <v>71</v>
      </c>
      <c r="AR10" s="13" t="s">
        <v>71</v>
      </c>
      <c r="AS10" s="13"/>
      <c r="AT10" s="5">
        <v>69</v>
      </c>
      <c r="AU10" s="5"/>
      <c r="AV10" s="5"/>
      <c r="AW10" s="5"/>
      <c r="AX10" s="5">
        <v>69</v>
      </c>
      <c r="AY10" s="5"/>
      <c r="AZ10" s="5"/>
      <c r="BA10" s="5"/>
      <c r="BB10" s="5"/>
      <c r="BC10" s="5">
        <v>58</v>
      </c>
      <c r="BD10" s="5"/>
    </row>
    <row r="11" spans="1:56" x14ac:dyDescent="0.2">
      <c r="A11" s="1" t="s">
        <v>76</v>
      </c>
      <c r="B11" s="1" t="s">
        <v>129</v>
      </c>
      <c r="C11" s="1">
        <v>2020</v>
      </c>
      <c r="D11" s="1">
        <v>0</v>
      </c>
      <c r="E11" s="1">
        <v>1</v>
      </c>
      <c r="F11" s="1">
        <v>0</v>
      </c>
      <c r="H11" s="18"/>
      <c r="I11" s="18"/>
      <c r="J11" s="18">
        <v>25</v>
      </c>
      <c r="K11" s="18"/>
      <c r="L11" s="18"/>
      <c r="M11" s="18"/>
      <c r="N11" s="84"/>
      <c r="O11" s="18">
        <f>'Klo09'!$U11*'Klo09'!$P11</f>
        <v>0</v>
      </c>
      <c r="P11" s="8">
        <v>0.75</v>
      </c>
      <c r="Q11" s="8">
        <f>(1-Tabelle5[[#This Row],[Mindestauslastung]])</f>
        <v>0.25</v>
      </c>
      <c r="R11" s="18"/>
      <c r="S11" s="18"/>
      <c r="T11" s="8"/>
      <c r="U11" s="18"/>
      <c r="W11" s="1">
        <v>4</v>
      </c>
      <c r="AB11" s="1">
        <v>40</v>
      </c>
      <c r="AG11" s="1" t="s">
        <v>74</v>
      </c>
      <c r="AI11" s="83" t="s">
        <v>1067</v>
      </c>
      <c r="AJ11" s="83" t="s">
        <v>1067</v>
      </c>
      <c r="AL11" s="12" t="s">
        <v>66</v>
      </c>
      <c r="AN11" s="12" t="s">
        <v>75</v>
      </c>
      <c r="AO11" s="12" t="s">
        <v>108</v>
      </c>
      <c r="AP11" s="12" t="s">
        <v>75</v>
      </c>
      <c r="AQ11" s="12" t="s">
        <v>75</v>
      </c>
      <c r="AR11" s="12" t="s">
        <v>75</v>
      </c>
      <c r="AS11" s="12"/>
      <c r="AT11" s="1">
        <v>69</v>
      </c>
      <c r="AX11" s="1">
        <v>69</v>
      </c>
      <c r="BC11" s="1">
        <v>58</v>
      </c>
    </row>
    <row r="12" spans="1:56" x14ac:dyDescent="0.2">
      <c r="A12" s="5" t="s">
        <v>77</v>
      </c>
      <c r="B12" s="1" t="s">
        <v>129</v>
      </c>
      <c r="C12" s="5">
        <v>2005</v>
      </c>
      <c r="D12" s="1">
        <v>0</v>
      </c>
      <c r="E12" s="1">
        <v>1</v>
      </c>
      <c r="F12" s="5">
        <v>0</v>
      </c>
      <c r="G12" s="5">
        <v>3.5</v>
      </c>
      <c r="H12" s="17"/>
      <c r="I12" s="17"/>
      <c r="J12" s="17">
        <v>400</v>
      </c>
      <c r="K12" s="17"/>
      <c r="L12" s="17"/>
      <c r="M12" s="17"/>
      <c r="N12" s="84"/>
      <c r="O12" s="17">
        <f>0</f>
        <v>0</v>
      </c>
      <c r="P12" s="15">
        <v>0</v>
      </c>
      <c r="Q12" s="15">
        <f>(1-Tabelle5[[#This Row],[Mindestauslastung]])</f>
        <v>1</v>
      </c>
      <c r="R12" s="18">
        <v>400</v>
      </c>
      <c r="S12" s="18"/>
      <c r="T12" s="8"/>
      <c r="U12" s="17">
        <v>400</v>
      </c>
      <c r="V12" s="5"/>
      <c r="W12" s="5">
        <v>2</v>
      </c>
      <c r="X12" s="5"/>
      <c r="Y12" s="5"/>
      <c r="Z12" s="5"/>
      <c r="AA12" s="5"/>
      <c r="AB12" s="5">
        <v>365</v>
      </c>
      <c r="AC12" s="5"/>
      <c r="AD12" s="5"/>
      <c r="AE12" s="5"/>
      <c r="AF12" s="5"/>
      <c r="AG12" s="5"/>
      <c r="AH12" s="5"/>
      <c r="AI12" s="83" t="s">
        <v>1067</v>
      </c>
      <c r="AJ12" s="83" t="s">
        <v>1067</v>
      </c>
      <c r="AK12" s="5">
        <v>69</v>
      </c>
      <c r="AL12" s="13" t="s">
        <v>78</v>
      </c>
      <c r="AM12" s="5"/>
      <c r="AN12" s="13" t="s">
        <v>79</v>
      </c>
      <c r="AO12" s="13" t="s">
        <v>108</v>
      </c>
      <c r="AP12" s="13" t="s">
        <v>79</v>
      </c>
      <c r="AQ12" s="13" t="s">
        <v>79</v>
      </c>
      <c r="AR12" s="13" t="s">
        <v>79</v>
      </c>
      <c r="AS12" s="13"/>
      <c r="AT12" s="5">
        <v>69</v>
      </c>
      <c r="AU12" s="5"/>
      <c r="AV12" s="5"/>
      <c r="AW12" s="5"/>
      <c r="AX12" s="5">
        <v>69</v>
      </c>
      <c r="AY12" s="5"/>
      <c r="AZ12" s="5"/>
      <c r="BA12" s="5"/>
      <c r="BB12" s="5"/>
      <c r="BC12" s="5"/>
      <c r="BD12" s="5"/>
    </row>
    <row r="13" spans="1:56" x14ac:dyDescent="0.2">
      <c r="A13" s="1" t="s">
        <v>77</v>
      </c>
      <c r="B13" s="1" t="s">
        <v>129</v>
      </c>
      <c r="C13" s="1">
        <v>2020</v>
      </c>
      <c r="D13" s="1">
        <v>0</v>
      </c>
      <c r="E13" s="1">
        <v>1</v>
      </c>
      <c r="F13" s="1">
        <v>0</v>
      </c>
      <c r="H13" s="18"/>
      <c r="I13" s="18"/>
      <c r="J13" s="18">
        <v>400</v>
      </c>
      <c r="K13" s="18"/>
      <c r="L13" s="18"/>
      <c r="M13" s="18"/>
      <c r="N13" s="84"/>
      <c r="O13" s="18">
        <f>0</f>
        <v>0</v>
      </c>
      <c r="P13" s="8">
        <v>0</v>
      </c>
      <c r="Q13" s="8">
        <f>(1-Tabelle5[[#This Row],[Mindestauslastung]])</f>
        <v>1</v>
      </c>
      <c r="R13" s="18">
        <v>400</v>
      </c>
      <c r="S13" s="18"/>
      <c r="T13" s="8"/>
      <c r="U13" s="18">
        <v>400</v>
      </c>
      <c r="W13" s="1">
        <v>2</v>
      </c>
      <c r="AB13" s="1">
        <v>365</v>
      </c>
      <c r="AI13" s="83" t="s">
        <v>1067</v>
      </c>
      <c r="AJ13" s="83" t="s">
        <v>1067</v>
      </c>
      <c r="AL13" s="12" t="s">
        <v>78</v>
      </c>
      <c r="AN13" s="12" t="s">
        <v>79</v>
      </c>
      <c r="AO13" s="12" t="s">
        <v>108</v>
      </c>
      <c r="AP13" s="12" t="s">
        <v>79</v>
      </c>
      <c r="AQ13" s="12" t="s">
        <v>79</v>
      </c>
      <c r="AR13" s="12" t="s">
        <v>79</v>
      </c>
      <c r="AS13" s="12"/>
      <c r="AT13" s="1">
        <v>69</v>
      </c>
      <c r="AX13" s="1">
        <v>69</v>
      </c>
    </row>
    <row r="14" spans="1:56" x14ac:dyDescent="0.2">
      <c r="A14" s="5" t="s">
        <v>80</v>
      </c>
      <c r="B14" s="1" t="s">
        <v>129</v>
      </c>
      <c r="C14" s="5">
        <v>2005</v>
      </c>
      <c r="D14" s="5">
        <v>1</v>
      </c>
      <c r="E14" s="5">
        <v>0</v>
      </c>
      <c r="F14" s="5">
        <v>0</v>
      </c>
      <c r="G14" s="5"/>
      <c r="H14" s="17">
        <v>350</v>
      </c>
      <c r="I14" s="17">
        <v>400</v>
      </c>
      <c r="J14" s="17">
        <v>450</v>
      </c>
      <c r="K14" s="17"/>
      <c r="L14" s="17">
        <v>350</v>
      </c>
      <c r="M14" s="17"/>
      <c r="N14" s="84">
        <f>Tabelle5[[#This Row],[Potenzial pos. max MW]]</f>
        <v>450</v>
      </c>
      <c r="O14" s="17">
        <f>0</f>
        <v>0</v>
      </c>
      <c r="P14" s="15">
        <v>0</v>
      </c>
      <c r="Q14" s="15">
        <f>(1-Tabelle5[[#This Row],[Mindestauslastung]])</f>
        <v>1</v>
      </c>
      <c r="R14" s="18"/>
      <c r="S14" s="18"/>
      <c r="T14" s="8"/>
      <c r="U14" s="17">
        <v>400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83" t="s">
        <v>1067</v>
      </c>
      <c r="AJ14" s="83" t="s">
        <v>1067</v>
      </c>
      <c r="AK14" s="5"/>
      <c r="AL14" s="13" t="s">
        <v>95</v>
      </c>
      <c r="AM14" s="5"/>
      <c r="AN14" s="13" t="s">
        <v>79</v>
      </c>
      <c r="AO14" s="13" t="s">
        <v>108</v>
      </c>
      <c r="AP14" s="13" t="s">
        <v>79</v>
      </c>
      <c r="AQ14" s="13" t="s">
        <v>79</v>
      </c>
      <c r="AR14" s="13" t="s">
        <v>79</v>
      </c>
      <c r="AS14" s="13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">
      <c r="A15" s="1" t="s">
        <v>80</v>
      </c>
      <c r="B15" s="1" t="s">
        <v>129</v>
      </c>
      <c r="C15" s="1">
        <v>2020</v>
      </c>
      <c r="D15" s="1">
        <v>1</v>
      </c>
      <c r="E15" s="1">
        <v>0</v>
      </c>
      <c r="F15" s="1">
        <v>0</v>
      </c>
      <c r="H15" s="18">
        <v>350</v>
      </c>
      <c r="I15" s="18">
        <v>400</v>
      </c>
      <c r="J15" s="18">
        <v>450</v>
      </c>
      <c r="K15" s="18"/>
      <c r="L15" s="18">
        <v>350</v>
      </c>
      <c r="M15" s="18"/>
      <c r="N15" s="84">
        <f>Tabelle5[[#This Row],[Potenzial pos. max MW]]</f>
        <v>450</v>
      </c>
      <c r="O15" s="18">
        <f>0</f>
        <v>0</v>
      </c>
      <c r="P15" s="8">
        <v>0</v>
      </c>
      <c r="Q15" s="8">
        <f>(1-Tabelle5[[#This Row],[Mindestauslastung]])</f>
        <v>1</v>
      </c>
      <c r="R15" s="18"/>
      <c r="S15" s="18"/>
      <c r="T15" s="8"/>
      <c r="U15" s="18">
        <v>400</v>
      </c>
      <c r="AI15" s="83" t="s">
        <v>1067</v>
      </c>
      <c r="AJ15" s="83" t="s">
        <v>1067</v>
      </c>
      <c r="AL15" s="12" t="s">
        <v>78</v>
      </c>
      <c r="AN15" s="12" t="s">
        <v>79</v>
      </c>
      <c r="AO15" s="12" t="s">
        <v>108</v>
      </c>
      <c r="AP15" s="12" t="s">
        <v>79</v>
      </c>
      <c r="AQ15" s="12" t="s">
        <v>79</v>
      </c>
      <c r="AR15" s="12" t="s">
        <v>79</v>
      </c>
      <c r="AS15" s="12"/>
    </row>
    <row r="16" spans="1:56" x14ac:dyDescent="0.2">
      <c r="A16" s="5" t="s">
        <v>81</v>
      </c>
      <c r="B16" s="1" t="s">
        <v>129</v>
      </c>
      <c r="C16" s="5">
        <v>2005</v>
      </c>
      <c r="D16" s="5">
        <v>1</v>
      </c>
      <c r="E16" s="5">
        <v>0</v>
      </c>
      <c r="F16" s="5">
        <v>0</v>
      </c>
      <c r="G16" s="5"/>
      <c r="H16" s="17"/>
      <c r="I16" s="17"/>
      <c r="J16" s="17">
        <v>80</v>
      </c>
      <c r="K16" s="17"/>
      <c r="L16" s="17"/>
      <c r="M16" s="17"/>
      <c r="N16" s="84">
        <f>Tabelle5[[#This Row],[Potenzial pos. max MW]]</f>
        <v>80</v>
      </c>
      <c r="O16" s="17">
        <f>Tabelle5[[#This Row],[Mindestauslastung]]*Tabelle5[[#This Row],[installierte Leistung MW]]</f>
        <v>0</v>
      </c>
      <c r="P16" s="15">
        <v>0.75</v>
      </c>
      <c r="Q16" s="15">
        <f>(1-Tabelle5[[#This Row],[Mindestauslastung]])</f>
        <v>0.25</v>
      </c>
      <c r="R16" s="18"/>
      <c r="S16" s="18"/>
      <c r="T16" s="8"/>
      <c r="U16" s="17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83" t="s">
        <v>1067</v>
      </c>
      <c r="AJ16" s="83" t="s">
        <v>1067</v>
      </c>
      <c r="AK16" s="5"/>
      <c r="AL16" s="13" t="s">
        <v>95</v>
      </c>
      <c r="AM16" s="5"/>
      <c r="AN16" s="13" t="s">
        <v>79</v>
      </c>
      <c r="AO16" s="13" t="s">
        <v>108</v>
      </c>
      <c r="AP16" s="13" t="s">
        <v>79</v>
      </c>
      <c r="AQ16" s="13" t="s">
        <v>79</v>
      </c>
      <c r="AR16" s="13" t="s">
        <v>79</v>
      </c>
      <c r="AS16" s="13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">
      <c r="A17" s="1" t="s">
        <v>81</v>
      </c>
      <c r="B17" s="1" t="s">
        <v>129</v>
      </c>
      <c r="C17" s="1">
        <v>2020</v>
      </c>
      <c r="D17" s="1">
        <v>1</v>
      </c>
      <c r="E17" s="1">
        <v>0</v>
      </c>
      <c r="F17" s="1">
        <v>0</v>
      </c>
      <c r="H17" s="18"/>
      <c r="I17" s="18"/>
      <c r="J17" s="18">
        <v>80</v>
      </c>
      <c r="K17" s="18"/>
      <c r="L17" s="18"/>
      <c r="M17" s="18"/>
      <c r="N17" s="84">
        <f>Tabelle5[[#This Row],[Potenzial pos. max MW]]</f>
        <v>80</v>
      </c>
      <c r="O17" s="18">
        <f>Tabelle5[[#This Row],[Mindestauslastung]]*Tabelle5[[#This Row],[installierte Leistung MW]]</f>
        <v>0</v>
      </c>
      <c r="P17" s="8">
        <v>0.75</v>
      </c>
      <c r="Q17" s="8">
        <f>(1-Tabelle5[[#This Row],[Mindestauslastung]])</f>
        <v>0.25</v>
      </c>
      <c r="R17" s="18"/>
      <c r="S17" s="18"/>
      <c r="T17" s="8"/>
      <c r="U17" s="18"/>
      <c r="AI17" s="83" t="s">
        <v>1067</v>
      </c>
      <c r="AJ17" s="83" t="s">
        <v>1067</v>
      </c>
      <c r="AL17" s="12" t="s">
        <v>78</v>
      </c>
      <c r="AN17" s="12" t="s">
        <v>79</v>
      </c>
      <c r="AO17" s="12" t="s">
        <v>108</v>
      </c>
      <c r="AP17" s="12" t="s">
        <v>79</v>
      </c>
      <c r="AQ17" s="12" t="s">
        <v>79</v>
      </c>
      <c r="AR17" s="12" t="s">
        <v>79</v>
      </c>
      <c r="AS17" s="12"/>
    </row>
    <row r="18" spans="1:56" x14ac:dyDescent="0.2">
      <c r="A18" s="5" t="s">
        <v>82</v>
      </c>
      <c r="B18" s="1" t="s">
        <v>129</v>
      </c>
      <c r="C18" s="5">
        <v>2005</v>
      </c>
      <c r="D18" s="5">
        <v>1</v>
      </c>
      <c r="E18" s="5">
        <v>0</v>
      </c>
      <c r="F18" s="5">
        <v>0</v>
      </c>
      <c r="G18" s="5"/>
      <c r="H18" s="17"/>
      <c r="I18" s="17"/>
      <c r="J18" s="17">
        <v>60</v>
      </c>
      <c r="K18" s="17"/>
      <c r="L18" s="17"/>
      <c r="M18" s="17"/>
      <c r="N18" s="84">
        <f>Tabelle5[[#This Row],[Potenzial pos. max MW]]</f>
        <v>60</v>
      </c>
      <c r="O18" s="17">
        <f>Tabelle5[[#This Row],[Mindestauslastung]]*Tabelle5[[#This Row],[installierte Leistung MW]]</f>
        <v>0</v>
      </c>
      <c r="P18" s="15">
        <v>0</v>
      </c>
      <c r="Q18" s="15">
        <f>(1-Tabelle5[[#This Row],[Mindestauslastung]])</f>
        <v>1</v>
      </c>
      <c r="R18" s="18"/>
      <c r="S18" s="18"/>
      <c r="T18" s="8"/>
      <c r="U18" s="17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 t="s">
        <v>83</v>
      </c>
      <c r="AH18" s="5"/>
      <c r="AI18" s="83" t="s">
        <v>1067</v>
      </c>
      <c r="AJ18" s="83" t="s">
        <v>1067</v>
      </c>
      <c r="AK18" s="5"/>
      <c r="AL18" s="13" t="s">
        <v>95</v>
      </c>
      <c r="AM18" s="5"/>
      <c r="AN18" s="13" t="s">
        <v>79</v>
      </c>
      <c r="AO18" s="13" t="s">
        <v>108</v>
      </c>
      <c r="AP18" s="13" t="s">
        <v>79</v>
      </c>
      <c r="AQ18" s="13" t="s">
        <v>79</v>
      </c>
      <c r="AR18" s="13" t="s">
        <v>79</v>
      </c>
      <c r="AS18" s="13"/>
      <c r="AT18" s="5">
        <v>69</v>
      </c>
      <c r="AU18" s="5"/>
      <c r="AV18" s="5"/>
      <c r="AW18" s="5"/>
      <c r="AX18" s="5">
        <v>69</v>
      </c>
      <c r="AY18" s="5"/>
      <c r="AZ18" s="5"/>
      <c r="BA18" s="5"/>
      <c r="BB18" s="5"/>
      <c r="BC18" s="5">
        <v>62</v>
      </c>
      <c r="BD18" s="5"/>
    </row>
    <row r="19" spans="1:56" x14ac:dyDescent="0.2">
      <c r="A19" s="1" t="s">
        <v>82</v>
      </c>
      <c r="B19" s="1" t="s">
        <v>129</v>
      </c>
      <c r="C19" s="1">
        <v>2020</v>
      </c>
      <c r="D19" s="1">
        <v>1</v>
      </c>
      <c r="E19" s="1">
        <v>0</v>
      </c>
      <c r="F19" s="1">
        <v>0</v>
      </c>
      <c r="H19" s="18"/>
      <c r="I19" s="18"/>
      <c r="J19" s="18">
        <v>60</v>
      </c>
      <c r="K19" s="18"/>
      <c r="L19" s="18"/>
      <c r="M19" s="18"/>
      <c r="N19" s="84">
        <f>Tabelle5[[#This Row],[Potenzial pos. max MW]]</f>
        <v>60</v>
      </c>
      <c r="O19" s="18">
        <f>Tabelle5[[#This Row],[Mindestauslastung]]*Tabelle5[[#This Row],[installierte Leistung MW]]</f>
        <v>0</v>
      </c>
      <c r="P19" s="8">
        <v>0</v>
      </c>
      <c r="Q19" s="8">
        <f>(1-Tabelle5[[#This Row],[Mindestauslastung]])</f>
        <v>1</v>
      </c>
      <c r="R19" s="18"/>
      <c r="S19" s="18"/>
      <c r="T19" s="8"/>
      <c r="U19" s="18"/>
      <c r="AG19" s="1" t="s">
        <v>83</v>
      </c>
      <c r="AI19" s="83" t="s">
        <v>1067</v>
      </c>
      <c r="AJ19" s="83" t="s">
        <v>1067</v>
      </c>
      <c r="AL19" s="12" t="s">
        <v>78</v>
      </c>
      <c r="AN19" s="12" t="s">
        <v>79</v>
      </c>
      <c r="AO19" s="12" t="s">
        <v>108</v>
      </c>
      <c r="AP19" s="12" t="s">
        <v>79</v>
      </c>
      <c r="AQ19" s="12" t="s">
        <v>79</v>
      </c>
      <c r="AR19" s="12" t="s">
        <v>79</v>
      </c>
      <c r="AS19" s="12"/>
      <c r="AT19" s="1">
        <v>69</v>
      </c>
      <c r="AX19" s="1">
        <v>69</v>
      </c>
      <c r="BC19" s="1">
        <v>62</v>
      </c>
    </row>
    <row r="20" spans="1:56" x14ac:dyDescent="0.2">
      <c r="A20" s="5" t="s">
        <v>84</v>
      </c>
      <c r="B20" s="1" t="s">
        <v>129</v>
      </c>
      <c r="C20" s="5">
        <v>2005</v>
      </c>
      <c r="D20" s="5">
        <v>0</v>
      </c>
      <c r="E20" s="5">
        <v>1</v>
      </c>
      <c r="F20" s="5">
        <v>0</v>
      </c>
      <c r="G20" s="5">
        <v>6.8</v>
      </c>
      <c r="H20" s="17"/>
      <c r="I20" s="17"/>
      <c r="J20" s="17">
        <v>400</v>
      </c>
      <c r="K20" s="17"/>
      <c r="L20" s="17"/>
      <c r="M20" s="17"/>
      <c r="N20" s="84"/>
      <c r="O20" s="17">
        <f>Tabelle5[[#This Row],[Mindestauslastung]]*Tabelle5[[#This Row],[installierte Leistung MW]]</f>
        <v>400</v>
      </c>
      <c r="P20" s="15">
        <v>0.5</v>
      </c>
      <c r="Q20" s="15">
        <f>(1-Tabelle5[[#This Row],[Mindestauslastung]])</f>
        <v>0.5</v>
      </c>
      <c r="R20" s="18"/>
      <c r="S20" s="18"/>
      <c r="T20" s="8"/>
      <c r="U20" s="17">
        <v>800</v>
      </c>
      <c r="V20" s="5"/>
      <c r="W20" s="5">
        <v>4</v>
      </c>
      <c r="X20" s="5"/>
      <c r="Y20" s="5"/>
      <c r="Z20" s="5"/>
      <c r="AA20" s="5"/>
      <c r="AB20" s="5">
        <v>40</v>
      </c>
      <c r="AC20" s="5"/>
      <c r="AD20" s="5"/>
      <c r="AE20" s="5"/>
      <c r="AF20" s="5"/>
      <c r="AG20" s="5"/>
      <c r="AH20" s="5"/>
      <c r="AI20" s="83" t="s">
        <v>1067</v>
      </c>
      <c r="AJ20" s="83" t="s">
        <v>1067</v>
      </c>
      <c r="AK20" s="5">
        <v>69</v>
      </c>
      <c r="AL20" s="13" t="s">
        <v>85</v>
      </c>
      <c r="AM20" s="5"/>
      <c r="AN20" s="13" t="s">
        <v>86</v>
      </c>
      <c r="AO20" s="13" t="s">
        <v>108</v>
      </c>
      <c r="AP20" s="13" t="s">
        <v>86</v>
      </c>
      <c r="AQ20" s="13" t="s">
        <v>86</v>
      </c>
      <c r="AR20" s="13" t="s">
        <v>86</v>
      </c>
      <c r="AS20" s="13"/>
      <c r="AT20" s="5">
        <v>69</v>
      </c>
      <c r="AU20" s="5"/>
      <c r="AV20" s="5"/>
      <c r="AW20" s="5"/>
      <c r="AX20" s="5">
        <v>69</v>
      </c>
      <c r="AY20" s="5"/>
      <c r="AZ20" s="5"/>
      <c r="BA20" s="5"/>
      <c r="BB20" s="5"/>
      <c r="BC20" s="5"/>
      <c r="BD20" s="5"/>
    </row>
    <row r="21" spans="1:56" x14ac:dyDescent="0.2">
      <c r="A21" s="1" t="s">
        <v>84</v>
      </c>
      <c r="B21" s="1" t="s">
        <v>129</v>
      </c>
      <c r="C21" s="1">
        <v>2020</v>
      </c>
      <c r="D21" s="1">
        <v>0</v>
      </c>
      <c r="E21" s="1">
        <v>1</v>
      </c>
      <c r="F21" s="1">
        <v>0</v>
      </c>
      <c r="H21" s="18"/>
      <c r="I21" s="18"/>
      <c r="J21" s="18">
        <f>Tabelle5[[#This Row],[Mindestauslastung]]*Tabelle5[[#This Row],[installierte Leistung MW]]</f>
        <v>350</v>
      </c>
      <c r="K21" s="18"/>
      <c r="L21" s="18"/>
      <c r="M21" s="18"/>
      <c r="N21" s="84"/>
      <c r="O21" s="18">
        <f>Tabelle5[[#This Row],[Mindestauslastung]]*Tabelle5[[#This Row],[installierte Leistung MW]]</f>
        <v>350</v>
      </c>
      <c r="P21" s="8">
        <v>0.5</v>
      </c>
      <c r="Q21" s="8">
        <f>(1-Tabelle5[[#This Row],[Mindestauslastung]])</f>
        <v>0.5</v>
      </c>
      <c r="R21" s="18"/>
      <c r="S21" s="18"/>
      <c r="T21" s="8"/>
      <c r="U21" s="18">
        <v>700</v>
      </c>
      <c r="W21" s="1">
        <v>4</v>
      </c>
      <c r="AB21" s="1">
        <v>40</v>
      </c>
      <c r="AI21" s="83" t="s">
        <v>1067</v>
      </c>
      <c r="AJ21" s="83" t="s">
        <v>1067</v>
      </c>
      <c r="AL21" s="12" t="s">
        <v>85</v>
      </c>
      <c r="AN21" s="12" t="s">
        <v>86</v>
      </c>
      <c r="AO21" s="12" t="s">
        <v>108</v>
      </c>
      <c r="AP21" s="12" t="s">
        <v>86</v>
      </c>
      <c r="AQ21" s="12" t="s">
        <v>86</v>
      </c>
      <c r="AR21" s="12" t="s">
        <v>86</v>
      </c>
      <c r="AS21" s="12"/>
      <c r="AT21" s="1">
        <v>69</v>
      </c>
      <c r="AX21" s="1">
        <v>69</v>
      </c>
    </row>
    <row r="22" spans="1:56" x14ac:dyDescent="0.2">
      <c r="A22" s="1" t="s">
        <v>880</v>
      </c>
      <c r="B22" s="1" t="s">
        <v>129</v>
      </c>
      <c r="C22" s="5">
        <v>2005</v>
      </c>
      <c r="D22" s="5">
        <v>1</v>
      </c>
      <c r="E22" s="5">
        <v>1</v>
      </c>
      <c r="F22" s="5">
        <v>0</v>
      </c>
      <c r="G22" s="5">
        <v>3.2</v>
      </c>
      <c r="H22" s="17">
        <v>90</v>
      </c>
      <c r="I22" s="17">
        <v>180</v>
      </c>
      <c r="J22" s="17">
        <v>235</v>
      </c>
      <c r="K22" s="17"/>
      <c r="L22" s="17">
        <v>90</v>
      </c>
      <c r="M22" s="18">
        <f>Tabelle5[[#This Row],[Potenzial pos. MW Durchschnitt]]</f>
        <v>180</v>
      </c>
      <c r="N22" s="84">
        <f>Tabelle5[[#This Row],[Potenzial pos. max MW]]</f>
        <v>235</v>
      </c>
      <c r="O22" s="17">
        <f>180*Tabelle5[[#This Row],[flexibilisierbarer Anteil an installierter Leistung]]</f>
        <v>90</v>
      </c>
      <c r="P22" s="15">
        <f>Tabelle5[[#This Row],[Mindestleistung MW]]/Tabelle5[[#This Row],[installierte Leistung MW]]</f>
        <v>0.19148936170212766</v>
      </c>
      <c r="Q22" s="15">
        <v>0.5</v>
      </c>
      <c r="R22" s="17">
        <v>360</v>
      </c>
      <c r="S22" s="17">
        <v>470</v>
      </c>
      <c r="T22" s="15"/>
      <c r="U22" s="17">
        <f>Tabelle5[[#This Row],[Maximalleistung MW]]</f>
        <v>470</v>
      </c>
      <c r="V22" s="5"/>
      <c r="W22" s="5">
        <v>3</v>
      </c>
      <c r="X22" s="5"/>
      <c r="Y22" s="5"/>
      <c r="Z22" s="5"/>
      <c r="AA22" s="5"/>
      <c r="AB22" s="5">
        <v>365</v>
      </c>
      <c r="AC22" s="5"/>
      <c r="AD22" s="5"/>
      <c r="AE22" s="5"/>
      <c r="AF22" s="5"/>
      <c r="AG22" s="5"/>
      <c r="AH22" s="5"/>
      <c r="AI22" s="83" t="s">
        <v>1067</v>
      </c>
      <c r="AJ22" s="83" t="s">
        <v>1067</v>
      </c>
      <c r="AK22" s="5">
        <v>69</v>
      </c>
      <c r="AL22" s="13" t="s">
        <v>88</v>
      </c>
      <c r="AM22" s="5"/>
      <c r="AN22" s="13" t="s">
        <v>89</v>
      </c>
      <c r="AO22" s="13" t="s">
        <v>108</v>
      </c>
      <c r="AP22" s="13" t="s">
        <v>89</v>
      </c>
      <c r="AQ22" s="13" t="s">
        <v>89</v>
      </c>
      <c r="AR22" s="13" t="s">
        <v>89</v>
      </c>
      <c r="AS22" s="13"/>
      <c r="AT22" s="5">
        <v>69</v>
      </c>
      <c r="AU22" s="5"/>
      <c r="AV22" s="5"/>
      <c r="AW22" s="5"/>
      <c r="AX22" s="5">
        <v>69</v>
      </c>
      <c r="AY22" s="5"/>
      <c r="AZ22" s="5"/>
      <c r="BA22" s="5"/>
      <c r="BB22" s="5"/>
      <c r="BC22" s="5"/>
      <c r="BD22" s="5"/>
    </row>
    <row r="23" spans="1:56" x14ac:dyDescent="0.2">
      <c r="A23" s="1" t="s">
        <v>880</v>
      </c>
      <c r="B23" s="1" t="s">
        <v>129</v>
      </c>
      <c r="C23" s="1">
        <v>2020</v>
      </c>
      <c r="D23" s="1">
        <v>1</v>
      </c>
      <c r="E23" s="1">
        <v>1</v>
      </c>
      <c r="F23" s="1">
        <v>0</v>
      </c>
      <c r="H23" s="18">
        <v>90</v>
      </c>
      <c r="I23" s="18">
        <v>180</v>
      </c>
      <c r="J23" s="18">
        <v>235</v>
      </c>
      <c r="K23" s="18"/>
      <c r="L23" s="18">
        <v>90</v>
      </c>
      <c r="M23" s="18">
        <f>Tabelle5[[#This Row],[Potenzial pos. MW Durchschnitt]]</f>
        <v>180</v>
      </c>
      <c r="N23" s="84">
        <f>Tabelle5[[#This Row],[Potenzial pos. max MW]]</f>
        <v>235</v>
      </c>
      <c r="O23" s="18">
        <f>180*Tabelle5[[#This Row],[flexibilisierbarer Anteil an installierter Leistung]]</f>
        <v>90</v>
      </c>
      <c r="P23" s="8">
        <f>Tabelle5[[#This Row],[Mindestleistung MW]]/Tabelle5[[#This Row],[installierte Leistung MW]]</f>
        <v>0.19148936170212766</v>
      </c>
      <c r="Q23" s="8">
        <v>0.5</v>
      </c>
      <c r="R23" s="18">
        <v>360</v>
      </c>
      <c r="S23" s="18">
        <v>470</v>
      </c>
      <c r="T23" s="8"/>
      <c r="U23" s="18">
        <f>Tabelle5[[#This Row],[Maximalleistung MW]]</f>
        <v>470</v>
      </c>
      <c r="W23" s="1">
        <v>3</v>
      </c>
      <c r="AB23" s="1">
        <v>365</v>
      </c>
      <c r="AG23" s="1" t="s">
        <v>90</v>
      </c>
      <c r="AI23" s="83" t="s">
        <v>1067</v>
      </c>
      <c r="AJ23" s="83" t="s">
        <v>1067</v>
      </c>
      <c r="AL23" s="12" t="s">
        <v>88</v>
      </c>
      <c r="AN23" s="12" t="s">
        <v>89</v>
      </c>
      <c r="AO23" s="12" t="s">
        <v>108</v>
      </c>
      <c r="AP23" s="12" t="s">
        <v>89</v>
      </c>
      <c r="AQ23" s="12" t="s">
        <v>89</v>
      </c>
      <c r="AR23" s="12" t="s">
        <v>89</v>
      </c>
      <c r="AS23" s="12"/>
      <c r="AT23" s="1">
        <v>69</v>
      </c>
      <c r="AX23" s="1">
        <v>69</v>
      </c>
      <c r="BC23" s="1">
        <v>66</v>
      </c>
    </row>
    <row r="24" spans="1:56" x14ac:dyDescent="0.2">
      <c r="A24" s="1" t="s">
        <v>91</v>
      </c>
      <c r="B24" s="1" t="s">
        <v>129</v>
      </c>
      <c r="C24" s="1">
        <v>2005</v>
      </c>
      <c r="D24" s="5">
        <v>1</v>
      </c>
      <c r="E24" s="5">
        <v>1</v>
      </c>
      <c r="F24" s="5">
        <v>0</v>
      </c>
      <c r="G24" s="5">
        <v>4</v>
      </c>
      <c r="H24" s="18"/>
      <c r="I24" s="18">
        <v>450</v>
      </c>
      <c r="J24" s="18">
        <v>570</v>
      </c>
      <c r="K24" s="18">
        <v>270</v>
      </c>
      <c r="L24" s="18"/>
      <c r="M24" s="18">
        <f>Tabelle5[[#This Row],[Potenzial pos. MW Durchschnitt]]</f>
        <v>450</v>
      </c>
      <c r="N24" s="84">
        <f>Tabelle5[[#This Row],[Potenzial pos. max MW]]</f>
        <v>570</v>
      </c>
      <c r="O24" s="18">
        <f>450-450</f>
        <v>0</v>
      </c>
      <c r="P24" s="8">
        <f>1-Tabelle5[[#This Row],[flexibilisierbarer Anteil an installierter Leistung]]</f>
        <v>0.5</v>
      </c>
      <c r="Q24" s="8">
        <v>0.5</v>
      </c>
      <c r="R24" s="18">
        <f>(450+570)/2</f>
        <v>510</v>
      </c>
      <c r="S24" s="18"/>
      <c r="T24" s="8"/>
      <c r="U24" s="18"/>
      <c r="W24" s="1">
        <v>2</v>
      </c>
      <c r="AB24" s="1">
        <v>365</v>
      </c>
      <c r="AG24" s="1" t="s">
        <v>92</v>
      </c>
      <c r="AI24" s="83" t="s">
        <v>1067</v>
      </c>
      <c r="AJ24" s="83" t="s">
        <v>1067</v>
      </c>
      <c r="AK24" s="5">
        <v>69</v>
      </c>
      <c r="AL24" s="12" t="s">
        <v>96</v>
      </c>
      <c r="AN24" s="12" t="s">
        <v>94</v>
      </c>
      <c r="AO24" s="12" t="s">
        <v>108</v>
      </c>
      <c r="AP24" s="12" t="s">
        <v>94</v>
      </c>
      <c r="AQ24" s="12" t="s">
        <v>94</v>
      </c>
      <c r="AR24" s="12" t="s">
        <v>94</v>
      </c>
      <c r="AS24" s="12"/>
      <c r="AT24" s="1">
        <v>69</v>
      </c>
      <c r="AX24" s="1">
        <v>69</v>
      </c>
      <c r="BC24" s="1">
        <v>67</v>
      </c>
    </row>
    <row r="25" spans="1:56" x14ac:dyDescent="0.2">
      <c r="A25" s="1" t="s">
        <v>91</v>
      </c>
      <c r="B25" s="1" t="s">
        <v>129</v>
      </c>
      <c r="C25" s="1">
        <v>2020</v>
      </c>
      <c r="D25" s="1">
        <v>1</v>
      </c>
      <c r="E25" s="1">
        <v>1</v>
      </c>
      <c r="F25" s="1">
        <v>0</v>
      </c>
      <c r="H25" s="18"/>
      <c r="I25" s="18">
        <v>450</v>
      </c>
      <c r="J25" s="18">
        <v>570</v>
      </c>
      <c r="K25" s="18">
        <v>270</v>
      </c>
      <c r="L25" s="18"/>
      <c r="M25" s="18">
        <f>Tabelle5[[#This Row],[Potenzial pos. MW Durchschnitt]]</f>
        <v>450</v>
      </c>
      <c r="N25" s="84">
        <f>Tabelle5[[#This Row],[Potenzial pos. max MW]]</f>
        <v>570</v>
      </c>
      <c r="O25" s="18">
        <f>450-450</f>
        <v>0</v>
      </c>
      <c r="P25" s="8">
        <f>1-Tabelle5[[#This Row],[flexibilisierbarer Anteil an installierter Leistung]]</f>
        <v>0.5</v>
      </c>
      <c r="Q25" s="8">
        <v>0.5</v>
      </c>
      <c r="R25" s="18">
        <f>(450+570)/2</f>
        <v>510</v>
      </c>
      <c r="S25" s="18"/>
      <c r="T25" s="8"/>
      <c r="U25" s="18"/>
      <c r="W25" s="1">
        <v>2</v>
      </c>
      <c r="AB25" s="1">
        <v>365</v>
      </c>
      <c r="AG25" s="1" t="s">
        <v>92</v>
      </c>
      <c r="AI25" s="83" t="s">
        <v>1067</v>
      </c>
      <c r="AJ25" s="83" t="s">
        <v>1067</v>
      </c>
      <c r="AL25" s="12" t="s">
        <v>93</v>
      </c>
      <c r="AN25" s="12" t="s">
        <v>94</v>
      </c>
      <c r="AO25" s="12" t="s">
        <v>108</v>
      </c>
      <c r="AP25" s="12" t="s">
        <v>94</v>
      </c>
      <c r="AQ25" s="12" t="s">
        <v>94</v>
      </c>
      <c r="AR25" s="12" t="s">
        <v>94</v>
      </c>
      <c r="AS25" s="12"/>
      <c r="AT25" s="1">
        <v>69</v>
      </c>
      <c r="AX25" s="1">
        <v>69</v>
      </c>
      <c r="BC25" s="1">
        <v>67</v>
      </c>
    </row>
    <row r="26" spans="1:56" x14ac:dyDescent="0.2">
      <c r="A26" s="1" t="s">
        <v>211</v>
      </c>
      <c r="B26" s="1" t="s">
        <v>129</v>
      </c>
      <c r="C26" s="1">
        <v>2005</v>
      </c>
      <c r="D26" s="5">
        <v>1</v>
      </c>
      <c r="E26" s="5">
        <v>1</v>
      </c>
      <c r="F26" s="5">
        <v>0</v>
      </c>
      <c r="G26" s="5">
        <v>21.9</v>
      </c>
      <c r="H26" s="18"/>
      <c r="I26" s="18"/>
      <c r="J26" s="18">
        <v>320</v>
      </c>
      <c r="K26" s="18"/>
      <c r="L26" s="18"/>
      <c r="M26" s="18"/>
      <c r="N26" s="84">
        <f>Tabelle5[[#This Row],[Potenzial pos. max MW]]</f>
        <v>320</v>
      </c>
      <c r="O26" s="18">
        <v>100</v>
      </c>
      <c r="P26" s="8">
        <f>Tabelle5[[#This Row],[Mindestleistung MW]]/Tabelle5[[#This Row],[installierte Leistung MW]]</f>
        <v>0.23809523809523808</v>
      </c>
      <c r="Q26" s="8">
        <v>0.11</v>
      </c>
      <c r="R26" s="18"/>
      <c r="S26" s="18">
        <v>2909.090909090909</v>
      </c>
      <c r="T26" s="8"/>
      <c r="U26" s="18">
        <v>420</v>
      </c>
      <c r="W26" s="1">
        <v>2</v>
      </c>
      <c r="AB26" s="1">
        <v>365</v>
      </c>
      <c r="AG26" s="1" t="s">
        <v>362</v>
      </c>
      <c r="AI26" s="83" t="s">
        <v>1067</v>
      </c>
      <c r="AJ26" s="83" t="s">
        <v>1067</v>
      </c>
      <c r="AK26" s="5">
        <v>69</v>
      </c>
      <c r="AL26" s="12" t="s">
        <v>93</v>
      </c>
      <c r="AN26" s="12" t="s">
        <v>94</v>
      </c>
      <c r="AO26" s="12" t="s">
        <v>108</v>
      </c>
      <c r="AP26" s="12" t="s">
        <v>94</v>
      </c>
      <c r="AQ26" s="12" t="s">
        <v>94</v>
      </c>
      <c r="AR26" s="12" t="s">
        <v>94</v>
      </c>
      <c r="AS26" s="12"/>
      <c r="AT26" s="1">
        <v>69</v>
      </c>
      <c r="AX26" s="1">
        <v>69</v>
      </c>
    </row>
    <row r="27" spans="1:56" x14ac:dyDescent="0.2">
      <c r="A27" s="1" t="s">
        <v>211</v>
      </c>
      <c r="B27" s="1" t="s">
        <v>129</v>
      </c>
      <c r="C27" s="1">
        <v>2020</v>
      </c>
      <c r="D27" s="1">
        <v>1</v>
      </c>
      <c r="E27" s="1">
        <v>1</v>
      </c>
      <c r="F27" s="1">
        <v>0</v>
      </c>
      <c r="H27" s="18"/>
      <c r="I27" s="18"/>
      <c r="J27" s="18">
        <v>320</v>
      </c>
      <c r="K27" s="18"/>
      <c r="L27" s="18"/>
      <c r="M27" s="18"/>
      <c r="N27" s="84">
        <f>Tabelle5[[#This Row],[Potenzial pos. max MW]]</f>
        <v>320</v>
      </c>
      <c r="O27" s="18">
        <v>100</v>
      </c>
      <c r="P27" s="8">
        <f>Tabelle5[[#This Row],[Mindestleistung MW]]/Tabelle5[[#This Row],[installierte Leistung MW]]</f>
        <v>0.23809523809523808</v>
      </c>
      <c r="Q27" s="8">
        <v>0.11</v>
      </c>
      <c r="R27" s="18"/>
      <c r="S27" s="18">
        <v>2909.090909090909</v>
      </c>
      <c r="T27" s="8"/>
      <c r="U27" s="18">
        <v>420</v>
      </c>
      <c r="W27" s="1">
        <v>2</v>
      </c>
      <c r="AB27" s="1">
        <v>365</v>
      </c>
      <c r="AG27" s="1" t="s">
        <v>362</v>
      </c>
      <c r="AI27" s="83" t="s">
        <v>1067</v>
      </c>
      <c r="AJ27" s="83" t="s">
        <v>1067</v>
      </c>
      <c r="AL27" s="12" t="s">
        <v>93</v>
      </c>
      <c r="AN27" s="12" t="s">
        <v>94</v>
      </c>
      <c r="AO27" s="12" t="s">
        <v>108</v>
      </c>
      <c r="AP27" s="12" t="s">
        <v>94</v>
      </c>
      <c r="AQ27" s="12" t="s">
        <v>94</v>
      </c>
      <c r="AR27" s="12" t="s">
        <v>94</v>
      </c>
      <c r="AS27" s="12"/>
      <c r="AT27" s="1">
        <v>69</v>
      </c>
      <c r="AX27" s="1">
        <v>69</v>
      </c>
    </row>
    <row r="28" spans="1:56" x14ac:dyDescent="0.2">
      <c r="A28" s="1" t="s">
        <v>406</v>
      </c>
      <c r="B28" s="1" t="s">
        <v>130</v>
      </c>
      <c r="C28" s="1">
        <v>2005</v>
      </c>
      <c r="D28" s="5">
        <v>1</v>
      </c>
      <c r="E28" s="5">
        <v>0</v>
      </c>
      <c r="F28" s="5">
        <v>0</v>
      </c>
      <c r="G28" s="5"/>
      <c r="H28" s="18"/>
      <c r="I28" s="18"/>
      <c r="J28" s="18">
        <v>685</v>
      </c>
      <c r="K28" s="18"/>
      <c r="L28" s="18"/>
      <c r="M28" s="18"/>
      <c r="N28" s="84">
        <f>Tabelle5[[#This Row],[Potenzial pos. max MW]]</f>
        <v>685</v>
      </c>
      <c r="O28" s="18">
        <v>0</v>
      </c>
      <c r="P28" s="8"/>
      <c r="Q28" s="8">
        <v>0.63</v>
      </c>
      <c r="R28" s="18"/>
      <c r="S28" s="18"/>
      <c r="T28" s="8"/>
      <c r="U28" s="18">
        <v>1094</v>
      </c>
      <c r="W28" s="1">
        <v>2</v>
      </c>
      <c r="AB28" s="1">
        <v>365</v>
      </c>
      <c r="AG28" s="1" t="s">
        <v>101</v>
      </c>
      <c r="AH28" s="1" t="s">
        <v>1088</v>
      </c>
      <c r="AI28" s="83" t="s">
        <v>1067</v>
      </c>
      <c r="AJ28" s="83" t="s">
        <v>1067</v>
      </c>
      <c r="AL28" s="12" t="s">
        <v>109</v>
      </c>
      <c r="AN28" s="12" t="s">
        <v>110</v>
      </c>
      <c r="AO28" s="12" t="s">
        <v>110</v>
      </c>
      <c r="AP28" s="12" t="s">
        <v>110</v>
      </c>
      <c r="AQ28" s="12" t="s">
        <v>110</v>
      </c>
      <c r="AR28" s="12" t="s">
        <v>110</v>
      </c>
      <c r="AS28" s="12"/>
      <c r="AT28" s="1">
        <v>79</v>
      </c>
      <c r="AX28" s="1">
        <v>79</v>
      </c>
      <c r="BC28" s="1">
        <v>73</v>
      </c>
    </row>
    <row r="29" spans="1:56" x14ac:dyDescent="0.2">
      <c r="A29" s="1" t="s">
        <v>406</v>
      </c>
      <c r="B29" s="1" t="s">
        <v>130</v>
      </c>
      <c r="C29" s="1">
        <v>2020</v>
      </c>
      <c r="D29" s="1">
        <v>1</v>
      </c>
      <c r="E29" s="1">
        <v>0</v>
      </c>
      <c r="F29" s="1">
        <v>0</v>
      </c>
      <c r="H29" s="18"/>
      <c r="I29" s="18"/>
      <c r="J29" s="18">
        <f>625/470*J28</f>
        <v>910.90425531914889</v>
      </c>
      <c r="K29" s="18"/>
      <c r="L29" s="18"/>
      <c r="M29" s="18"/>
      <c r="N29" s="84">
        <f>Tabelle5[[#This Row],[Potenzial pos. max MW]]</f>
        <v>910.90425531914889</v>
      </c>
      <c r="O29" s="18">
        <v>0</v>
      </c>
      <c r="P29" s="8"/>
      <c r="Q29" s="8">
        <v>0.63</v>
      </c>
      <c r="R29" s="18"/>
      <c r="S29" s="18"/>
      <c r="T29" s="8"/>
      <c r="U29" s="18">
        <f>625/470*U28</f>
        <v>1454.7872340425531</v>
      </c>
      <c r="W29" s="1">
        <v>2</v>
      </c>
      <c r="AB29" s="1">
        <v>365</v>
      </c>
      <c r="AG29" s="1" t="s">
        <v>111</v>
      </c>
      <c r="AH29" s="1" t="s">
        <v>1088</v>
      </c>
      <c r="AI29" s="83" t="s">
        <v>1067</v>
      </c>
      <c r="AJ29" s="83" t="s">
        <v>1067</v>
      </c>
      <c r="AL29" s="12" t="s">
        <v>109</v>
      </c>
      <c r="AN29" s="12" t="s">
        <v>110</v>
      </c>
      <c r="AO29" s="12" t="s">
        <v>110</v>
      </c>
      <c r="AP29" s="12" t="s">
        <v>110</v>
      </c>
      <c r="AQ29" s="12" t="s">
        <v>110</v>
      </c>
      <c r="AR29" s="12" t="s">
        <v>110</v>
      </c>
      <c r="AS29" s="12"/>
      <c r="AT29" s="1">
        <v>79</v>
      </c>
      <c r="AX29" s="1">
        <v>79</v>
      </c>
      <c r="BC29" s="1">
        <v>73</v>
      </c>
    </row>
    <row r="30" spans="1:56" x14ac:dyDescent="0.2">
      <c r="A30" s="1" t="s">
        <v>1087</v>
      </c>
      <c r="B30" s="1" t="s">
        <v>130</v>
      </c>
      <c r="C30" s="1">
        <v>2005</v>
      </c>
      <c r="D30" s="5">
        <v>1</v>
      </c>
      <c r="E30" s="5">
        <v>0</v>
      </c>
      <c r="F30" s="5">
        <v>0</v>
      </c>
      <c r="G30" s="5"/>
      <c r="H30" s="18"/>
      <c r="I30" s="18"/>
      <c r="J30" s="18">
        <v>200</v>
      </c>
      <c r="K30" s="18"/>
      <c r="L30" s="18"/>
      <c r="M30" s="18"/>
      <c r="N30" s="84">
        <f>Tabelle5[[#This Row],[Potenzial pos. max MW]]</f>
        <v>200</v>
      </c>
      <c r="O30" s="18">
        <v>0</v>
      </c>
      <c r="P30" s="8">
        <v>0</v>
      </c>
      <c r="Q30" s="8">
        <f>(1-Tabelle5[[#This Row],[Mindestauslastung]])</f>
        <v>1</v>
      </c>
      <c r="R30" s="18"/>
      <c r="S30" s="18"/>
      <c r="T30" s="8"/>
      <c r="U30" s="18">
        <v>200</v>
      </c>
      <c r="W30" s="1">
        <v>2</v>
      </c>
      <c r="AB30" s="1">
        <v>365</v>
      </c>
      <c r="AI30" s="83" t="s">
        <v>1067</v>
      </c>
      <c r="AJ30" s="83" t="s">
        <v>1067</v>
      </c>
      <c r="AL30" s="12" t="s">
        <v>112</v>
      </c>
      <c r="AN30" s="12" t="s">
        <v>113</v>
      </c>
      <c r="AO30" s="12" t="s">
        <v>113</v>
      </c>
      <c r="AP30" s="12" t="s">
        <v>113</v>
      </c>
      <c r="AQ30" s="12" t="s">
        <v>113</v>
      </c>
      <c r="AR30" s="12" t="s">
        <v>113</v>
      </c>
      <c r="AS30" s="12"/>
      <c r="AT30" s="1">
        <v>79</v>
      </c>
      <c r="AX30" s="1">
        <v>79</v>
      </c>
    </row>
    <row r="31" spans="1:56" x14ac:dyDescent="0.2">
      <c r="A31" s="1" t="s">
        <v>1087</v>
      </c>
      <c r="B31" s="1" t="s">
        <v>130</v>
      </c>
      <c r="C31" s="1">
        <v>2020</v>
      </c>
      <c r="D31" s="1">
        <v>1</v>
      </c>
      <c r="E31" s="1">
        <v>0</v>
      </c>
      <c r="F31" s="1">
        <v>0</v>
      </c>
      <c r="H31" s="18"/>
      <c r="I31" s="18"/>
      <c r="J31" s="18">
        <v>200</v>
      </c>
      <c r="K31" s="18"/>
      <c r="L31" s="18"/>
      <c r="M31" s="18"/>
      <c r="N31" s="84">
        <f>Tabelle5[[#This Row],[Potenzial pos. max MW]]</f>
        <v>200</v>
      </c>
      <c r="O31" s="18">
        <v>0</v>
      </c>
      <c r="P31" s="8">
        <v>0</v>
      </c>
      <c r="Q31" s="8">
        <f>(1-Tabelle5[[#This Row],[Mindestauslastung]])</f>
        <v>1</v>
      </c>
      <c r="R31" s="18"/>
      <c r="S31" s="18"/>
      <c r="T31" s="8"/>
      <c r="U31" s="18">
        <v>200</v>
      </c>
      <c r="W31" s="1">
        <v>2</v>
      </c>
      <c r="AB31" s="1">
        <v>365</v>
      </c>
      <c r="AI31" s="83" t="s">
        <v>1067</v>
      </c>
      <c r="AJ31" s="83" t="s">
        <v>1067</v>
      </c>
      <c r="AL31" s="12" t="s">
        <v>112</v>
      </c>
      <c r="AN31" s="12" t="s">
        <v>113</v>
      </c>
      <c r="AO31" s="12" t="s">
        <v>113</v>
      </c>
      <c r="AP31" s="12" t="s">
        <v>113</v>
      </c>
      <c r="AQ31" s="12" t="s">
        <v>113</v>
      </c>
      <c r="AR31" s="12" t="s">
        <v>113</v>
      </c>
      <c r="AS31" s="12"/>
      <c r="AT31" s="1">
        <v>79</v>
      </c>
      <c r="AX31" s="1">
        <v>79</v>
      </c>
    </row>
    <row r="32" spans="1:56" x14ac:dyDescent="0.2">
      <c r="A32" s="1" t="s">
        <v>102</v>
      </c>
      <c r="B32" s="1" t="s">
        <v>130</v>
      </c>
      <c r="C32" s="1">
        <v>2005</v>
      </c>
      <c r="D32" s="5">
        <v>1</v>
      </c>
      <c r="E32" s="5">
        <v>0</v>
      </c>
      <c r="F32" s="5">
        <v>0</v>
      </c>
      <c r="G32" s="5"/>
      <c r="H32" s="18"/>
      <c r="I32" s="18"/>
      <c r="J32" s="18">
        <v>280</v>
      </c>
      <c r="K32" s="18"/>
      <c r="L32" s="18"/>
      <c r="M32" s="18"/>
      <c r="N32" s="84">
        <f>Tabelle5[[#This Row],[Potenzial pos. max MW]]</f>
        <v>280</v>
      </c>
      <c r="O32" s="18">
        <f>Tabelle5[[#This Row],[Mindestauslastung]]*Tabelle5[[#This Row],[Maximalleistung MW]]</f>
        <v>0</v>
      </c>
      <c r="P32" s="8">
        <v>0.5</v>
      </c>
      <c r="Q32" s="8">
        <v>0.5</v>
      </c>
      <c r="R32" s="18"/>
      <c r="S32" s="18"/>
      <c r="T32" s="8"/>
      <c r="U32" s="18"/>
      <c r="W32" s="1">
        <v>1</v>
      </c>
      <c r="AB32" s="1">
        <v>365</v>
      </c>
      <c r="AI32" s="83" t="s">
        <v>1067</v>
      </c>
      <c r="AJ32" s="83" t="s">
        <v>1067</v>
      </c>
      <c r="AL32" s="12">
        <v>79</v>
      </c>
      <c r="AN32" s="12" t="s">
        <v>114</v>
      </c>
      <c r="AO32" s="12" t="s">
        <v>114</v>
      </c>
      <c r="AP32" s="12" t="s">
        <v>114</v>
      </c>
      <c r="AQ32" s="12" t="s">
        <v>114</v>
      </c>
      <c r="AR32" s="12" t="s">
        <v>114</v>
      </c>
      <c r="AS32" s="12"/>
      <c r="AT32" s="1">
        <v>79</v>
      </c>
      <c r="AX32" s="1">
        <v>79</v>
      </c>
      <c r="BD32" s="1" t="s">
        <v>115</v>
      </c>
    </row>
    <row r="33" spans="1:56" x14ac:dyDescent="0.2">
      <c r="A33" s="1" t="s">
        <v>102</v>
      </c>
      <c r="B33" s="1" t="s">
        <v>130</v>
      </c>
      <c r="C33" s="1">
        <v>2020</v>
      </c>
      <c r="D33" s="1">
        <v>1</v>
      </c>
      <c r="E33" s="1">
        <v>0</v>
      </c>
      <c r="F33" s="1">
        <v>0</v>
      </c>
      <c r="H33" s="18"/>
      <c r="I33" s="18"/>
      <c r="J33" s="18">
        <v>280</v>
      </c>
      <c r="K33" s="18"/>
      <c r="L33" s="18"/>
      <c r="M33" s="18"/>
      <c r="N33" s="84">
        <f>Tabelle5[[#This Row],[Potenzial pos. max MW]]</f>
        <v>280</v>
      </c>
      <c r="O33" s="18">
        <f>Tabelle5[[#This Row],[Mindestauslastung]]*Tabelle5[[#This Row],[Maximalleistung MW]]</f>
        <v>0</v>
      </c>
      <c r="P33" s="8">
        <v>0.5</v>
      </c>
      <c r="Q33" s="8">
        <v>0.5</v>
      </c>
      <c r="R33" s="18"/>
      <c r="S33" s="18"/>
      <c r="T33" s="8"/>
      <c r="U33" s="18"/>
      <c r="W33" s="1">
        <v>1</v>
      </c>
      <c r="AB33" s="1">
        <v>365</v>
      </c>
      <c r="AI33" s="83" t="s">
        <v>1067</v>
      </c>
      <c r="AJ33" s="83" t="s">
        <v>1067</v>
      </c>
      <c r="AL33" s="12">
        <v>79</v>
      </c>
      <c r="AN33" s="12" t="s">
        <v>114</v>
      </c>
      <c r="AO33" s="12" t="s">
        <v>114</v>
      </c>
      <c r="AP33" s="12" t="s">
        <v>114</v>
      </c>
      <c r="AQ33" s="12" t="s">
        <v>114</v>
      </c>
      <c r="AR33" s="12" t="s">
        <v>114</v>
      </c>
      <c r="AS33" s="12"/>
      <c r="AT33" s="1">
        <v>79</v>
      </c>
      <c r="AX33" s="1">
        <v>79</v>
      </c>
      <c r="BD33" s="1" t="s">
        <v>115</v>
      </c>
    </row>
    <row r="34" spans="1:56" x14ac:dyDescent="0.2">
      <c r="A34" s="1" t="s">
        <v>103</v>
      </c>
      <c r="B34" s="1" t="s">
        <v>130</v>
      </c>
      <c r="C34" s="1">
        <v>2005</v>
      </c>
      <c r="D34" s="5">
        <v>1</v>
      </c>
      <c r="E34" s="5">
        <v>0</v>
      </c>
      <c r="F34" s="5">
        <v>0</v>
      </c>
      <c r="G34" s="5"/>
      <c r="H34" s="18"/>
      <c r="I34" s="18"/>
      <c r="J34" s="18">
        <v>1750</v>
      </c>
      <c r="K34" s="18"/>
      <c r="L34" s="18"/>
      <c r="M34" s="18"/>
      <c r="N34" s="84">
        <f>Tabelle5[[#This Row],[Potenzial pos. max MW]]</f>
        <v>1750</v>
      </c>
      <c r="O34" s="18">
        <f>Tabelle5[[#This Row],[Mindestauslastung]]*Tabelle5[[#This Row],[Maximalleistung MW]]</f>
        <v>0</v>
      </c>
      <c r="P34" s="8">
        <v>0.25</v>
      </c>
      <c r="Q34" s="8">
        <v>0.75</v>
      </c>
      <c r="R34" s="18"/>
      <c r="S34" s="18"/>
      <c r="T34" s="8"/>
      <c r="U34" s="18">
        <v>2340</v>
      </c>
      <c r="W34" s="1">
        <v>1</v>
      </c>
      <c r="AB34" s="1">
        <v>30</v>
      </c>
      <c r="AI34" s="83" t="s">
        <v>1067</v>
      </c>
      <c r="AJ34" s="83" t="s">
        <v>1067</v>
      </c>
      <c r="AL34" s="12" t="s">
        <v>119</v>
      </c>
      <c r="AN34" s="12" t="s">
        <v>119</v>
      </c>
      <c r="AO34" s="12" t="s">
        <v>120</v>
      </c>
      <c r="AP34" s="12" t="s">
        <v>120</v>
      </c>
      <c r="AQ34" s="12" t="s">
        <v>120</v>
      </c>
      <c r="AR34" s="12" t="s">
        <v>120</v>
      </c>
      <c r="AS34" s="12"/>
      <c r="AT34" s="1">
        <v>79</v>
      </c>
      <c r="AX34" s="1">
        <v>79</v>
      </c>
    </row>
    <row r="35" spans="1:56" x14ac:dyDescent="0.2">
      <c r="A35" s="1" t="s">
        <v>103</v>
      </c>
      <c r="B35" s="1" t="s">
        <v>130</v>
      </c>
      <c r="C35" s="1">
        <v>2020</v>
      </c>
      <c r="D35" s="1">
        <v>1</v>
      </c>
      <c r="E35" s="1">
        <v>0</v>
      </c>
      <c r="F35" s="1">
        <v>0</v>
      </c>
      <c r="H35" s="18"/>
      <c r="I35" s="18"/>
      <c r="J35" s="18">
        <f>Tabelle5[[#This Row],[installierte Leistung MW]]/U34*J34</f>
        <v>3657.0512820512822</v>
      </c>
      <c r="K35" s="18"/>
      <c r="L35" s="18"/>
      <c r="M35" s="18"/>
      <c r="N35" s="84">
        <f>Tabelle5[[#This Row],[Potenzial pos. max MW]]</f>
        <v>3657.0512820512822</v>
      </c>
      <c r="O35" s="18">
        <f>Tabelle5[[#This Row],[Mindestauslastung]]*Tabelle5[[#This Row],[Maximalleistung MW]]</f>
        <v>0</v>
      </c>
      <c r="P35" s="8">
        <v>0.25</v>
      </c>
      <c r="Q35" s="8">
        <v>0.75</v>
      </c>
      <c r="R35" s="18"/>
      <c r="S35" s="18"/>
      <c r="T35" s="8"/>
      <c r="U35" s="18">
        <f>U34+(2020-2005)*(6590-U34)/(2030-2005)</f>
        <v>4890</v>
      </c>
      <c r="W35" s="1">
        <v>1</v>
      </c>
      <c r="AB35" s="1">
        <v>30</v>
      </c>
      <c r="AG35" s="1" t="s">
        <v>124</v>
      </c>
      <c r="AI35" s="83" t="s">
        <v>1067</v>
      </c>
      <c r="AJ35" s="83" t="s">
        <v>1067</v>
      </c>
      <c r="AL35" s="12" t="s">
        <v>118</v>
      </c>
      <c r="AN35" s="12" t="s">
        <v>118</v>
      </c>
      <c r="AO35" s="12" t="s">
        <v>118</v>
      </c>
      <c r="AP35" s="12" t="s">
        <v>118</v>
      </c>
      <c r="AQ35" s="12" t="s">
        <v>118</v>
      </c>
      <c r="AR35" s="12" t="s">
        <v>118</v>
      </c>
      <c r="AS35" s="12"/>
      <c r="AT35" s="1">
        <v>79</v>
      </c>
      <c r="AX35" s="1">
        <v>79</v>
      </c>
      <c r="BD35" s="1" t="s">
        <v>118</v>
      </c>
    </row>
    <row r="36" spans="1:56" x14ac:dyDescent="0.2">
      <c r="A36" s="1" t="s">
        <v>104</v>
      </c>
      <c r="B36" s="1" t="s">
        <v>130</v>
      </c>
      <c r="C36" s="1">
        <v>2005</v>
      </c>
      <c r="D36" s="5">
        <v>1</v>
      </c>
      <c r="E36" s="5">
        <v>0</v>
      </c>
      <c r="F36" s="5">
        <v>0</v>
      </c>
      <c r="G36" s="5"/>
      <c r="H36" s="18"/>
      <c r="I36" s="18"/>
      <c r="J36" s="18">
        <v>2800</v>
      </c>
      <c r="K36" s="18"/>
      <c r="L36" s="18"/>
      <c r="M36" s="18"/>
      <c r="N36" s="84">
        <f>Tabelle5[[#This Row],[Potenzial pos. max MW]]</f>
        <v>2800</v>
      </c>
      <c r="O36" s="18">
        <f>Tabelle5[[#This Row],[Mindestauslastung]]*Tabelle5[[#This Row],[Maximalleistung MW]]</f>
        <v>0</v>
      </c>
      <c r="P36" s="8">
        <v>0.25</v>
      </c>
      <c r="Q36" s="8">
        <v>0.75</v>
      </c>
      <c r="R36" s="18"/>
      <c r="S36" s="18"/>
      <c r="T36" s="8"/>
      <c r="U36" s="18">
        <v>3740</v>
      </c>
      <c r="W36" s="1">
        <v>1</v>
      </c>
      <c r="AB36" s="1">
        <v>30</v>
      </c>
      <c r="AI36" s="83" t="s">
        <v>1067</v>
      </c>
      <c r="AJ36" s="83" t="s">
        <v>1067</v>
      </c>
      <c r="AL36" s="12" t="s">
        <v>119</v>
      </c>
      <c r="AN36" s="12" t="s">
        <v>119</v>
      </c>
      <c r="AO36" s="12" t="s">
        <v>120</v>
      </c>
      <c r="AP36" s="12" t="s">
        <v>120</v>
      </c>
      <c r="AQ36" s="12" t="s">
        <v>120</v>
      </c>
      <c r="AR36" s="12" t="s">
        <v>120</v>
      </c>
      <c r="AS36" s="12"/>
      <c r="AT36" s="1">
        <v>79</v>
      </c>
      <c r="AX36" s="1">
        <v>79</v>
      </c>
    </row>
    <row r="37" spans="1:56" x14ac:dyDescent="0.2">
      <c r="A37" s="1" t="s">
        <v>104</v>
      </c>
      <c r="B37" s="1" t="s">
        <v>130</v>
      </c>
      <c r="C37" s="1">
        <v>2020</v>
      </c>
      <c r="D37" s="1">
        <v>1</v>
      </c>
      <c r="E37" s="1">
        <v>0</v>
      </c>
      <c r="F37" s="1">
        <v>0</v>
      </c>
      <c r="H37" s="18"/>
      <c r="I37" s="18"/>
      <c r="J37" s="18">
        <f>Tabelle5[[#This Row],[installierte Leistung MW]]/U36*J36</f>
        <v>4156.5775401069513</v>
      </c>
      <c r="K37" s="18"/>
      <c r="L37" s="18"/>
      <c r="M37" s="18"/>
      <c r="N37" s="84">
        <f>Tabelle5[[#This Row],[Potenzial pos. max MW]]</f>
        <v>4156.5775401069513</v>
      </c>
      <c r="O37" s="18">
        <f>Tabelle5[[#This Row],[Mindestauslastung]]*Tabelle5[[#This Row],[Maximalleistung MW]]</f>
        <v>0</v>
      </c>
      <c r="P37" s="8">
        <v>0.25</v>
      </c>
      <c r="Q37" s="8">
        <v>0.75</v>
      </c>
      <c r="R37" s="18"/>
      <c r="S37" s="18"/>
      <c r="T37" s="8"/>
      <c r="U37" s="18">
        <f>U36+(2020-2005)*(6760-U36)/(2030-2005)</f>
        <v>5552</v>
      </c>
      <c r="W37" s="1">
        <v>1</v>
      </c>
      <c r="AB37" s="1">
        <v>30</v>
      </c>
      <c r="AG37" s="1" t="s">
        <v>124</v>
      </c>
      <c r="AI37" s="83" t="s">
        <v>1067</v>
      </c>
      <c r="AJ37" s="83" t="s">
        <v>1067</v>
      </c>
      <c r="AL37" s="12" t="s">
        <v>118</v>
      </c>
      <c r="AN37" s="12" t="s">
        <v>118</v>
      </c>
      <c r="AO37" s="12" t="s">
        <v>118</v>
      </c>
      <c r="AP37" s="12" t="s">
        <v>118</v>
      </c>
      <c r="AQ37" s="12" t="s">
        <v>118</v>
      </c>
      <c r="AR37" s="12" t="s">
        <v>118</v>
      </c>
      <c r="AS37" s="12"/>
      <c r="AT37" s="1">
        <v>79</v>
      </c>
      <c r="AX37" s="1">
        <v>79</v>
      </c>
      <c r="BD37" s="1" t="s">
        <v>118</v>
      </c>
    </row>
    <row r="38" spans="1:56" x14ac:dyDescent="0.2">
      <c r="A38" s="1" t="s">
        <v>105</v>
      </c>
      <c r="B38" s="1" t="s">
        <v>130</v>
      </c>
      <c r="C38" s="1">
        <v>2005</v>
      </c>
      <c r="D38" s="5">
        <v>1</v>
      </c>
      <c r="E38" s="5">
        <v>0</v>
      </c>
      <c r="F38" s="5">
        <v>0</v>
      </c>
      <c r="G38" s="5"/>
      <c r="H38" s="18"/>
      <c r="I38" s="18"/>
      <c r="J38" s="18">
        <v>420</v>
      </c>
      <c r="K38" s="18"/>
      <c r="L38" s="18"/>
      <c r="M38" s="18"/>
      <c r="N38" s="84">
        <f>Tabelle5[[#This Row],[Potenzial pos. max MW]]</f>
        <v>420</v>
      </c>
      <c r="O38" s="18">
        <f>Tabelle5[[#This Row],[Mindestauslastung]]*Tabelle5[[#This Row],[Maximalleistung MW]]</f>
        <v>0</v>
      </c>
      <c r="P38" s="8">
        <v>0.25</v>
      </c>
      <c r="Q38" s="8">
        <v>0.75</v>
      </c>
      <c r="R38" s="18"/>
      <c r="S38" s="18"/>
      <c r="T38" s="8"/>
      <c r="U38" s="18">
        <f>Tabelle5[[#This Row],[Potenzial pos. max MW]]/Tabelle5[[#This Row],[flexibilisierbarer Anteil an installierter Leistung]]</f>
        <v>560</v>
      </c>
      <c r="W38" s="1">
        <v>1</v>
      </c>
      <c r="AB38" s="1">
        <v>30</v>
      </c>
      <c r="AI38" s="83" t="s">
        <v>1067</v>
      </c>
      <c r="AJ38" s="83" t="s">
        <v>1067</v>
      </c>
      <c r="AL38" s="12" t="s">
        <v>119</v>
      </c>
      <c r="AN38" s="12" t="s">
        <v>119</v>
      </c>
      <c r="AO38" s="12" t="s">
        <v>120</v>
      </c>
      <c r="AP38" s="12" t="s">
        <v>120</v>
      </c>
      <c r="AQ38" s="12" t="s">
        <v>120</v>
      </c>
      <c r="AR38" s="12" t="s">
        <v>120</v>
      </c>
      <c r="AS38" s="12"/>
      <c r="AT38" s="1">
        <v>79</v>
      </c>
      <c r="AX38" s="1">
        <v>79</v>
      </c>
    </row>
    <row r="39" spans="1:56" x14ac:dyDescent="0.2">
      <c r="A39" s="1" t="s">
        <v>105</v>
      </c>
      <c r="B39" s="1" t="s">
        <v>130</v>
      </c>
      <c r="C39" s="1">
        <v>2020</v>
      </c>
      <c r="D39" s="1">
        <v>1</v>
      </c>
      <c r="E39" s="1">
        <v>0</v>
      </c>
      <c r="F39" s="1">
        <v>0</v>
      </c>
      <c r="H39" s="18"/>
      <c r="I39" s="18"/>
      <c r="J39" s="18">
        <f>Tabelle5[[#This Row],[installierte Leistung MW]]/U38*J38</f>
        <v>870.00000000000011</v>
      </c>
      <c r="K39" s="18"/>
      <c r="L39" s="18"/>
      <c r="M39" s="18"/>
      <c r="N39" s="84">
        <f>Tabelle5[[#This Row],[Potenzial pos. max MW]]</f>
        <v>870.00000000000011</v>
      </c>
      <c r="O39" s="18">
        <f>Tabelle5[[#This Row],[Mindestauslastung]]*Tabelle5[[#This Row],[Maximalleistung MW]]</f>
        <v>0</v>
      </c>
      <c r="P39" s="8">
        <v>0.25</v>
      </c>
      <c r="Q39" s="8">
        <v>0.75</v>
      </c>
      <c r="R39" s="18"/>
      <c r="S39" s="18"/>
      <c r="T39" s="8"/>
      <c r="U39" s="18">
        <f>U38+(2020-2005)*(1560-U38)/(2030-2005)</f>
        <v>1160</v>
      </c>
      <c r="W39" s="1">
        <v>1</v>
      </c>
      <c r="AB39" s="1">
        <v>30</v>
      </c>
      <c r="AG39" s="1" t="s">
        <v>124</v>
      </c>
      <c r="AI39" s="83" t="s">
        <v>1067</v>
      </c>
      <c r="AJ39" s="83" t="s">
        <v>1067</v>
      </c>
      <c r="AL39" s="12" t="s">
        <v>118</v>
      </c>
      <c r="AN39" s="12" t="s">
        <v>118</v>
      </c>
      <c r="AO39" s="12" t="s">
        <v>118</v>
      </c>
      <c r="AP39" s="12" t="s">
        <v>118</v>
      </c>
      <c r="AQ39" s="12" t="s">
        <v>118</v>
      </c>
      <c r="AR39" s="12" t="s">
        <v>118</v>
      </c>
      <c r="AS39" s="12"/>
      <c r="AT39" s="1">
        <v>79</v>
      </c>
      <c r="AX39" s="1">
        <v>79</v>
      </c>
      <c r="BD39" s="1" t="s">
        <v>118</v>
      </c>
    </row>
    <row r="40" spans="1:56" x14ac:dyDescent="0.2">
      <c r="A40" s="1" t="s">
        <v>106</v>
      </c>
      <c r="B40" s="1" t="s">
        <v>130</v>
      </c>
      <c r="C40" s="1">
        <v>2005</v>
      </c>
      <c r="D40" s="5">
        <v>1</v>
      </c>
      <c r="E40" s="5">
        <v>0</v>
      </c>
      <c r="F40" s="5">
        <v>0</v>
      </c>
      <c r="G40" s="5"/>
      <c r="H40" s="18"/>
      <c r="I40" s="18"/>
      <c r="J40" s="18">
        <v>340</v>
      </c>
      <c r="K40" s="18"/>
      <c r="L40" s="18"/>
      <c r="M40" s="18"/>
      <c r="N40" s="84">
        <f>Tabelle5[[#This Row],[Potenzial pos. max MW]]</f>
        <v>340</v>
      </c>
      <c r="O40" s="18">
        <f>Tabelle5[[#This Row],[Mindestauslastung]]*Tabelle5[[#This Row],[Maximalleistung MW]]</f>
        <v>0</v>
      </c>
      <c r="P40" s="8">
        <v>0.25</v>
      </c>
      <c r="Q40" s="8">
        <v>0.75</v>
      </c>
      <c r="R40" s="18"/>
      <c r="S40" s="18"/>
      <c r="T40" s="8"/>
      <c r="U40" s="18">
        <v>450</v>
      </c>
      <c r="W40" s="1">
        <v>1</v>
      </c>
      <c r="AB40" s="1">
        <v>30</v>
      </c>
      <c r="AI40" s="83" t="s">
        <v>1067</v>
      </c>
      <c r="AJ40" s="83" t="s">
        <v>1067</v>
      </c>
      <c r="AL40" s="12" t="s">
        <v>119</v>
      </c>
      <c r="AN40" s="12" t="s">
        <v>119</v>
      </c>
      <c r="AO40" s="12" t="s">
        <v>120</v>
      </c>
      <c r="AP40" s="12" t="s">
        <v>120</v>
      </c>
      <c r="AQ40" s="12" t="s">
        <v>120</v>
      </c>
      <c r="AR40" s="12" t="s">
        <v>120</v>
      </c>
      <c r="AS40" s="12"/>
      <c r="AT40" s="1">
        <v>79</v>
      </c>
      <c r="AX40" s="1">
        <v>79</v>
      </c>
    </row>
    <row r="41" spans="1:56" x14ac:dyDescent="0.2">
      <c r="A41" s="1" t="s">
        <v>106</v>
      </c>
      <c r="B41" s="1" t="s">
        <v>130</v>
      </c>
      <c r="C41" s="1">
        <v>2020</v>
      </c>
      <c r="D41" s="1">
        <v>1</v>
      </c>
      <c r="E41" s="1">
        <v>0</v>
      </c>
      <c r="F41" s="1">
        <v>0</v>
      </c>
      <c r="H41" s="18"/>
      <c r="I41" s="18"/>
      <c r="J41" s="18">
        <f>Tabelle5[[#This Row],[installierte Leistung MW]]/U40*J40</f>
        <v>648.26666666666665</v>
      </c>
      <c r="K41" s="18"/>
      <c r="L41" s="18"/>
      <c r="M41" s="18"/>
      <c r="N41" s="84">
        <f>Tabelle5[[#This Row],[Potenzial pos. max MW]]</f>
        <v>648.26666666666665</v>
      </c>
      <c r="O41" s="18">
        <f>Tabelle5[[#This Row],[Mindestauslastung]]*Tabelle5[[#This Row],[Maximalleistung MW]]</f>
        <v>0</v>
      </c>
      <c r="P41" s="8">
        <v>0.25</v>
      </c>
      <c r="Q41" s="8">
        <v>0.75</v>
      </c>
      <c r="R41" s="18"/>
      <c r="S41" s="18"/>
      <c r="T41" s="8"/>
      <c r="U41" s="18">
        <f>U40+(2020-2005)*(1130-U40)/(2030-2005)</f>
        <v>858</v>
      </c>
      <c r="W41" s="1">
        <v>1</v>
      </c>
      <c r="AB41" s="1">
        <v>30</v>
      </c>
      <c r="AG41" s="1" t="s">
        <v>124</v>
      </c>
      <c r="AI41" s="83" t="s">
        <v>1067</v>
      </c>
      <c r="AJ41" s="83" t="s">
        <v>1067</v>
      </c>
      <c r="AL41" s="12" t="s">
        <v>118</v>
      </c>
      <c r="AN41" s="12" t="s">
        <v>118</v>
      </c>
      <c r="AO41" s="12" t="s">
        <v>118</v>
      </c>
      <c r="AP41" s="12" t="s">
        <v>118</v>
      </c>
      <c r="AQ41" s="12" t="s">
        <v>118</v>
      </c>
      <c r="AR41" s="12" t="s">
        <v>118</v>
      </c>
      <c r="AS41" s="12"/>
      <c r="AT41" s="1">
        <v>79</v>
      </c>
      <c r="AX41" s="1">
        <v>79</v>
      </c>
      <c r="BD41" s="1" t="s">
        <v>118</v>
      </c>
    </row>
    <row r="42" spans="1:56" x14ac:dyDescent="0.2">
      <c r="A42" s="1" t="s">
        <v>211</v>
      </c>
      <c r="B42" s="1" t="s">
        <v>130</v>
      </c>
      <c r="C42" s="1">
        <v>2005</v>
      </c>
      <c r="D42" s="5">
        <v>1</v>
      </c>
      <c r="E42" s="5">
        <v>0</v>
      </c>
      <c r="F42" s="5">
        <v>0</v>
      </c>
      <c r="G42" s="5"/>
      <c r="H42" s="18"/>
      <c r="I42" s="18"/>
      <c r="J42" s="18">
        <v>900</v>
      </c>
      <c r="K42" s="18"/>
      <c r="L42" s="18"/>
      <c r="M42" s="18"/>
      <c r="N42" s="84">
        <f>Tabelle5[[#This Row],[Potenzial pos. max MW]]</f>
        <v>900</v>
      </c>
      <c r="O42" s="18">
        <f>Tabelle5[[#This Row],[Mindestauslastung]]*Tabelle5[[#This Row],[Maximalleistung MW]]</f>
        <v>0</v>
      </c>
      <c r="P42" s="8"/>
      <c r="Q42" s="8">
        <v>0.5</v>
      </c>
      <c r="R42" s="18">
        <f>(1500+1800)/2</f>
        <v>1650</v>
      </c>
      <c r="S42" s="18"/>
      <c r="T42" s="8"/>
      <c r="U42" s="18"/>
      <c r="W42" s="1">
        <v>1</v>
      </c>
      <c r="AB42" s="1">
        <v>365</v>
      </c>
      <c r="AI42" s="83" t="s">
        <v>1067</v>
      </c>
      <c r="AJ42" s="83" t="s">
        <v>1067</v>
      </c>
      <c r="AL42" s="12" t="s">
        <v>121</v>
      </c>
      <c r="AN42" s="12" t="s">
        <v>122</v>
      </c>
      <c r="AO42" s="12" t="s">
        <v>122</v>
      </c>
      <c r="AP42" s="12" t="s">
        <v>122</v>
      </c>
      <c r="AQ42" s="12" t="s">
        <v>122</v>
      </c>
      <c r="AR42" s="12" t="s">
        <v>122</v>
      </c>
      <c r="AS42" s="12"/>
      <c r="AT42" s="1">
        <v>79</v>
      </c>
      <c r="AX42" s="1">
        <v>79</v>
      </c>
    </row>
    <row r="43" spans="1:56" x14ac:dyDescent="0.2">
      <c r="A43" s="1" t="s">
        <v>211</v>
      </c>
      <c r="B43" s="1" t="s">
        <v>130</v>
      </c>
      <c r="C43" s="1">
        <v>2020</v>
      </c>
      <c r="D43" s="1">
        <v>1</v>
      </c>
      <c r="E43" s="1">
        <v>0</v>
      </c>
      <c r="F43" s="1">
        <v>0</v>
      </c>
      <c r="H43" s="18"/>
      <c r="I43" s="18"/>
      <c r="J43" s="18">
        <v>900</v>
      </c>
      <c r="K43" s="18"/>
      <c r="L43" s="18"/>
      <c r="M43" s="18"/>
      <c r="N43" s="84">
        <f>Tabelle5[[#This Row],[Potenzial pos. max MW]]</f>
        <v>900</v>
      </c>
      <c r="O43" s="18">
        <f>Tabelle5[[#This Row],[Mindestauslastung]]*Tabelle5[[#This Row],[Maximalleistung MW]]</f>
        <v>0</v>
      </c>
      <c r="P43" s="8"/>
      <c r="Q43" s="8">
        <v>0.5</v>
      </c>
      <c r="R43" s="18">
        <f>(1500+1800)/2</f>
        <v>1650</v>
      </c>
      <c r="S43" s="18"/>
      <c r="T43" s="8"/>
      <c r="U43" s="18"/>
      <c r="W43" s="1">
        <v>1</v>
      </c>
      <c r="AB43" s="1">
        <v>365</v>
      </c>
      <c r="AI43" s="83" t="s">
        <v>1067</v>
      </c>
      <c r="AJ43" s="83" t="s">
        <v>1067</v>
      </c>
      <c r="AL43" s="12" t="s">
        <v>121</v>
      </c>
      <c r="AN43" s="12" t="s">
        <v>122</v>
      </c>
      <c r="AO43" s="12" t="s">
        <v>122</v>
      </c>
      <c r="AP43" s="12" t="s">
        <v>122</v>
      </c>
      <c r="AQ43" s="12" t="s">
        <v>122</v>
      </c>
      <c r="AR43" s="12" t="s">
        <v>122</v>
      </c>
      <c r="AS43" s="12"/>
      <c r="AT43" s="1">
        <v>79</v>
      </c>
      <c r="AX43" s="1">
        <v>79</v>
      </c>
    </row>
    <row r="44" spans="1:56" x14ac:dyDescent="0.2">
      <c r="A44" s="1" t="s">
        <v>139</v>
      </c>
      <c r="B44" s="1" t="s">
        <v>130</v>
      </c>
      <c r="C44" s="1">
        <v>2005</v>
      </c>
      <c r="D44" s="5">
        <v>1</v>
      </c>
      <c r="E44" s="5">
        <v>0</v>
      </c>
      <c r="F44" s="5">
        <v>0</v>
      </c>
      <c r="G44" s="5"/>
      <c r="H44" s="18"/>
      <c r="I44" s="18"/>
      <c r="J44" s="18">
        <v>465</v>
      </c>
      <c r="K44" s="18"/>
      <c r="L44" s="18"/>
      <c r="M44" s="18"/>
      <c r="N44" s="84">
        <f>Tabelle5[[#This Row],[Potenzial pos. max MW]]</f>
        <v>465</v>
      </c>
      <c r="O44" s="18">
        <f>Tabelle5[[#This Row],[Mindestauslastung]]*Tabelle5[[#This Row],[Maximalleistung MW]]</f>
        <v>0</v>
      </c>
      <c r="P44" s="8"/>
      <c r="Q44" s="8">
        <v>0.25</v>
      </c>
      <c r="R44" s="18">
        <v>1900</v>
      </c>
      <c r="S44" s="18"/>
      <c r="T44" s="8"/>
      <c r="U44" s="18"/>
      <c r="W44" s="1">
        <v>12</v>
      </c>
      <c r="Y44" s="1">
        <v>8</v>
      </c>
      <c r="AB44" s="1">
        <v>365</v>
      </c>
      <c r="AI44" s="83" t="s">
        <v>1067</v>
      </c>
      <c r="AJ44" s="83" t="s">
        <v>1067</v>
      </c>
      <c r="AL44" s="12" t="s">
        <v>125</v>
      </c>
      <c r="AN44" s="12" t="s">
        <v>126</v>
      </c>
      <c r="AO44" s="12" t="s">
        <v>126</v>
      </c>
      <c r="AP44" s="12" t="s">
        <v>126</v>
      </c>
      <c r="AQ44" s="12" t="s">
        <v>126</v>
      </c>
      <c r="AR44" s="12" t="s">
        <v>126</v>
      </c>
      <c r="AS44" s="12"/>
      <c r="AT44" s="1">
        <v>79</v>
      </c>
      <c r="AV44" s="1">
        <v>78</v>
      </c>
      <c r="AX44" s="1">
        <v>79</v>
      </c>
    </row>
    <row r="45" spans="1:56" x14ac:dyDescent="0.2">
      <c r="A45" s="1" t="s">
        <v>139</v>
      </c>
      <c r="B45" s="1" t="s">
        <v>130</v>
      </c>
      <c r="C45" s="1">
        <v>2020</v>
      </c>
      <c r="D45" s="1">
        <v>1</v>
      </c>
      <c r="E45" s="1">
        <v>0</v>
      </c>
      <c r="F45" s="1">
        <v>0</v>
      </c>
      <c r="H45" s="18"/>
      <c r="I45" s="18"/>
      <c r="J45" s="18">
        <v>465</v>
      </c>
      <c r="K45" s="18"/>
      <c r="L45" s="18"/>
      <c r="M45" s="18"/>
      <c r="N45" s="84">
        <f>Tabelle5[[#This Row],[Potenzial pos. max MW]]</f>
        <v>465</v>
      </c>
      <c r="O45" s="18">
        <f>Tabelle5[[#This Row],[Mindestauslastung]]*Tabelle5[[#This Row],[Maximalleistung MW]]</f>
        <v>0</v>
      </c>
      <c r="P45" s="8"/>
      <c r="Q45" s="8">
        <v>0.25</v>
      </c>
      <c r="R45" s="18">
        <v>1900</v>
      </c>
      <c r="S45" s="18"/>
      <c r="T45" s="8"/>
      <c r="U45" s="18"/>
      <c r="W45" s="1">
        <v>12</v>
      </c>
      <c r="Y45" s="1">
        <v>8</v>
      </c>
      <c r="AB45" s="1">
        <v>365</v>
      </c>
      <c r="AI45" s="83" t="s">
        <v>1067</v>
      </c>
      <c r="AJ45" s="83" t="s">
        <v>1067</v>
      </c>
      <c r="AL45" s="12" t="s">
        <v>125</v>
      </c>
      <c r="AN45" s="12" t="s">
        <v>126</v>
      </c>
      <c r="AO45" s="12" t="s">
        <v>126</v>
      </c>
      <c r="AP45" s="12" t="s">
        <v>126</v>
      </c>
      <c r="AQ45" s="12" t="s">
        <v>126</v>
      </c>
      <c r="AR45" s="12" t="s">
        <v>126</v>
      </c>
      <c r="AS45" s="12"/>
      <c r="AT45" s="1">
        <v>79</v>
      </c>
      <c r="AV45" s="1">
        <v>78</v>
      </c>
      <c r="AX45" s="1">
        <v>79</v>
      </c>
    </row>
    <row r="46" spans="1:56" x14ac:dyDescent="0.2">
      <c r="A46" s="1" t="s">
        <v>140</v>
      </c>
      <c r="B46" s="1" t="s">
        <v>130</v>
      </c>
      <c r="C46" s="1">
        <v>2005</v>
      </c>
      <c r="D46" s="5">
        <v>1</v>
      </c>
      <c r="E46" s="5">
        <v>0</v>
      </c>
      <c r="F46" s="5">
        <v>0</v>
      </c>
      <c r="G46" s="5"/>
      <c r="H46" s="18"/>
      <c r="I46" s="18"/>
      <c r="J46" s="18">
        <v>2080</v>
      </c>
      <c r="K46" s="18"/>
      <c r="L46" s="18"/>
      <c r="M46" s="18"/>
      <c r="N46" s="84">
        <f>Tabelle5[[#This Row],[Potenzial pos. max MW]]</f>
        <v>2080</v>
      </c>
      <c r="O46" s="18">
        <f>Tabelle5[[#This Row],[Mindestauslastung]]*Tabelle5[[#This Row],[Maximalleistung MW]]</f>
        <v>0</v>
      </c>
      <c r="P46" s="8"/>
      <c r="Q46" s="8">
        <v>1</v>
      </c>
      <c r="R46" s="18"/>
      <c r="S46" s="18">
        <f>Tabelle5[[#This Row],[Potenzial pos. max MW]]/Tabelle5[[#This Row],[flexibilisierbarer Anteil an installierter Leistung]]</f>
        <v>2080</v>
      </c>
      <c r="T46" s="8">
        <f>Tabelle5[[#This Row],[Maximalleistung MW]]/Tabelle5[[#This Row],[installierte Leistung MW]]</f>
        <v>0.69333333333333336</v>
      </c>
      <c r="U46" s="18">
        <v>3000</v>
      </c>
      <c r="W46" s="1">
        <v>16</v>
      </c>
      <c r="AB46" s="1">
        <v>90</v>
      </c>
      <c r="AI46" s="83" t="s">
        <v>1067</v>
      </c>
      <c r="AJ46" s="83" t="s">
        <v>1067</v>
      </c>
      <c r="AL46" s="12" t="s">
        <v>125</v>
      </c>
      <c r="AN46" s="12" t="s">
        <v>126</v>
      </c>
      <c r="AO46" s="12" t="s">
        <v>126</v>
      </c>
      <c r="AP46" s="12" t="s">
        <v>126</v>
      </c>
      <c r="AQ46" s="12" t="s">
        <v>126</v>
      </c>
      <c r="AR46" s="12" t="s">
        <v>126</v>
      </c>
      <c r="AS46" s="12"/>
      <c r="AT46" s="1">
        <v>79</v>
      </c>
      <c r="AX46" s="1">
        <v>79</v>
      </c>
    </row>
    <row r="47" spans="1:56" x14ac:dyDescent="0.2">
      <c r="A47" s="1" t="s">
        <v>140</v>
      </c>
      <c r="B47" s="1" t="s">
        <v>130</v>
      </c>
      <c r="C47" s="1">
        <v>2020</v>
      </c>
      <c r="D47" s="1">
        <v>1</v>
      </c>
      <c r="E47" s="1">
        <v>0</v>
      </c>
      <c r="F47" s="1">
        <v>0</v>
      </c>
      <c r="H47" s="18"/>
      <c r="I47" s="18"/>
      <c r="J47" s="18">
        <v>2080</v>
      </c>
      <c r="K47" s="18"/>
      <c r="L47" s="18"/>
      <c r="M47" s="18"/>
      <c r="N47" s="84">
        <f>Tabelle5[[#This Row],[Potenzial pos. max MW]]</f>
        <v>2080</v>
      </c>
      <c r="O47" s="18">
        <f>Tabelle5[[#This Row],[Mindestauslastung]]*Tabelle5[[#This Row],[Maximalleistung MW]]</f>
        <v>0</v>
      </c>
      <c r="P47" s="8"/>
      <c r="Q47" s="8">
        <v>1</v>
      </c>
      <c r="R47" s="18"/>
      <c r="S47" s="18">
        <f>Tabelle5[[#This Row],[Potenzial pos. max MW]]/Tabelle5[[#This Row],[flexibilisierbarer Anteil an installierter Leistung]]</f>
        <v>2080</v>
      </c>
      <c r="T47" s="8">
        <f>Tabelle5[[#This Row],[Maximalleistung MW]]/Tabelle5[[#This Row],[installierte Leistung MW]]</f>
        <v>0.69333333333333336</v>
      </c>
      <c r="U47" s="18">
        <v>3000</v>
      </c>
      <c r="W47" s="1">
        <v>16</v>
      </c>
      <c r="AB47" s="1">
        <v>90</v>
      </c>
      <c r="AI47" s="83" t="s">
        <v>1067</v>
      </c>
      <c r="AJ47" s="83" t="s">
        <v>1067</v>
      </c>
      <c r="AL47" s="12" t="s">
        <v>125</v>
      </c>
      <c r="AN47" s="12" t="s">
        <v>126</v>
      </c>
      <c r="AO47" s="12" t="s">
        <v>126</v>
      </c>
      <c r="AP47" s="12" t="s">
        <v>126</v>
      </c>
      <c r="AQ47" s="12" t="s">
        <v>126</v>
      </c>
      <c r="AR47" s="12" t="s">
        <v>126</v>
      </c>
      <c r="AS47" s="12"/>
      <c r="AT47" s="1">
        <v>79</v>
      </c>
      <c r="AX47" s="1">
        <v>79</v>
      </c>
    </row>
    <row r="48" spans="1:56" x14ac:dyDescent="0.2">
      <c r="A48" s="1" t="s">
        <v>127</v>
      </c>
      <c r="B48" s="1" t="s">
        <v>130</v>
      </c>
      <c r="C48" s="1">
        <v>2005</v>
      </c>
      <c r="D48" s="5">
        <v>1</v>
      </c>
      <c r="E48" s="5">
        <v>0</v>
      </c>
      <c r="F48" s="5">
        <v>0</v>
      </c>
      <c r="G48" s="5"/>
      <c r="H48" s="18"/>
      <c r="I48" s="18"/>
      <c r="J48" s="18">
        <v>400</v>
      </c>
      <c r="K48" s="18"/>
      <c r="L48" s="18"/>
      <c r="M48" s="18"/>
      <c r="N48" s="84">
        <f>Tabelle5[[#This Row],[Potenzial pos. max MW]]</f>
        <v>400</v>
      </c>
      <c r="O48" s="18">
        <f>Tabelle5[[#This Row],[Mindestauslastung]]*Tabelle5[[#This Row],[Maximalleistung MW]]</f>
        <v>0</v>
      </c>
      <c r="P48" s="8"/>
      <c r="Q48" s="8">
        <v>1</v>
      </c>
      <c r="R48" s="18"/>
      <c r="S48" s="18"/>
      <c r="T48" s="8"/>
      <c r="U48" s="18">
        <v>400</v>
      </c>
      <c r="AI48" s="83" t="s">
        <v>1067</v>
      </c>
      <c r="AJ48" s="83" t="s">
        <v>1067</v>
      </c>
      <c r="AL48" s="12" t="s">
        <v>128</v>
      </c>
      <c r="AN48" s="12" t="s">
        <v>114</v>
      </c>
      <c r="AO48" s="12" t="s">
        <v>114</v>
      </c>
      <c r="AP48" s="12" t="s">
        <v>114</v>
      </c>
      <c r="AQ48" s="12" t="s">
        <v>114</v>
      </c>
      <c r="AR48" s="12" t="s">
        <v>114</v>
      </c>
      <c r="AS48" s="12"/>
    </row>
    <row r="49" spans="1:56" x14ac:dyDescent="0.2">
      <c r="A49" s="1" t="s">
        <v>127</v>
      </c>
      <c r="B49" s="1" t="s">
        <v>130</v>
      </c>
      <c r="C49" s="1">
        <v>2020</v>
      </c>
      <c r="D49" s="1">
        <v>1</v>
      </c>
      <c r="E49" s="1">
        <v>0</v>
      </c>
      <c r="F49" s="1">
        <v>0</v>
      </c>
      <c r="H49" s="18"/>
      <c r="I49" s="18"/>
      <c r="J49" s="18">
        <v>400</v>
      </c>
      <c r="K49" s="18"/>
      <c r="L49" s="18"/>
      <c r="M49" s="18"/>
      <c r="N49" s="84">
        <f>Tabelle5[[#This Row],[Potenzial pos. max MW]]</f>
        <v>400</v>
      </c>
      <c r="O49" s="18">
        <f>Tabelle5[[#This Row],[Mindestauslastung]]*Tabelle5[[#This Row],[Maximalleistung MW]]</f>
        <v>0</v>
      </c>
      <c r="P49" s="8"/>
      <c r="Q49" s="8">
        <v>1</v>
      </c>
      <c r="R49" s="18"/>
      <c r="S49" s="18"/>
      <c r="T49" s="8"/>
      <c r="U49" s="18">
        <v>400</v>
      </c>
      <c r="AI49" s="83" t="s">
        <v>1067</v>
      </c>
      <c r="AJ49" s="83" t="s">
        <v>1067</v>
      </c>
      <c r="AL49" s="12" t="s">
        <v>128</v>
      </c>
      <c r="AN49" s="12" t="s">
        <v>114</v>
      </c>
      <c r="AO49" s="12" t="s">
        <v>114</v>
      </c>
      <c r="AP49" s="12" t="s">
        <v>114</v>
      </c>
      <c r="AQ49" s="12" t="s">
        <v>114</v>
      </c>
      <c r="AR49" s="12" t="s">
        <v>114</v>
      </c>
      <c r="AS49" s="12"/>
    </row>
    <row r="50" spans="1:56" x14ac:dyDescent="0.2">
      <c r="A50" s="1" t="s">
        <v>132</v>
      </c>
      <c r="B50" s="1" t="s">
        <v>142</v>
      </c>
      <c r="C50" s="1">
        <v>2005</v>
      </c>
      <c r="D50" s="5">
        <v>1</v>
      </c>
      <c r="E50" s="5">
        <v>0</v>
      </c>
      <c r="F50" s="5">
        <v>0</v>
      </c>
      <c r="G50" s="5"/>
      <c r="H50" s="18"/>
      <c r="I50" s="18"/>
      <c r="J50" s="18">
        <v>580</v>
      </c>
      <c r="K50" s="18"/>
      <c r="L50" s="18"/>
      <c r="M50" s="18"/>
      <c r="N50" s="84">
        <f>Tabelle5[[#This Row],[Potenzial pos. max MW]]</f>
        <v>580</v>
      </c>
      <c r="O50" s="18">
        <f>Tabelle5[[#This Row],[Mindestauslastung]]*Tabelle5[[#This Row],[Maximalleistung MW]]</f>
        <v>0</v>
      </c>
      <c r="P50" s="8"/>
      <c r="Q50" s="8">
        <v>1</v>
      </c>
      <c r="R50" s="18">
        <f>150/8760*39*10^3</f>
        <v>667.80821917808214</v>
      </c>
      <c r="S50" s="18"/>
      <c r="T50" s="8"/>
      <c r="U50" s="18">
        <f>2.4*39*10^3</f>
        <v>93600</v>
      </c>
      <c r="W50" s="1">
        <v>24</v>
      </c>
      <c r="AB50" s="1">
        <v>90</v>
      </c>
      <c r="AG50" s="1" t="s">
        <v>145</v>
      </c>
      <c r="AI50" s="83" t="s">
        <v>1067</v>
      </c>
      <c r="AJ50" s="83" t="s">
        <v>1067</v>
      </c>
      <c r="AL50" s="12">
        <v>85</v>
      </c>
      <c r="AN50" s="12" t="s">
        <v>143</v>
      </c>
      <c r="AO50" s="12" t="s">
        <v>143</v>
      </c>
      <c r="AP50" s="12" t="s">
        <v>143</v>
      </c>
      <c r="AQ50" s="12" t="s">
        <v>143</v>
      </c>
      <c r="AR50" s="12" t="s">
        <v>143</v>
      </c>
      <c r="AS50" s="12"/>
      <c r="AT50" s="1">
        <v>85</v>
      </c>
      <c r="AX50" s="1">
        <v>85</v>
      </c>
      <c r="BB50" s="1">
        <v>91</v>
      </c>
      <c r="BC50" s="1" t="s">
        <v>144</v>
      </c>
      <c r="BD50" s="1" t="s">
        <v>146</v>
      </c>
    </row>
    <row r="51" spans="1:56" x14ac:dyDescent="0.2">
      <c r="A51" s="1" t="s">
        <v>132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H51" s="18"/>
      <c r="I51" s="18"/>
      <c r="J51" s="18">
        <v>580</v>
      </c>
      <c r="K51" s="18"/>
      <c r="L51" s="18"/>
      <c r="M51" s="18"/>
      <c r="N51" s="84">
        <f>Tabelle5[[#This Row],[Potenzial pos. max MW]]</f>
        <v>580</v>
      </c>
      <c r="O51" s="18">
        <f>Tabelle5[[#This Row],[Mindestauslastung]]*Tabelle5[[#This Row],[Maximalleistung MW]]</f>
        <v>0</v>
      </c>
      <c r="P51" s="8"/>
      <c r="Q51" s="8">
        <v>1</v>
      </c>
      <c r="R51" s="18">
        <f>150/8760*39*10^3</f>
        <v>667.80821917808214</v>
      </c>
      <c r="S51" s="18"/>
      <c r="T51" s="8"/>
      <c r="U51" s="18">
        <f>2.4*39*10^3</f>
        <v>93600</v>
      </c>
      <c r="W51" s="1">
        <v>24</v>
      </c>
      <c r="AB51" s="1">
        <v>90</v>
      </c>
      <c r="AG51" s="1" t="s">
        <v>145</v>
      </c>
      <c r="AI51" s="83" t="s">
        <v>1067</v>
      </c>
      <c r="AJ51" s="83" t="s">
        <v>1067</v>
      </c>
      <c r="AL51" s="12">
        <v>85</v>
      </c>
      <c r="AN51" s="12" t="s">
        <v>143</v>
      </c>
      <c r="AO51" s="12" t="s">
        <v>143</v>
      </c>
      <c r="AP51" s="12" t="s">
        <v>143</v>
      </c>
      <c r="AQ51" s="12" t="s">
        <v>143</v>
      </c>
      <c r="AR51" s="12" t="s">
        <v>143</v>
      </c>
      <c r="AS51" s="12"/>
      <c r="AT51" s="1">
        <v>85</v>
      </c>
      <c r="AX51" s="1">
        <v>85</v>
      </c>
      <c r="BB51" s="1">
        <v>91</v>
      </c>
      <c r="BC51" s="1" t="s">
        <v>144</v>
      </c>
      <c r="BD51" s="1" t="s">
        <v>146</v>
      </c>
    </row>
    <row r="52" spans="1:56" x14ac:dyDescent="0.2">
      <c r="A52" s="1" t="s">
        <v>133</v>
      </c>
      <c r="B52" s="1" t="s">
        <v>142</v>
      </c>
      <c r="C52" s="1">
        <v>2005</v>
      </c>
      <c r="D52" s="5">
        <v>1</v>
      </c>
      <c r="E52" s="5">
        <v>0</v>
      </c>
      <c r="F52" s="5">
        <v>0</v>
      </c>
      <c r="G52" s="5"/>
      <c r="H52" s="18"/>
      <c r="I52" s="18"/>
      <c r="J52" s="18">
        <v>630</v>
      </c>
      <c r="K52" s="18"/>
      <c r="L52" s="18"/>
      <c r="M52" s="18"/>
      <c r="N52" s="84">
        <f>Tabelle5[[#This Row],[Potenzial pos. max MW]]</f>
        <v>630</v>
      </c>
      <c r="O52" s="18">
        <f>Tabelle5[[#This Row],[Mindestauslastung]]*Tabelle5[[#This Row],[Maximalleistung MW]]</f>
        <v>0</v>
      </c>
      <c r="P52" s="8"/>
      <c r="Q52" s="8">
        <v>1</v>
      </c>
      <c r="R52" s="18">
        <f>280/8760*39*10^3</f>
        <v>1246.5753424657532</v>
      </c>
      <c r="S52" s="18"/>
      <c r="T52" s="8"/>
      <c r="U52" s="18">
        <f>3.1*39*10^3</f>
        <v>120900</v>
      </c>
      <c r="W52" s="1">
        <v>24</v>
      </c>
      <c r="AB52" s="1">
        <v>60</v>
      </c>
      <c r="AG52" s="1" t="s">
        <v>145</v>
      </c>
      <c r="AI52" s="83" t="s">
        <v>1067</v>
      </c>
      <c r="AJ52" s="83" t="s">
        <v>1067</v>
      </c>
      <c r="AL52" s="12">
        <v>85</v>
      </c>
      <c r="AN52" s="12" t="s">
        <v>143</v>
      </c>
      <c r="AO52" s="12" t="s">
        <v>143</v>
      </c>
      <c r="AP52" s="12" t="s">
        <v>143</v>
      </c>
      <c r="AQ52" s="12" t="s">
        <v>143</v>
      </c>
      <c r="AR52" s="12" t="s">
        <v>143</v>
      </c>
      <c r="AS52" s="12"/>
      <c r="AT52" s="1">
        <v>85</v>
      </c>
      <c r="AX52" s="1">
        <v>85</v>
      </c>
      <c r="BB52" s="1">
        <v>91</v>
      </c>
      <c r="BC52" s="1" t="s">
        <v>144</v>
      </c>
      <c r="BD52" s="1" t="s">
        <v>146</v>
      </c>
    </row>
    <row r="53" spans="1:56" x14ac:dyDescent="0.2">
      <c r="A53" s="1" t="s">
        <v>133</v>
      </c>
      <c r="B53" s="1" t="s">
        <v>142</v>
      </c>
      <c r="C53" s="1">
        <v>2020</v>
      </c>
      <c r="D53" s="1">
        <v>1</v>
      </c>
      <c r="E53" s="1">
        <v>0</v>
      </c>
      <c r="F53" s="1">
        <v>0</v>
      </c>
      <c r="H53" s="18"/>
      <c r="I53" s="18"/>
      <c r="J53" s="18">
        <v>630</v>
      </c>
      <c r="K53" s="18"/>
      <c r="L53" s="18"/>
      <c r="M53" s="18"/>
      <c r="N53" s="84">
        <f>Tabelle5[[#This Row],[Potenzial pos. max MW]]</f>
        <v>630</v>
      </c>
      <c r="O53" s="18">
        <f>Tabelle5[[#This Row],[Mindestauslastung]]*Tabelle5[[#This Row],[Maximalleistung MW]]</f>
        <v>0</v>
      </c>
      <c r="P53" s="8"/>
      <c r="Q53" s="8">
        <v>1</v>
      </c>
      <c r="R53" s="18">
        <f>280/8760*39*10^3</f>
        <v>1246.5753424657532</v>
      </c>
      <c r="S53" s="18"/>
      <c r="T53" s="8"/>
      <c r="U53" s="18">
        <f>3.1*39*10^3</f>
        <v>120900</v>
      </c>
      <c r="W53" s="1">
        <v>24</v>
      </c>
      <c r="AB53" s="1">
        <v>60</v>
      </c>
      <c r="AG53" s="1" t="s">
        <v>145</v>
      </c>
      <c r="AI53" s="83" t="s">
        <v>1067</v>
      </c>
      <c r="AJ53" s="83" t="s">
        <v>1067</v>
      </c>
      <c r="AL53" s="12">
        <v>85</v>
      </c>
      <c r="AN53" s="12" t="s">
        <v>143</v>
      </c>
      <c r="AO53" s="12" t="s">
        <v>143</v>
      </c>
      <c r="AP53" s="12" t="s">
        <v>143</v>
      </c>
      <c r="AQ53" s="12" t="s">
        <v>143</v>
      </c>
      <c r="AR53" s="12" t="s">
        <v>143</v>
      </c>
      <c r="AS53" s="12"/>
      <c r="AT53" s="1">
        <v>85</v>
      </c>
      <c r="AX53" s="1">
        <v>85</v>
      </c>
      <c r="BB53" s="1">
        <v>91</v>
      </c>
      <c r="BC53" s="1" t="s">
        <v>144</v>
      </c>
      <c r="BD53" s="1" t="s">
        <v>146</v>
      </c>
    </row>
    <row r="54" spans="1:56" x14ac:dyDescent="0.2">
      <c r="A54" s="1" t="s">
        <v>286</v>
      </c>
      <c r="B54" s="1" t="s">
        <v>142</v>
      </c>
      <c r="C54" s="1">
        <v>2005</v>
      </c>
      <c r="D54" s="5">
        <v>1</v>
      </c>
      <c r="E54" s="5">
        <v>0</v>
      </c>
      <c r="F54" s="5">
        <v>0</v>
      </c>
      <c r="G54" s="5"/>
      <c r="H54" s="18"/>
      <c r="I54" s="18"/>
      <c r="J54" s="18">
        <v>600</v>
      </c>
      <c r="K54" s="18"/>
      <c r="L54" s="18"/>
      <c r="M54" s="18"/>
      <c r="N54" s="84">
        <f>Tabelle5[[#This Row],[Potenzial pos. max MW]]</f>
        <v>600</v>
      </c>
      <c r="O54" s="18"/>
      <c r="P54" s="8"/>
      <c r="Q54" s="8">
        <v>0.25</v>
      </c>
      <c r="R54" s="18">
        <f>215/8760*39*10^3</f>
        <v>957.19178082191786</v>
      </c>
      <c r="S54" s="18"/>
      <c r="T54" s="8"/>
      <c r="U54" s="18">
        <f>2.4*39*10^3</f>
        <v>93600</v>
      </c>
      <c r="W54" s="1">
        <v>24</v>
      </c>
      <c r="AB54" s="1">
        <v>70</v>
      </c>
      <c r="AG54" s="1" t="s">
        <v>145</v>
      </c>
      <c r="AI54" s="83" t="s">
        <v>1067</v>
      </c>
      <c r="AJ54" s="83" t="s">
        <v>1067</v>
      </c>
      <c r="AL54" s="12">
        <v>85</v>
      </c>
      <c r="AN54" s="12" t="s">
        <v>143</v>
      </c>
      <c r="AO54" s="12" t="s">
        <v>143</v>
      </c>
      <c r="AP54" s="12" t="s">
        <v>143</v>
      </c>
      <c r="AQ54" s="12" t="s">
        <v>143</v>
      </c>
      <c r="AR54" s="12" t="s">
        <v>143</v>
      </c>
      <c r="AS54" s="12"/>
      <c r="AT54" s="1">
        <v>85</v>
      </c>
      <c r="AX54" s="1">
        <v>85</v>
      </c>
      <c r="BB54" s="1">
        <v>91</v>
      </c>
      <c r="BC54" s="1" t="s">
        <v>144</v>
      </c>
      <c r="BD54" s="1" t="s">
        <v>146</v>
      </c>
    </row>
    <row r="55" spans="1:56" x14ac:dyDescent="0.2">
      <c r="A55" s="1" t="s">
        <v>286</v>
      </c>
      <c r="B55" s="1" t="s">
        <v>142</v>
      </c>
      <c r="C55" s="1">
        <v>2020</v>
      </c>
      <c r="D55" s="1">
        <v>1</v>
      </c>
      <c r="E55" s="1">
        <v>0</v>
      </c>
      <c r="F55" s="1">
        <v>0</v>
      </c>
      <c r="H55" s="18"/>
      <c r="I55" s="18"/>
      <c r="J55" s="18">
        <v>600</v>
      </c>
      <c r="K55" s="18"/>
      <c r="L55" s="18"/>
      <c r="M55" s="18"/>
      <c r="N55" s="84">
        <f>Tabelle5[[#This Row],[Potenzial pos. max MW]]</f>
        <v>600</v>
      </c>
      <c r="O55" s="18"/>
      <c r="P55" s="8"/>
      <c r="Q55" s="8">
        <v>0.25</v>
      </c>
      <c r="R55" s="18">
        <f>215/8760*39*10^3</f>
        <v>957.19178082191786</v>
      </c>
      <c r="S55" s="18"/>
      <c r="T55" s="8"/>
      <c r="U55" s="18">
        <f>2.4*39*10^3</f>
        <v>93600</v>
      </c>
      <c r="W55" s="1">
        <v>24</v>
      </c>
      <c r="AB55" s="1">
        <v>70</v>
      </c>
      <c r="AG55" s="1" t="s">
        <v>145</v>
      </c>
      <c r="AI55" s="83" t="s">
        <v>1067</v>
      </c>
      <c r="AJ55" s="83" t="s">
        <v>1067</v>
      </c>
      <c r="AL55" s="12">
        <v>85</v>
      </c>
      <c r="AN55" s="12" t="s">
        <v>143</v>
      </c>
      <c r="AO55" s="12" t="s">
        <v>143</v>
      </c>
      <c r="AP55" s="12" t="s">
        <v>143</v>
      </c>
      <c r="AQ55" s="12" t="s">
        <v>143</v>
      </c>
      <c r="AR55" s="12" t="s">
        <v>143</v>
      </c>
      <c r="AS55" s="12"/>
      <c r="AT55" s="1">
        <v>85</v>
      </c>
      <c r="AX55" s="1">
        <v>85</v>
      </c>
      <c r="BB55" s="1">
        <v>91</v>
      </c>
      <c r="BC55" s="1" t="s">
        <v>144</v>
      </c>
      <c r="BD55" s="1" t="s">
        <v>146</v>
      </c>
    </row>
    <row r="56" spans="1:56" x14ac:dyDescent="0.2">
      <c r="A56" s="1" t="s">
        <v>135</v>
      </c>
      <c r="B56" s="1" t="s">
        <v>142</v>
      </c>
      <c r="C56" s="1">
        <v>2005</v>
      </c>
      <c r="D56" s="5">
        <v>1</v>
      </c>
      <c r="E56" s="5">
        <v>0</v>
      </c>
      <c r="F56" s="5">
        <v>0</v>
      </c>
      <c r="G56" s="5"/>
      <c r="H56" s="18"/>
      <c r="I56" s="18"/>
      <c r="J56" s="18">
        <v>620</v>
      </c>
      <c r="K56" s="18"/>
      <c r="L56" s="18"/>
      <c r="M56" s="18"/>
      <c r="N56" s="84">
        <f>Tabelle5[[#This Row],[Potenzial pos. max MW]]</f>
        <v>620</v>
      </c>
      <c r="O56" s="18"/>
      <c r="P56" s="8"/>
      <c r="Q56" s="8">
        <v>0.25</v>
      </c>
      <c r="R56" s="18">
        <f>262.8/8760*39*10^3</f>
        <v>1170.0000000000002</v>
      </c>
      <c r="S56" s="18"/>
      <c r="T56" s="8"/>
      <c r="U56" s="18">
        <f>0.09*39^3</f>
        <v>5338.71</v>
      </c>
      <c r="W56" s="1">
        <v>1</v>
      </c>
      <c r="AB56" s="1">
        <v>220</v>
      </c>
      <c r="AG56" s="1" t="s">
        <v>145</v>
      </c>
      <c r="AI56" s="83" t="s">
        <v>1067</v>
      </c>
      <c r="AJ56" s="83" t="s">
        <v>1067</v>
      </c>
      <c r="AL56" s="12">
        <v>85</v>
      </c>
      <c r="AN56" s="12" t="s">
        <v>143</v>
      </c>
      <c r="AO56" s="12" t="s">
        <v>143</v>
      </c>
      <c r="AP56" s="12" t="s">
        <v>143</v>
      </c>
      <c r="AQ56" s="12" t="s">
        <v>143</v>
      </c>
      <c r="AR56" s="12" t="s">
        <v>143</v>
      </c>
      <c r="AS56" s="12"/>
      <c r="AT56" s="1">
        <v>85</v>
      </c>
      <c r="AX56" s="1">
        <v>85</v>
      </c>
      <c r="BB56" s="1">
        <v>91</v>
      </c>
      <c r="BC56" s="1" t="s">
        <v>144</v>
      </c>
      <c r="BD56" s="1" t="s">
        <v>146</v>
      </c>
    </row>
    <row r="57" spans="1:56" x14ac:dyDescent="0.2">
      <c r="A57" s="1" t="s">
        <v>135</v>
      </c>
      <c r="B57" s="1" t="s">
        <v>142</v>
      </c>
      <c r="C57" s="1">
        <v>2020</v>
      </c>
      <c r="D57" s="1">
        <v>1</v>
      </c>
      <c r="E57" s="1">
        <v>0</v>
      </c>
      <c r="F57" s="1">
        <v>0</v>
      </c>
      <c r="H57" s="18"/>
      <c r="I57" s="18"/>
      <c r="J57" s="18">
        <v>620</v>
      </c>
      <c r="K57" s="18"/>
      <c r="L57" s="18"/>
      <c r="M57" s="18"/>
      <c r="N57" s="84">
        <f>Tabelle5[[#This Row],[Potenzial pos. max MW]]</f>
        <v>620</v>
      </c>
      <c r="O57" s="18"/>
      <c r="P57" s="8"/>
      <c r="Q57" s="8">
        <v>0.25</v>
      </c>
      <c r="R57" s="18">
        <f>262.8/8760*39*10^3</f>
        <v>1170.0000000000002</v>
      </c>
      <c r="S57" s="18"/>
      <c r="T57" s="8"/>
      <c r="U57" s="18">
        <f>0.09*39^3</f>
        <v>5338.71</v>
      </c>
      <c r="W57" s="1">
        <v>1</v>
      </c>
      <c r="AB57" s="1">
        <v>220</v>
      </c>
      <c r="AG57" s="1" t="s">
        <v>145</v>
      </c>
      <c r="AI57" s="83" t="s">
        <v>1067</v>
      </c>
      <c r="AJ57" s="83" t="s">
        <v>1067</v>
      </c>
      <c r="AL57" s="12">
        <v>85</v>
      </c>
      <c r="AN57" s="12" t="s">
        <v>143</v>
      </c>
      <c r="AO57" s="12" t="s">
        <v>143</v>
      </c>
      <c r="AP57" s="12" t="s">
        <v>143</v>
      </c>
      <c r="AQ57" s="12" t="s">
        <v>143</v>
      </c>
      <c r="AR57" s="12" t="s">
        <v>143</v>
      </c>
      <c r="AS57" s="12"/>
      <c r="AT57" s="1">
        <v>85</v>
      </c>
      <c r="AX57" s="1">
        <v>85</v>
      </c>
      <c r="BB57" s="1">
        <v>91</v>
      </c>
      <c r="BC57" s="1" t="s">
        <v>144</v>
      </c>
      <c r="BD57" s="1" t="s">
        <v>146</v>
      </c>
    </row>
    <row r="58" spans="1:56" x14ac:dyDescent="0.2">
      <c r="A58" s="1" t="s">
        <v>136</v>
      </c>
      <c r="B58" s="1" t="s">
        <v>142</v>
      </c>
      <c r="C58" s="1">
        <v>2005</v>
      </c>
      <c r="D58" s="5">
        <v>1</v>
      </c>
      <c r="E58" s="5">
        <v>0</v>
      </c>
      <c r="F58" s="5">
        <v>0</v>
      </c>
      <c r="G58" s="5"/>
      <c r="H58" s="18"/>
      <c r="I58" s="18"/>
      <c r="J58" s="18">
        <v>600</v>
      </c>
      <c r="K58" s="18"/>
      <c r="L58" s="18"/>
      <c r="M58" s="18"/>
      <c r="N58" s="84">
        <f>Tabelle5[[#This Row],[Potenzial pos. max MW]]</f>
        <v>600</v>
      </c>
      <c r="O58" s="18"/>
      <c r="P58" s="8"/>
      <c r="Q58" s="8">
        <v>0.25</v>
      </c>
      <c r="R58" s="18">
        <f>350.4/8760*39*10^3</f>
        <v>1560</v>
      </c>
      <c r="S58" s="18"/>
      <c r="T58" s="8"/>
      <c r="U58" s="18">
        <f>0.12*39^3</f>
        <v>7118.28</v>
      </c>
      <c r="W58" s="1">
        <v>1</v>
      </c>
      <c r="AB58" s="1">
        <v>220</v>
      </c>
      <c r="AG58" s="1" t="s">
        <v>145</v>
      </c>
      <c r="AI58" s="83" t="s">
        <v>1067</v>
      </c>
      <c r="AJ58" s="83" t="s">
        <v>1067</v>
      </c>
      <c r="AL58" s="12">
        <v>85</v>
      </c>
      <c r="AN58" s="12" t="s">
        <v>143</v>
      </c>
      <c r="AO58" s="12" t="s">
        <v>143</v>
      </c>
      <c r="AP58" s="12" t="s">
        <v>143</v>
      </c>
      <c r="AQ58" s="12" t="s">
        <v>143</v>
      </c>
      <c r="AR58" s="12" t="s">
        <v>143</v>
      </c>
      <c r="AS58" s="12"/>
      <c r="AT58" s="1">
        <v>85</v>
      </c>
      <c r="AX58" s="1">
        <v>85</v>
      </c>
      <c r="BB58" s="1">
        <v>91</v>
      </c>
      <c r="BC58" s="1" t="s">
        <v>144</v>
      </c>
      <c r="BD58" s="1" t="s">
        <v>146</v>
      </c>
    </row>
    <row r="59" spans="1:56" x14ac:dyDescent="0.2">
      <c r="A59" s="1" t="s">
        <v>136</v>
      </c>
      <c r="B59" s="1" t="s">
        <v>142</v>
      </c>
      <c r="C59" s="1">
        <v>2020</v>
      </c>
      <c r="D59" s="1">
        <v>1</v>
      </c>
      <c r="E59" s="1">
        <v>0</v>
      </c>
      <c r="F59" s="1">
        <v>0</v>
      </c>
      <c r="H59" s="18"/>
      <c r="I59" s="18"/>
      <c r="J59" s="18">
        <v>600</v>
      </c>
      <c r="K59" s="18"/>
      <c r="L59" s="18"/>
      <c r="M59" s="18"/>
      <c r="N59" s="84">
        <f>Tabelle5[[#This Row],[Potenzial pos. max MW]]</f>
        <v>600</v>
      </c>
      <c r="O59" s="18"/>
      <c r="P59" s="8"/>
      <c r="Q59" s="8">
        <v>0.25</v>
      </c>
      <c r="R59" s="18">
        <f>350.4/8760*39*10^3</f>
        <v>1560</v>
      </c>
      <c r="S59" s="18"/>
      <c r="T59" s="8"/>
      <c r="U59" s="18">
        <f>0.12*39^3</f>
        <v>7118.28</v>
      </c>
      <c r="W59" s="1">
        <v>1</v>
      </c>
      <c r="AB59" s="1">
        <v>220</v>
      </c>
      <c r="AG59" s="1" t="s">
        <v>145</v>
      </c>
      <c r="AI59" s="83" t="s">
        <v>1067</v>
      </c>
      <c r="AJ59" s="83" t="s">
        <v>1067</v>
      </c>
      <c r="AL59" s="12">
        <v>85</v>
      </c>
      <c r="AN59" s="12" t="s">
        <v>143</v>
      </c>
      <c r="AO59" s="12" t="s">
        <v>143</v>
      </c>
      <c r="AP59" s="12" t="s">
        <v>143</v>
      </c>
      <c r="AQ59" s="12" t="s">
        <v>143</v>
      </c>
      <c r="AR59" s="12" t="s">
        <v>143</v>
      </c>
      <c r="AS59" s="12"/>
      <c r="AT59" s="1">
        <v>85</v>
      </c>
      <c r="AX59" s="1">
        <v>85</v>
      </c>
      <c r="BB59" s="1">
        <v>91</v>
      </c>
      <c r="BC59" s="1" t="s">
        <v>144</v>
      </c>
      <c r="BD59" s="1" t="s">
        <v>146</v>
      </c>
    </row>
    <row r="60" spans="1:56" x14ac:dyDescent="0.2">
      <c r="A60" s="1" t="s">
        <v>137</v>
      </c>
      <c r="B60" s="1" t="s">
        <v>142</v>
      </c>
      <c r="C60" s="1">
        <v>2005</v>
      </c>
      <c r="D60" s="5">
        <v>1</v>
      </c>
      <c r="E60" s="5">
        <v>0</v>
      </c>
      <c r="F60" s="5">
        <v>0</v>
      </c>
      <c r="G60" s="5"/>
      <c r="H60" s="18"/>
      <c r="I60" s="18"/>
      <c r="J60" s="18">
        <v>880</v>
      </c>
      <c r="K60" s="18"/>
      <c r="L60" s="18"/>
      <c r="M60" s="18"/>
      <c r="N60" s="84">
        <f>Tabelle5[[#This Row],[Potenzial pos. max MW]]</f>
        <v>880</v>
      </c>
      <c r="O60" s="18"/>
      <c r="P60" s="8"/>
      <c r="Q60" s="8">
        <v>0.33</v>
      </c>
      <c r="R60" s="18"/>
      <c r="S60" s="18"/>
      <c r="T60" s="8"/>
      <c r="U60" s="18">
        <v>3000</v>
      </c>
      <c r="AG60" s="1" t="s">
        <v>145</v>
      </c>
      <c r="AI60" s="83" t="s">
        <v>1067</v>
      </c>
      <c r="AJ60" s="83" t="s">
        <v>1067</v>
      </c>
      <c r="AL60" s="12">
        <v>85</v>
      </c>
      <c r="AN60" s="12" t="s">
        <v>143</v>
      </c>
      <c r="AO60" s="12" t="s">
        <v>143</v>
      </c>
      <c r="AP60" s="12" t="s">
        <v>143</v>
      </c>
      <c r="AQ60" s="12" t="s">
        <v>143</v>
      </c>
      <c r="AR60" s="12" t="s">
        <v>143</v>
      </c>
      <c r="AS60" s="12"/>
      <c r="AT60" s="1">
        <v>85</v>
      </c>
      <c r="AX60" s="1">
        <v>85</v>
      </c>
      <c r="BB60" s="1">
        <v>91</v>
      </c>
      <c r="BC60" s="1" t="s">
        <v>144</v>
      </c>
    </row>
    <row r="61" spans="1:56" x14ac:dyDescent="0.2">
      <c r="A61" s="1" t="s">
        <v>137</v>
      </c>
      <c r="B61" s="1" t="s">
        <v>142</v>
      </c>
      <c r="C61" s="1">
        <v>2020</v>
      </c>
      <c r="D61" s="1">
        <v>1</v>
      </c>
      <c r="E61" s="1">
        <v>0</v>
      </c>
      <c r="F61" s="1">
        <v>0</v>
      </c>
      <c r="H61" s="18"/>
      <c r="I61" s="18"/>
      <c r="J61" s="18">
        <v>880</v>
      </c>
      <c r="K61" s="18"/>
      <c r="L61" s="18"/>
      <c r="M61" s="18"/>
      <c r="N61" s="84">
        <f>Tabelle5[[#This Row],[Potenzial pos. max MW]]</f>
        <v>880</v>
      </c>
      <c r="O61" s="18"/>
      <c r="P61" s="8"/>
      <c r="Q61" s="8">
        <v>0.33</v>
      </c>
      <c r="R61" s="18"/>
      <c r="S61" s="18"/>
      <c r="T61" s="8"/>
      <c r="U61" s="18">
        <v>3000</v>
      </c>
      <c r="AG61" s="1" t="s">
        <v>145</v>
      </c>
      <c r="AI61" s="83" t="s">
        <v>1067</v>
      </c>
      <c r="AJ61" s="83" t="s">
        <v>1067</v>
      </c>
      <c r="AL61" s="12">
        <v>85</v>
      </c>
      <c r="AN61" s="12" t="s">
        <v>143</v>
      </c>
      <c r="AO61" s="12" t="s">
        <v>143</v>
      </c>
      <c r="AP61" s="12" t="s">
        <v>143</v>
      </c>
      <c r="AQ61" s="12" t="s">
        <v>143</v>
      </c>
      <c r="AR61" s="12" t="s">
        <v>143</v>
      </c>
      <c r="AS61" s="12"/>
      <c r="AT61" s="1">
        <v>85</v>
      </c>
      <c r="AX61" s="1">
        <v>85</v>
      </c>
      <c r="BB61" s="1">
        <v>91</v>
      </c>
      <c r="BC61" s="1" t="s">
        <v>144</v>
      </c>
    </row>
    <row r="62" spans="1:56" x14ac:dyDescent="0.2">
      <c r="A62" s="1" t="s">
        <v>138</v>
      </c>
      <c r="B62" s="1" t="s">
        <v>142</v>
      </c>
      <c r="C62" s="1">
        <v>2005</v>
      </c>
      <c r="D62" s="5">
        <v>1</v>
      </c>
      <c r="E62" s="5">
        <v>0</v>
      </c>
      <c r="F62" s="5">
        <v>0</v>
      </c>
      <c r="G62" s="5"/>
      <c r="H62" s="18"/>
      <c r="I62" s="18"/>
      <c r="J62" s="18">
        <v>675</v>
      </c>
      <c r="K62" s="18"/>
      <c r="L62" s="18"/>
      <c r="M62" s="18"/>
      <c r="N62" s="84">
        <f>Tabelle5[[#This Row],[Potenzial pos. max MW]]</f>
        <v>675</v>
      </c>
      <c r="O62" s="18"/>
      <c r="P62" s="8"/>
      <c r="Q62" s="8"/>
      <c r="R62" s="18">
        <v>2700</v>
      </c>
      <c r="S62" s="18"/>
      <c r="T62" s="8"/>
      <c r="U62" s="18"/>
      <c r="W62" s="1">
        <v>2</v>
      </c>
      <c r="X62" s="1">
        <v>24</v>
      </c>
      <c r="AB62" s="1">
        <v>365</v>
      </c>
      <c r="AI62" s="83" t="s">
        <v>1067</v>
      </c>
      <c r="AJ62" s="83" t="s">
        <v>1067</v>
      </c>
      <c r="AL62" s="12">
        <v>85</v>
      </c>
      <c r="AN62" s="12" t="s">
        <v>143</v>
      </c>
      <c r="AO62" s="12" t="s">
        <v>143</v>
      </c>
      <c r="AP62" s="12" t="s">
        <v>143</v>
      </c>
      <c r="AQ62" s="12" t="s">
        <v>143</v>
      </c>
      <c r="AR62" s="12" t="s">
        <v>143</v>
      </c>
      <c r="AS62" s="12"/>
      <c r="AT62" s="1">
        <v>85</v>
      </c>
      <c r="AU62" s="1">
        <v>84</v>
      </c>
      <c r="AX62" s="1">
        <v>85</v>
      </c>
      <c r="BB62" s="1">
        <v>91</v>
      </c>
      <c r="BC62" s="1" t="s">
        <v>144</v>
      </c>
    </row>
    <row r="63" spans="1:56" x14ac:dyDescent="0.2">
      <c r="A63" s="1" t="s">
        <v>138</v>
      </c>
      <c r="B63" s="1" t="s">
        <v>142</v>
      </c>
      <c r="C63" s="1">
        <v>2020</v>
      </c>
      <c r="D63" s="1">
        <v>1</v>
      </c>
      <c r="E63" s="1">
        <v>0</v>
      </c>
      <c r="F63" s="1">
        <v>0</v>
      </c>
      <c r="H63" s="18"/>
      <c r="I63" s="18"/>
      <c r="J63" s="18">
        <v>675</v>
      </c>
      <c r="K63" s="18"/>
      <c r="L63" s="18"/>
      <c r="M63" s="18"/>
      <c r="N63" s="84">
        <f>Tabelle5[[#This Row],[Potenzial pos. max MW]]</f>
        <v>675</v>
      </c>
      <c r="O63" s="18"/>
      <c r="P63" s="8"/>
      <c r="Q63" s="8"/>
      <c r="R63" s="18">
        <v>2700</v>
      </c>
      <c r="S63" s="18"/>
      <c r="T63" s="8"/>
      <c r="U63" s="18"/>
      <c r="W63" s="1">
        <v>2</v>
      </c>
      <c r="X63" s="1">
        <v>24</v>
      </c>
      <c r="AB63" s="1">
        <v>365</v>
      </c>
      <c r="AI63" s="83" t="s">
        <v>1067</v>
      </c>
      <c r="AJ63" s="83" t="s">
        <v>1067</v>
      </c>
      <c r="AL63" s="12">
        <v>85</v>
      </c>
      <c r="AN63" s="12" t="s">
        <v>143</v>
      </c>
      <c r="AO63" s="12" t="s">
        <v>143</v>
      </c>
      <c r="AP63" s="12" t="s">
        <v>143</v>
      </c>
      <c r="AQ63" s="12" t="s">
        <v>143</v>
      </c>
      <c r="AR63" s="12" t="s">
        <v>143</v>
      </c>
      <c r="AS63" s="12"/>
      <c r="AT63" s="1">
        <v>85</v>
      </c>
      <c r="AU63" s="1">
        <v>84</v>
      </c>
      <c r="AX63" s="1">
        <v>85</v>
      </c>
      <c r="BB63" s="1">
        <v>91</v>
      </c>
      <c r="BC63" s="1" t="s">
        <v>144</v>
      </c>
    </row>
    <row r="64" spans="1:56" x14ac:dyDescent="0.2">
      <c r="A64" s="1" t="s">
        <v>141</v>
      </c>
      <c r="B64" s="1" t="s">
        <v>142</v>
      </c>
      <c r="C64" s="1">
        <v>2005</v>
      </c>
      <c r="D64" s="5">
        <v>1</v>
      </c>
      <c r="E64" s="5">
        <v>0</v>
      </c>
      <c r="F64" s="5">
        <v>0</v>
      </c>
      <c r="G64" s="5"/>
      <c r="H64" s="18"/>
      <c r="I64" s="18"/>
      <c r="J64" s="18">
        <v>16000</v>
      </c>
      <c r="K64" s="18"/>
      <c r="L64" s="18"/>
      <c r="M64" s="18"/>
      <c r="N64" s="84">
        <f>Tabelle5[[#This Row],[Potenzial pos. max MW]]</f>
        <v>16000</v>
      </c>
      <c r="O64" s="18"/>
      <c r="P64" s="8">
        <f>1-Tabelle5[[#This Row],[flexibilisierbarer Anteil an installierter Leistung]]</f>
        <v>0</v>
      </c>
      <c r="Q64" s="8">
        <v>1</v>
      </c>
      <c r="R64" s="18">
        <f>670/8760*Tabelle5[[#This Row],[installierte Leistung MW]]</f>
        <v>2600.4566210045659</v>
      </c>
      <c r="S64" s="18"/>
      <c r="T64" s="8"/>
      <c r="U64" s="18">
        <v>34000</v>
      </c>
      <c r="W64" s="1">
        <v>12</v>
      </c>
      <c r="Y64" s="1">
        <v>8</v>
      </c>
      <c r="AB64" s="1">
        <v>80</v>
      </c>
      <c r="AI64" s="83" t="s">
        <v>1067</v>
      </c>
      <c r="AJ64" s="83" t="s">
        <v>1067</v>
      </c>
      <c r="AL64" s="12">
        <v>85</v>
      </c>
      <c r="AN64" s="12" t="s">
        <v>143</v>
      </c>
      <c r="AO64" s="12" t="s">
        <v>143</v>
      </c>
      <c r="AP64" s="12" t="s">
        <v>143</v>
      </c>
      <c r="AQ64" s="12" t="s">
        <v>143</v>
      </c>
      <c r="AR64" s="12" t="s">
        <v>143</v>
      </c>
      <c r="AS64" s="12"/>
      <c r="AT64" s="1">
        <v>85</v>
      </c>
      <c r="AV64" s="1">
        <v>78</v>
      </c>
      <c r="AX64" s="1">
        <v>85</v>
      </c>
      <c r="BB64" s="1">
        <v>91</v>
      </c>
      <c r="BC64" s="1" t="s">
        <v>144</v>
      </c>
    </row>
    <row r="65" spans="1:55" x14ac:dyDescent="0.2">
      <c r="A65" s="1" t="s">
        <v>141</v>
      </c>
      <c r="B65" s="1" t="s">
        <v>142</v>
      </c>
      <c r="C65" s="1">
        <v>2020</v>
      </c>
      <c r="D65" s="1">
        <v>1</v>
      </c>
      <c r="E65" s="1">
        <v>0</v>
      </c>
      <c r="F65" s="1">
        <v>0</v>
      </c>
      <c r="H65" s="18"/>
      <c r="I65" s="18"/>
      <c r="J65" s="18">
        <v>16000</v>
      </c>
      <c r="K65" s="18"/>
      <c r="L65" s="18"/>
      <c r="M65" s="18"/>
      <c r="N65" s="84">
        <f>Tabelle5[[#This Row],[Potenzial pos. max MW]]</f>
        <v>16000</v>
      </c>
      <c r="O65" s="18"/>
      <c r="P65" s="8">
        <f>1-Tabelle5[[#This Row],[flexibilisierbarer Anteil an installierter Leistung]]</f>
        <v>0</v>
      </c>
      <c r="Q65" s="8">
        <v>1</v>
      </c>
      <c r="R65" s="18">
        <f>670/8760*Tabelle5[[#This Row],[installierte Leistung MW]]</f>
        <v>2600.4566210045659</v>
      </c>
      <c r="S65" s="18"/>
      <c r="T65" s="8"/>
      <c r="U65" s="18">
        <v>34000</v>
      </c>
      <c r="W65" s="1">
        <v>12</v>
      </c>
      <c r="Y65" s="1">
        <v>8</v>
      </c>
      <c r="AB65" s="1">
        <v>80</v>
      </c>
      <c r="AI65" s="83" t="s">
        <v>1067</v>
      </c>
      <c r="AJ65" s="83" t="s">
        <v>1067</v>
      </c>
      <c r="AL65" s="12">
        <v>85</v>
      </c>
      <c r="AN65" s="12" t="s">
        <v>143</v>
      </c>
      <c r="AO65" s="12" t="s">
        <v>143</v>
      </c>
      <c r="AP65" s="12" t="s">
        <v>143</v>
      </c>
      <c r="AQ65" s="12" t="s">
        <v>143</v>
      </c>
      <c r="AR65" s="12" t="s">
        <v>143</v>
      </c>
      <c r="AS65" s="12"/>
      <c r="AT65" s="1">
        <v>85</v>
      </c>
      <c r="AV65" s="1">
        <v>68</v>
      </c>
      <c r="AX65" s="1">
        <v>85</v>
      </c>
      <c r="BB65" s="1">
        <v>91</v>
      </c>
      <c r="BC65" s="1" t="s">
        <v>144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Dropdown!$A$2:$A$90</xm:f>
          </x14:formula1>
          <xm:sqref>A2:A65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/>
  <dimension ref="A1:Q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4" max="4" width="17.28515625" customWidth="1"/>
    <col min="5" max="10" width="24.28515625" customWidth="1"/>
    <col min="11" max="12" width="17.5703125" customWidth="1"/>
    <col min="13" max="15" width="17.85546875" customWidth="1"/>
    <col min="17" max="17" width="36.85546875" bestFit="1" customWidth="1"/>
  </cols>
  <sheetData>
    <row r="1" spans="1:17" x14ac:dyDescent="0.25">
      <c r="A1" s="4" t="s">
        <v>0</v>
      </c>
      <c r="B1" s="4" t="s">
        <v>30</v>
      </c>
      <c r="C1" s="4" t="s">
        <v>8</v>
      </c>
      <c r="D1" s="1" t="s">
        <v>37</v>
      </c>
      <c r="E1" s="1" t="s">
        <v>25</v>
      </c>
      <c r="F1" s="1" t="s">
        <v>38</v>
      </c>
      <c r="G1" s="1" t="s">
        <v>47</v>
      </c>
      <c r="H1" s="1" t="s">
        <v>48</v>
      </c>
      <c r="I1" s="1" t="s">
        <v>36</v>
      </c>
      <c r="J1" s="1" t="s">
        <v>39</v>
      </c>
      <c r="K1" s="1" t="s">
        <v>55</v>
      </c>
      <c r="L1" s="1" t="s">
        <v>26</v>
      </c>
      <c r="M1" s="1" t="s">
        <v>40</v>
      </c>
      <c r="N1" s="1" t="s">
        <v>43</v>
      </c>
      <c r="O1" s="1" t="s">
        <v>44</v>
      </c>
      <c r="P1" s="1" t="s">
        <v>28</v>
      </c>
      <c r="Q1" s="1" t="s">
        <v>62</v>
      </c>
    </row>
    <row r="2" spans="1:17" x14ac:dyDescent="0.25">
      <c r="A2" s="5" t="s">
        <v>29</v>
      </c>
      <c r="B2" s="5" t="s">
        <v>31</v>
      </c>
      <c r="C2" s="5">
        <v>2005</v>
      </c>
      <c r="D2" s="1"/>
      <c r="E2" s="10"/>
      <c r="F2" s="10">
        <f>Tabelle25[[#This Row],[flexible Leistung (MW)]]/(1-Tabelle25[[#This Row],[Mindestauslastung]])</f>
        <v>571.42857142857144</v>
      </c>
      <c r="G2" s="10"/>
      <c r="H2" s="10"/>
      <c r="I2" s="6"/>
      <c r="J2" s="10"/>
      <c r="K2" s="6">
        <v>0.3</v>
      </c>
      <c r="L2" s="10">
        <f>Tabelle25[[#This Row],[Mindestauslastung]]*Tabelle25[[#This Row],[Nennleistung (MW)]]</f>
        <v>171.42857142857142</v>
      </c>
      <c r="M2" s="10">
        <v>400</v>
      </c>
      <c r="N2" s="10"/>
      <c r="O2" s="10"/>
      <c r="P2" s="12" t="s">
        <v>35</v>
      </c>
      <c r="Q2" s="10"/>
    </row>
    <row r="3" spans="1:17" x14ac:dyDescent="0.25">
      <c r="A3" s="1" t="s">
        <v>29</v>
      </c>
      <c r="B3" s="1" t="s">
        <v>32</v>
      </c>
      <c r="C3" s="1">
        <v>2005</v>
      </c>
      <c r="D3" s="1"/>
      <c r="E3" s="10"/>
      <c r="F3" s="10"/>
      <c r="G3" s="10"/>
      <c r="H3" s="10"/>
      <c r="I3" s="6"/>
      <c r="J3" s="10"/>
      <c r="K3" s="6">
        <v>1</v>
      </c>
      <c r="L3" s="10">
        <f>Tabelle25[[#This Row],[Mindestauslastung]]*Tabelle25[[#This Row],[Nennleistung (MW)]]</f>
        <v>0</v>
      </c>
      <c r="M3" s="10">
        <v>0</v>
      </c>
      <c r="N3" s="10"/>
      <c r="O3" s="10"/>
      <c r="P3" s="12" t="s">
        <v>35</v>
      </c>
      <c r="Q3" s="10" t="s">
        <v>63</v>
      </c>
    </row>
    <row r="4" spans="1:17" x14ac:dyDescent="0.25">
      <c r="A4" s="5" t="s">
        <v>29</v>
      </c>
      <c r="B4" s="5" t="s">
        <v>33</v>
      </c>
      <c r="C4" s="5">
        <v>2005</v>
      </c>
      <c r="D4" s="1"/>
      <c r="E4" s="10"/>
      <c r="F4" s="10">
        <f>Tabelle25[[#This Row],[flexible Leistung (MW)]]/(1-Tabelle25[[#This Row],[Mindestauslastung]])</f>
        <v>550</v>
      </c>
      <c r="G4" s="10"/>
      <c r="H4" s="10"/>
      <c r="I4" s="6"/>
      <c r="J4" s="10"/>
      <c r="K4" s="6">
        <v>0.4</v>
      </c>
      <c r="L4" s="10">
        <f>Tabelle25[[#This Row],[Mindestauslastung]]*Tabelle25[[#This Row],[Nennleistung (MW)]]</f>
        <v>220</v>
      </c>
      <c r="M4" s="10">
        <v>330</v>
      </c>
      <c r="N4" s="10"/>
      <c r="O4" s="10"/>
      <c r="P4" s="12" t="s">
        <v>35</v>
      </c>
      <c r="Q4" s="10"/>
    </row>
    <row r="5" spans="1:17" s="9" customFormat="1" x14ac:dyDescent="0.25">
      <c r="A5" s="2" t="s">
        <v>29</v>
      </c>
      <c r="B5" s="2" t="s">
        <v>34</v>
      </c>
      <c r="C5" s="2">
        <v>2005</v>
      </c>
      <c r="D5" s="1">
        <v>15</v>
      </c>
      <c r="E5" s="10">
        <f>Tabelle25[[#This Row],[durchschnittliche Auslastung]]*8760</f>
        <v>7533.5999999999995</v>
      </c>
      <c r="F5" s="11">
        <f>SUM(F2:F4)</f>
        <v>1121.4285714285716</v>
      </c>
      <c r="G5" s="10">
        <v>1600</v>
      </c>
      <c r="H5" s="10">
        <v>1700</v>
      </c>
      <c r="I5" s="8">
        <v>0.86</v>
      </c>
      <c r="J5" s="10">
        <f>Tabelle25[[#This Row],[Nennleistung (MW)]]*Tabelle25[[#This Row],[durchschnittliche Auslastung]]</f>
        <v>964.42857142857156</v>
      </c>
      <c r="K5" s="6"/>
      <c r="L5" s="11">
        <f>SUM(L2:L4)</f>
        <v>391.42857142857144</v>
      </c>
      <c r="M5" s="11">
        <f>SUM(M2:M4)</f>
        <v>730</v>
      </c>
      <c r="N5" s="11"/>
      <c r="O5" s="11"/>
      <c r="P5" s="12" t="s">
        <v>35</v>
      </c>
      <c r="Q5" s="10"/>
    </row>
    <row r="6" spans="1:17" x14ac:dyDescent="0.25">
      <c r="A6" s="5" t="s">
        <v>29</v>
      </c>
      <c r="B6" s="5" t="s">
        <v>31</v>
      </c>
      <c r="C6" s="5">
        <v>2020</v>
      </c>
      <c r="D6" s="1"/>
      <c r="E6" s="10"/>
      <c r="F6" s="10">
        <f>Tabelle25[[#This Row],[flexible Leistung (MW)]]/(1-Tabelle25[[#This Row],[Mindestauslastung]])</f>
        <v>114.28571428571429</v>
      </c>
      <c r="G6" s="10"/>
      <c r="H6" s="10"/>
      <c r="I6" s="6"/>
      <c r="J6" s="10"/>
      <c r="K6" s="6">
        <v>0.3</v>
      </c>
      <c r="L6" s="10">
        <f>Tabelle25[[#This Row],[Mindestauslastung]]*Tabelle25[[#This Row],[Nennleistung (MW)]]</f>
        <v>34.285714285714285</v>
      </c>
      <c r="M6" s="10">
        <v>80</v>
      </c>
      <c r="N6" s="10"/>
      <c r="O6" s="10"/>
      <c r="P6" s="12" t="s">
        <v>35</v>
      </c>
      <c r="Q6" s="10"/>
    </row>
    <row r="7" spans="1:17" x14ac:dyDescent="0.25">
      <c r="A7" s="1" t="s">
        <v>29</v>
      </c>
      <c r="B7" s="1" t="s">
        <v>32</v>
      </c>
      <c r="C7" s="1">
        <v>2020</v>
      </c>
      <c r="D7" s="1"/>
      <c r="E7" s="10"/>
      <c r="F7" s="10"/>
      <c r="G7" s="10"/>
      <c r="H7" s="10"/>
      <c r="I7" s="6"/>
      <c r="J7" s="10"/>
      <c r="K7" s="6">
        <v>1</v>
      </c>
      <c r="L7" s="10">
        <f>Tabelle25[[#This Row],[Mindestauslastung]]*Tabelle25[[#This Row],[Nennleistung (MW)]]</f>
        <v>0</v>
      </c>
      <c r="M7" s="10">
        <v>0</v>
      </c>
      <c r="N7" s="10"/>
      <c r="O7" s="10"/>
      <c r="P7" s="12" t="s">
        <v>35</v>
      </c>
      <c r="Q7" s="10" t="s">
        <v>63</v>
      </c>
    </row>
    <row r="8" spans="1:17" x14ac:dyDescent="0.25">
      <c r="A8" s="5" t="s">
        <v>29</v>
      </c>
      <c r="B8" s="5" t="s">
        <v>33</v>
      </c>
      <c r="C8" s="5">
        <v>2020</v>
      </c>
      <c r="D8" s="1"/>
      <c r="E8" s="10"/>
      <c r="F8" s="10">
        <f>Tabelle25[[#This Row],[flexible Leistung (MW)]]/(1-Tabelle25[[#This Row],[Mindestauslastung]])</f>
        <v>1083.3333333333335</v>
      </c>
      <c r="G8" s="10"/>
      <c r="H8" s="10"/>
      <c r="I8" s="6"/>
      <c r="J8" s="10"/>
      <c r="K8" s="6">
        <v>0.4</v>
      </c>
      <c r="L8" s="10">
        <f>Tabelle25[[#This Row],[Mindestauslastung]]*Tabelle25[[#This Row],[Nennleistung (MW)]]</f>
        <v>433.33333333333343</v>
      </c>
      <c r="M8" s="10">
        <v>650</v>
      </c>
      <c r="N8" s="10"/>
      <c r="O8" s="10"/>
      <c r="P8" s="12" t="s">
        <v>35</v>
      </c>
      <c r="Q8" s="10"/>
    </row>
    <row r="9" spans="1:17" s="9" customFormat="1" x14ac:dyDescent="0.25">
      <c r="A9" s="2" t="s">
        <v>29</v>
      </c>
      <c r="B9" s="2" t="s">
        <v>34</v>
      </c>
      <c r="C9" s="2">
        <v>2020</v>
      </c>
      <c r="D9" s="1"/>
      <c r="E9" s="10"/>
      <c r="F9" s="11">
        <f>SUM(F6:F8)</f>
        <v>1197.6190476190477</v>
      </c>
      <c r="G9" s="10"/>
      <c r="H9" s="10"/>
      <c r="I9" s="8"/>
      <c r="J9" s="10"/>
      <c r="K9" s="6"/>
      <c r="L9" s="11">
        <f>SUM(L6:L8)</f>
        <v>467.61904761904771</v>
      </c>
      <c r="M9" s="11">
        <v>730</v>
      </c>
      <c r="N9" s="11"/>
      <c r="O9" s="11"/>
      <c r="P9" s="12" t="s">
        <v>35</v>
      </c>
      <c r="Q9" s="10"/>
    </row>
    <row r="10" spans="1:17" x14ac:dyDescent="0.25">
      <c r="A10" s="14" t="s">
        <v>41</v>
      </c>
      <c r="B10" s="2" t="s">
        <v>34</v>
      </c>
      <c r="C10" s="14">
        <v>2005</v>
      </c>
      <c r="D10" s="1">
        <v>5</v>
      </c>
      <c r="E10" s="10">
        <f>Tabelle25[[#This Row],[durchschnittliche Auslastung]]*8760</f>
        <v>8760</v>
      </c>
      <c r="F10" s="11">
        <f>Tabelle25[[#This Row],[Stromverbrauch (TWh)]]*10^6/Tabelle25[[#This Row],[Vollbenutzungsstunden]]</f>
        <v>570.77625570776252</v>
      </c>
      <c r="G10" s="10"/>
      <c r="H10" s="10"/>
      <c r="I10" s="6">
        <v>1</v>
      </c>
      <c r="J10" s="10">
        <f>Tabelle25[[#This Row],[Nennleistung (MW)]]*Tabelle25[[#This Row],[durchschnittliche Auslastung]]</f>
        <v>570.77625570776252</v>
      </c>
      <c r="K10" s="6">
        <v>0.7</v>
      </c>
      <c r="L10" s="11">
        <f>Tabelle25[[#This Row],[Mindestauslastung]]*Tabelle25[[#This Row],[Nennleistung (MW)]]</f>
        <v>399.54337899543373</v>
      </c>
      <c r="M10" s="11">
        <f>Tabelle25[[#This Row],[Nennleistung (MW)]]*(1-Tabelle25[[#This Row],[Mindestauslastung]])</f>
        <v>171.23287671232879</v>
      </c>
      <c r="N10" s="11"/>
      <c r="O10" s="11"/>
      <c r="P10" s="12">
        <v>56</v>
      </c>
      <c r="Q10" s="10"/>
    </row>
    <row r="11" spans="1:17" x14ac:dyDescent="0.25">
      <c r="A11" s="14" t="s">
        <v>41</v>
      </c>
      <c r="B11" s="2" t="s">
        <v>34</v>
      </c>
      <c r="C11" s="14">
        <v>2020</v>
      </c>
      <c r="D11" s="1">
        <v>5</v>
      </c>
      <c r="E11" s="10">
        <f>Tabelle25[[#This Row],[durchschnittliche Auslastung]]*8760</f>
        <v>8760</v>
      </c>
      <c r="F11" s="11">
        <f>Tabelle25[[#This Row],[Stromverbrauch (TWh)]]*10^6/Tabelle25[[#This Row],[Vollbenutzungsstunden]]</f>
        <v>570.77625570776252</v>
      </c>
      <c r="G11" s="10"/>
      <c r="H11" s="10"/>
      <c r="I11" s="6">
        <v>1</v>
      </c>
      <c r="J11" s="10">
        <f>Tabelle25[[#This Row],[Nennleistung (MW)]]*Tabelle25[[#This Row],[durchschnittliche Auslastung]]</f>
        <v>570.77625570776252</v>
      </c>
      <c r="K11" s="6">
        <v>0.7</v>
      </c>
      <c r="L11" s="11">
        <f>Tabelle25[[#This Row],[Mindestauslastung]]*Tabelle25[[#This Row],[Nennleistung (MW)]]</f>
        <v>399.54337899543373</v>
      </c>
      <c r="M11" s="11">
        <f>Tabelle25[[#This Row],[Nennleistung (MW)]]*(1-Tabelle25[[#This Row],[Mindestauslastung]])</f>
        <v>171.23287671232879</v>
      </c>
      <c r="N11" s="11"/>
      <c r="O11" s="11"/>
      <c r="P11" s="12">
        <v>56</v>
      </c>
      <c r="Q11" s="10"/>
    </row>
    <row r="12" spans="1:17" x14ac:dyDescent="0.25">
      <c r="A12" s="14" t="s">
        <v>45</v>
      </c>
      <c r="B12" s="14" t="s">
        <v>46</v>
      </c>
      <c r="C12" s="14">
        <v>2005</v>
      </c>
      <c r="D12" s="1"/>
      <c r="E12" s="10"/>
      <c r="F12" s="11">
        <f>Tabelle25[[#This Row],[flexible Leistung (MW)]]/(1-Tabelle25[[#This Row],[Mindestauslastung]])</f>
        <v>1200</v>
      </c>
      <c r="G12" s="10">
        <v>1100</v>
      </c>
      <c r="H12" s="10">
        <v>1300</v>
      </c>
      <c r="I12" s="6"/>
      <c r="J12" s="10"/>
      <c r="K12" s="6">
        <v>0.75</v>
      </c>
      <c r="L12" s="11">
        <f>Tabelle25[[#This Row],[Mindestauslastung]]*Tabelle25[[#This Row],[Nennleistung (MW)]]</f>
        <v>900</v>
      </c>
      <c r="M12" s="11">
        <f>AVERAGE(Tabelle25[[#This Row],[flexible Leistung min (MW)]:[flexible Leistung max (MW)]])</f>
        <v>300</v>
      </c>
      <c r="N12" s="11">
        <v>275</v>
      </c>
      <c r="O12" s="11">
        <v>325</v>
      </c>
      <c r="P12" s="12" t="s">
        <v>42</v>
      </c>
      <c r="Q12" s="10"/>
    </row>
    <row r="13" spans="1:17" x14ac:dyDescent="0.25">
      <c r="A13" s="14" t="s">
        <v>45</v>
      </c>
      <c r="B13" s="14" t="s">
        <v>46</v>
      </c>
      <c r="C13" s="14">
        <v>2020</v>
      </c>
      <c r="D13" s="1"/>
      <c r="E13" s="10"/>
      <c r="F13" s="11">
        <f>Tabelle25[[#This Row],[flexible Leistung (MW)]]/(1-Tabelle25[[#This Row],[Mindestauslastung]])</f>
        <v>400</v>
      </c>
      <c r="G13" s="10"/>
      <c r="H13" s="10"/>
      <c r="I13" s="6"/>
      <c r="J13" s="10"/>
      <c r="K13" s="6">
        <v>0.75</v>
      </c>
      <c r="L13" s="11">
        <f>Tabelle25[[#This Row],[Mindestauslastung]]*Tabelle25[[#This Row],[Nennleistung (MW)]]</f>
        <v>300</v>
      </c>
      <c r="M13" s="11">
        <v>100</v>
      </c>
      <c r="N13" s="10"/>
      <c r="O13" s="10"/>
      <c r="P13" s="12" t="s">
        <v>42</v>
      </c>
      <c r="Q13" s="10"/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4"/>
  <dimension ref="A1:BR13"/>
  <sheetViews>
    <sheetView zoomScale="85" zoomScaleNormal="8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O20" sqref="O20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20" width="24.42578125" style="1" customWidth="1"/>
    <col min="21" max="21" width="37.7109375" style="1" bestFit="1" customWidth="1"/>
    <col min="22" max="23" width="24.7109375" style="1" customWidth="1"/>
    <col min="24" max="24" width="28.42578125" style="1" customWidth="1"/>
    <col min="25" max="25" width="27.42578125" style="1" bestFit="1" customWidth="1"/>
    <col min="26" max="27" width="27.42578125" style="1" customWidth="1"/>
    <col min="28" max="28" width="20.7109375" style="1" bestFit="1" customWidth="1"/>
    <col min="29" max="33" width="20.7109375" style="1" customWidth="1"/>
    <col min="34" max="34" width="25.85546875" style="1" bestFit="1" customWidth="1"/>
    <col min="35" max="35" width="29.7109375" style="1" bestFit="1" customWidth="1"/>
    <col min="36" max="36" width="24" style="1" bestFit="1" customWidth="1"/>
    <col min="37" max="37" width="38.28515625" style="1" bestFit="1" customWidth="1"/>
    <col min="38" max="40" width="38.28515625" style="1" customWidth="1"/>
    <col min="41" max="41" width="38.28515625" style="1" bestFit="1" customWidth="1"/>
    <col min="42" max="43" width="38.28515625" style="1" customWidth="1"/>
    <col min="44" max="44" width="33.42578125" style="1" bestFit="1" customWidth="1"/>
    <col min="45" max="45" width="33.42578125" style="1" customWidth="1"/>
    <col min="46" max="46" width="25.7109375" style="1" bestFit="1" customWidth="1"/>
    <col min="47" max="47" width="25.7109375" style="1" customWidth="1"/>
    <col min="48" max="48" width="56.7109375" style="1" bestFit="1" customWidth="1"/>
    <col min="49" max="50" width="35.5703125" style="1" customWidth="1"/>
    <col min="51" max="51" width="31.7109375" style="1" bestFit="1" customWidth="1"/>
    <col min="52" max="52" width="31.5703125" style="1" bestFit="1" customWidth="1"/>
    <col min="53" max="57" width="31.5703125" style="1" customWidth="1"/>
    <col min="58" max="58" width="37.42578125" style="1" bestFit="1" customWidth="1"/>
    <col min="59" max="59" width="35.7109375" style="1" bestFit="1" customWidth="1"/>
    <col min="60" max="60" width="28.85546875" style="1" bestFit="1" customWidth="1"/>
    <col min="61" max="61" width="34" style="1" bestFit="1" customWidth="1"/>
    <col min="62" max="62" width="37.85546875" style="1" bestFit="1" customWidth="1"/>
    <col min="63" max="63" width="34.42578125" style="1" bestFit="1" customWidth="1"/>
    <col min="64" max="64" width="38.140625" style="1" bestFit="1" customWidth="1"/>
    <col min="65" max="65" width="22.85546875" style="1" bestFit="1" customWidth="1"/>
    <col min="66" max="66" width="28.5703125" style="1" bestFit="1" customWidth="1"/>
    <col min="67" max="67" width="28.28515625" style="1" bestFit="1" customWidth="1"/>
    <col min="68" max="68" width="28.28515625" style="1" customWidth="1"/>
    <col min="69" max="69" width="31" style="1" bestFit="1" customWidth="1"/>
    <col min="70" max="70" width="28.85546875" style="1" bestFit="1" customWidth="1"/>
    <col min="71" max="16384" width="11.42578125" style="1"/>
  </cols>
  <sheetData>
    <row r="1" spans="1:70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550</v>
      </c>
      <c r="Q1" s="2" t="s">
        <v>1074</v>
      </c>
      <c r="R1" s="2" t="s">
        <v>1075</v>
      </c>
      <c r="S1" s="2" t="s">
        <v>588</v>
      </c>
      <c r="T1" s="2" t="s">
        <v>589</v>
      </c>
      <c r="U1" s="2" t="s">
        <v>116</v>
      </c>
      <c r="V1" s="2" t="s">
        <v>57</v>
      </c>
      <c r="W1" s="2" t="s">
        <v>123</v>
      </c>
      <c r="X1" s="2" t="s">
        <v>58</v>
      </c>
      <c r="Y1" s="2" t="s">
        <v>9</v>
      </c>
      <c r="Z1" s="2" t="s">
        <v>423</v>
      </c>
      <c r="AA1" s="2" t="s">
        <v>225</v>
      </c>
      <c r="AB1" s="2" t="s">
        <v>157</v>
      </c>
      <c r="AC1" s="2" t="s">
        <v>227</v>
      </c>
      <c r="AD1" s="2" t="s">
        <v>228</v>
      </c>
      <c r="AE1" s="2" t="s">
        <v>158</v>
      </c>
      <c r="AF1" s="2" t="s">
        <v>214</v>
      </c>
      <c r="AG1" s="2" t="s">
        <v>215</v>
      </c>
      <c r="AH1" s="2" t="s">
        <v>3</v>
      </c>
      <c r="AI1" s="2" t="s">
        <v>10</v>
      </c>
      <c r="AJ1" s="2" t="s">
        <v>16</v>
      </c>
      <c r="AK1" s="2" t="s">
        <v>4</v>
      </c>
      <c r="AL1" s="2" t="s">
        <v>99</v>
      </c>
      <c r="AM1" s="2" t="s">
        <v>183</v>
      </c>
      <c r="AN1" s="2" t="s">
        <v>182</v>
      </c>
      <c r="AO1" s="2" t="s">
        <v>12</v>
      </c>
      <c r="AP1" s="2" t="s">
        <v>231</v>
      </c>
      <c r="AQ1" s="2" t="s">
        <v>232</v>
      </c>
      <c r="AR1" s="2" t="s">
        <v>230</v>
      </c>
      <c r="AS1" s="2" t="s">
        <v>332</v>
      </c>
      <c r="AT1" s="2" t="s">
        <v>333</v>
      </c>
      <c r="AU1" s="2" t="s">
        <v>147</v>
      </c>
      <c r="AV1" s="2" t="s">
        <v>22</v>
      </c>
      <c r="AW1" s="2" t="s">
        <v>162</v>
      </c>
      <c r="AX1" s="2" t="s">
        <v>163</v>
      </c>
      <c r="AY1" s="2" t="s">
        <v>1</v>
      </c>
      <c r="AZ1" s="2" t="s">
        <v>2</v>
      </c>
      <c r="BA1" s="2" t="s">
        <v>59</v>
      </c>
      <c r="BB1" s="2" t="s">
        <v>1089</v>
      </c>
      <c r="BC1" s="2" t="s">
        <v>236</v>
      </c>
      <c r="BD1" s="2" t="s">
        <v>117</v>
      </c>
      <c r="BE1" s="2" t="s">
        <v>60</v>
      </c>
      <c r="BF1" s="2" t="s">
        <v>61</v>
      </c>
      <c r="BG1" s="2" t="s">
        <v>98</v>
      </c>
      <c r="BH1" s="2" t="s">
        <v>5</v>
      </c>
      <c r="BI1" s="2" t="s">
        <v>6</v>
      </c>
      <c r="BJ1" s="2" t="s">
        <v>17</v>
      </c>
      <c r="BK1" s="2" t="s">
        <v>18</v>
      </c>
      <c r="BL1" s="2" t="s">
        <v>7</v>
      </c>
      <c r="BM1" s="2" t="s">
        <v>19</v>
      </c>
      <c r="BN1" s="2" t="s">
        <v>20</v>
      </c>
      <c r="BO1" s="2" t="s">
        <v>21</v>
      </c>
      <c r="BP1" s="2" t="s">
        <v>148</v>
      </c>
      <c r="BQ1" s="2" t="s">
        <v>23</v>
      </c>
      <c r="BR1" s="2" t="s">
        <v>51</v>
      </c>
    </row>
    <row r="2" spans="1:70" x14ac:dyDescent="0.2">
      <c r="A2" s="5" t="s">
        <v>54</v>
      </c>
      <c r="B2" s="1" t="s">
        <v>129</v>
      </c>
      <c r="C2" s="1">
        <v>2013</v>
      </c>
      <c r="D2" s="1">
        <v>1</v>
      </c>
      <c r="E2" s="1">
        <v>1</v>
      </c>
      <c r="F2" s="1">
        <v>0</v>
      </c>
      <c r="G2" s="18"/>
      <c r="H2" s="18"/>
      <c r="I2" s="18"/>
      <c r="J2" s="18"/>
      <c r="K2" s="18"/>
      <c r="L2" s="18"/>
      <c r="M2" s="18" t="str">
        <f>IF(Tabelle58971113[[#This Row],[Potenzial pos. max MW]]&lt;&gt;"",Tabelle58971113[[#This Row],[Potenzial pos. max MW]],"")</f>
        <v/>
      </c>
      <c r="N2" s="18"/>
      <c r="O2" s="8"/>
      <c r="P2" s="8"/>
      <c r="Q2" s="44" t="str">
        <f>IF(Tabelle58971113[[#This Row],[Durchschnittsauslastung min]]&lt;&gt;"",Tabelle58971113[[#This Row],[Durchschnittsauslastung min]]*8760,"")</f>
        <v/>
      </c>
      <c r="R2" s="44" t="str">
        <f>IF(Tabelle58971113[[#This Row],[Durchschnittsauslastung max]]&lt;&gt;"",Tabelle58971113[[#This Row],[Durchschnittsauslastung max]]*8760,"")</f>
        <v/>
      </c>
      <c r="S2" s="8"/>
      <c r="T2" s="8"/>
      <c r="U2" s="19" t="str">
        <f>IF(Tabelle58971113[[#This Row],[installierte Leistung MW]]&lt;&gt;"",Tabelle58971113[[#This Row],[Durchschnittsauslastung max]]*Tabelle58971113[[#This Row],[installierte Leistung MW]],"")</f>
        <v/>
      </c>
      <c r="V2" s="18"/>
      <c r="W2" s="8"/>
      <c r="X2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2" s="18"/>
      <c r="AN2" s="18"/>
      <c r="AO2" s="18"/>
      <c r="AP2" s="7">
        <f>40/Umrechnungsfaktoren!$B$10</f>
        <v>42.152284263959395</v>
      </c>
      <c r="AQ2" s="7">
        <f>800/Umrechnungsfaktoren!$B$10</f>
        <v>843.04568527918786</v>
      </c>
      <c r="AR2" s="18"/>
      <c r="AS2" s="7"/>
      <c r="AT2" s="7"/>
      <c r="AV2" s="1" t="s">
        <v>1076</v>
      </c>
      <c r="AY2" s="12"/>
      <c r="BA2" s="12"/>
      <c r="BB2" s="12"/>
      <c r="BC2" s="12"/>
      <c r="BD2" s="12"/>
      <c r="BF2" s="12"/>
      <c r="BG2" s="12"/>
      <c r="BN2" s="1" t="s">
        <v>343</v>
      </c>
    </row>
    <row r="3" spans="1:70" x14ac:dyDescent="0.2">
      <c r="A3" s="1" t="s">
        <v>29</v>
      </c>
      <c r="B3" s="1" t="s">
        <v>129</v>
      </c>
      <c r="C3" s="1">
        <v>2013</v>
      </c>
      <c r="D3" s="1">
        <v>1</v>
      </c>
      <c r="E3" s="1">
        <v>1</v>
      </c>
      <c r="F3" s="1">
        <v>0</v>
      </c>
      <c r="G3" s="18"/>
      <c r="H3" s="18"/>
      <c r="I3" s="18">
        <v>575</v>
      </c>
      <c r="J3" s="18"/>
      <c r="K3" s="18"/>
      <c r="L3" s="18"/>
      <c r="M3" s="18">
        <f>IF(Tabelle58971113[[#This Row],[Potenzial pos. max MW]]&lt;&gt;"",Tabelle58971113[[#This Row],[Potenzial pos. max MW]],"")</f>
        <v>575</v>
      </c>
      <c r="N3" s="18"/>
      <c r="O3" s="19"/>
      <c r="P3" s="8">
        <v>0.65</v>
      </c>
      <c r="Q3" s="44" t="str">
        <f>IF(Tabelle58971113[[#This Row],[Durchschnittsauslastung min]]&lt;&gt;"",Tabelle58971113[[#This Row],[Durchschnittsauslastung min]]*8760,"")</f>
        <v/>
      </c>
      <c r="R3" s="44" t="str">
        <f>IF(Tabelle58971113[[#This Row],[Durchschnittsauslastung max]]&lt;&gt;"",Tabelle58971113[[#This Row],[Durchschnittsauslastung max]]*8760,"")</f>
        <v/>
      </c>
      <c r="S3" s="8"/>
      <c r="T3" s="8"/>
      <c r="U3" s="19"/>
      <c r="V3" s="18"/>
      <c r="W3" s="8"/>
      <c r="X3" s="18">
        <v>910</v>
      </c>
      <c r="Y3" s="1">
        <v>0.25</v>
      </c>
      <c r="AB3" s="1">
        <v>2</v>
      </c>
      <c r="AL3" s="1">
        <v>50</v>
      </c>
      <c r="AM3" s="18"/>
      <c r="AN3" s="18"/>
      <c r="AO3" s="18"/>
      <c r="AP3" s="7"/>
      <c r="AQ3" s="7"/>
      <c r="AR3" s="7"/>
      <c r="AS3" s="7"/>
      <c r="AT3" s="7"/>
      <c r="AV3" s="1" t="s">
        <v>1070</v>
      </c>
      <c r="AY3" s="12" t="s">
        <v>336</v>
      </c>
      <c r="AZ3" s="12" t="s">
        <v>336</v>
      </c>
      <c r="BA3" s="12"/>
      <c r="BB3" s="12" t="s">
        <v>336</v>
      </c>
      <c r="BC3" s="12"/>
      <c r="BD3" s="12"/>
      <c r="BF3" s="12" t="s">
        <v>1069</v>
      </c>
      <c r="BG3" s="12" t="s">
        <v>343</v>
      </c>
      <c r="BH3" s="12" t="s">
        <v>336</v>
      </c>
      <c r="BL3" s="12" t="s">
        <v>336</v>
      </c>
      <c r="BQ3" s="1" t="s">
        <v>1071</v>
      </c>
    </row>
    <row r="4" spans="1:70" x14ac:dyDescent="0.2">
      <c r="A4" s="1" t="s">
        <v>77</v>
      </c>
      <c r="B4" s="1" t="s">
        <v>129</v>
      </c>
      <c r="C4" s="1">
        <v>2013</v>
      </c>
      <c r="D4" s="1">
        <v>1</v>
      </c>
      <c r="E4" s="1">
        <v>1</v>
      </c>
      <c r="F4" s="1">
        <v>0</v>
      </c>
      <c r="G4" s="18"/>
      <c r="H4" s="18"/>
      <c r="I4" s="18">
        <v>300</v>
      </c>
      <c r="J4" s="18"/>
      <c r="K4" s="18"/>
      <c r="L4" s="18"/>
      <c r="M4" s="18">
        <f>IF(Tabelle58971113[[#This Row],[Potenzial pos. max MW]]&lt;&gt;"",Tabelle58971113[[#This Row],[Potenzial pos. max MW]],"")</f>
        <v>300</v>
      </c>
      <c r="N4" s="18"/>
      <c r="O4" s="19"/>
      <c r="P4" s="8">
        <v>1</v>
      </c>
      <c r="Q4" s="44">
        <f>IF(Tabelle58971113[[#This Row],[Durchschnittsauslastung min]]&lt;&gt;"",Tabelle58971113[[#This Row],[Durchschnittsauslastung min]]*8760,"")</f>
        <v>7008</v>
      </c>
      <c r="R4" s="44">
        <f>IF(Tabelle58971113[[#This Row],[Durchschnittsauslastung max]]&lt;&gt;"",Tabelle58971113[[#This Row],[Durchschnittsauslastung max]]*8760,"")</f>
        <v>7446</v>
      </c>
      <c r="S4" s="8">
        <v>0.8</v>
      </c>
      <c r="T4" s="8">
        <v>0.85</v>
      </c>
      <c r="U4" s="19">
        <f>IF(Tabelle58971113[[#This Row],[installierte Leistung MW]]&lt;&gt;"",Tabelle58971113[[#This Row],[Durchschnittsauslastung max]]*Tabelle58971113[[#This Row],[installierte Leistung MW]],"")</f>
        <v>255</v>
      </c>
      <c r="V4" s="18"/>
      <c r="W4" s="8"/>
      <c r="X4" s="18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300</v>
      </c>
      <c r="Y4" s="1">
        <f>5/60</f>
        <v>8.3333333333333329E-2</v>
      </c>
      <c r="AB4" s="1">
        <v>2</v>
      </c>
      <c r="AJ4" s="1" t="s">
        <v>340</v>
      </c>
      <c r="AL4" s="1">
        <v>20</v>
      </c>
      <c r="AM4" s="18"/>
      <c r="AN4" s="18"/>
      <c r="AO4" s="18"/>
      <c r="AP4" s="7"/>
      <c r="AQ4" s="7"/>
      <c r="AR4" s="7"/>
      <c r="AS4" s="7"/>
      <c r="AT4" s="7"/>
      <c r="AY4" s="12" t="s">
        <v>336</v>
      </c>
      <c r="AZ4" s="12" t="s">
        <v>336</v>
      </c>
      <c r="BA4" s="12"/>
      <c r="BB4" s="12" t="s">
        <v>336</v>
      </c>
      <c r="BC4" s="12" t="s">
        <v>342</v>
      </c>
      <c r="BD4" s="12"/>
      <c r="BF4" s="12"/>
      <c r="BG4" s="12" t="s">
        <v>341</v>
      </c>
      <c r="BH4" s="12" t="s">
        <v>336</v>
      </c>
      <c r="BL4" s="12" t="s">
        <v>341</v>
      </c>
    </row>
    <row r="5" spans="1:70" x14ac:dyDescent="0.2">
      <c r="A5" s="1" t="s">
        <v>81</v>
      </c>
      <c r="B5" s="1" t="s">
        <v>129</v>
      </c>
      <c r="C5" s="1">
        <v>2013</v>
      </c>
      <c r="D5" s="1">
        <v>1</v>
      </c>
      <c r="E5" s="1">
        <v>1</v>
      </c>
      <c r="F5" s="1">
        <v>0</v>
      </c>
      <c r="G5" s="18"/>
      <c r="H5" s="18"/>
      <c r="I5" s="18"/>
      <c r="J5" s="18"/>
      <c r="K5" s="18"/>
      <c r="L5" s="18"/>
      <c r="M5" s="18" t="str">
        <f>IF(Tabelle58971113[[#This Row],[Potenzial pos. max MW]]&lt;&gt;"",Tabelle58971113[[#This Row],[Potenzial pos. max MW]],"")</f>
        <v/>
      </c>
      <c r="N5" s="18"/>
      <c r="O5" s="19"/>
      <c r="P5" s="8"/>
      <c r="Q5" s="44" t="str">
        <f>IF(Tabelle58971113[[#This Row],[Durchschnittsauslastung min]]&lt;&gt;"",Tabelle58971113[[#This Row],[Durchschnittsauslastung min]]*8760,"")</f>
        <v/>
      </c>
      <c r="R5" s="44" t="str">
        <f>IF(Tabelle58971113[[#This Row],[Durchschnittsauslastung max]]&lt;&gt;"",Tabelle58971113[[#This Row],[Durchschnittsauslastung max]]*8760,"")</f>
        <v/>
      </c>
      <c r="S5" s="8"/>
      <c r="T5" s="8"/>
      <c r="U5" s="19" t="str">
        <f>IF(Tabelle58971113[[#This Row],[installierte Leistung MW]]&lt;&gt;"",Tabelle58971113[[#This Row],[Durchschnittsauslastung max]]*Tabelle58971113[[#This Row],[installierte Leistung MW]],"")</f>
        <v/>
      </c>
      <c r="V5" s="18"/>
      <c r="W5" s="8"/>
      <c r="X5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5" s="18"/>
      <c r="AN5" s="18"/>
      <c r="AO5" s="18"/>
      <c r="AP5" s="7"/>
      <c r="AQ5" s="7"/>
      <c r="AR5" s="7"/>
      <c r="AS5" s="7"/>
      <c r="AT5" s="7"/>
      <c r="AY5" s="12"/>
      <c r="AZ5" s="12"/>
      <c r="BA5" s="12"/>
      <c r="BB5" s="12"/>
      <c r="BC5" s="12"/>
      <c r="BD5" s="12"/>
      <c r="BF5" s="12"/>
      <c r="BG5" s="12"/>
      <c r="BH5" s="12"/>
      <c r="BL5" s="12"/>
    </row>
    <row r="6" spans="1:70" x14ac:dyDescent="0.2">
      <c r="A6" s="1" t="s">
        <v>84</v>
      </c>
      <c r="B6" s="1" t="s">
        <v>129</v>
      </c>
      <c r="C6" s="1">
        <v>2013</v>
      </c>
      <c r="D6" s="1">
        <v>1</v>
      </c>
      <c r="E6" s="1">
        <v>1</v>
      </c>
      <c r="F6" s="1">
        <v>0</v>
      </c>
      <c r="G6" s="18"/>
      <c r="H6" s="18"/>
      <c r="I6" s="18">
        <v>680</v>
      </c>
      <c r="J6" s="18"/>
      <c r="K6" s="18"/>
      <c r="L6" s="18"/>
      <c r="M6" s="18">
        <f>IF(Tabelle58971113[[#This Row],[Potenzial pos. max MW]]&lt;&gt;"",Tabelle58971113[[#This Row],[Potenzial pos. max MW]],"")</f>
        <v>680</v>
      </c>
      <c r="N6" s="18"/>
      <c r="O6" s="19"/>
      <c r="P6" s="8">
        <v>0.75</v>
      </c>
      <c r="Q6" s="44" t="str">
        <f>IF(Tabelle58971113[[#This Row],[Durchschnittsauslastung min]]&lt;&gt;"",Tabelle58971113[[#This Row],[Durchschnittsauslastung min]]*8760,"")</f>
        <v/>
      </c>
      <c r="R6" s="44" t="str">
        <f>IF(Tabelle58971113[[#This Row],[Durchschnittsauslastung max]]&lt;&gt;"",Tabelle58971113[[#This Row],[Durchschnittsauslastung max]]*8760,"")</f>
        <v/>
      </c>
      <c r="S6" s="8"/>
      <c r="T6" s="8"/>
      <c r="U6" s="19"/>
      <c r="V6" s="18"/>
      <c r="W6" s="8"/>
      <c r="X6" s="18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906.66666666666663</v>
      </c>
      <c r="AB6" s="1">
        <v>2</v>
      </c>
      <c r="AJ6" s="1" t="s">
        <v>1068</v>
      </c>
      <c r="AL6" s="1">
        <v>50</v>
      </c>
      <c r="AM6" s="18"/>
      <c r="AN6" s="18"/>
      <c r="AO6" s="18"/>
      <c r="AP6" s="7"/>
      <c r="AQ6" s="7"/>
      <c r="AR6" s="7"/>
      <c r="AS6" s="7"/>
      <c r="AT6" s="7"/>
      <c r="AY6" s="12" t="s">
        <v>336</v>
      </c>
      <c r="AZ6" s="12" t="s">
        <v>336</v>
      </c>
      <c r="BA6" s="12"/>
      <c r="BB6" s="12" t="s">
        <v>336</v>
      </c>
      <c r="BC6" s="12"/>
      <c r="BD6" s="12"/>
      <c r="BF6" s="12"/>
      <c r="BG6" s="12"/>
      <c r="BH6" s="12" t="s">
        <v>336</v>
      </c>
      <c r="BL6" s="12" t="s">
        <v>336</v>
      </c>
    </row>
    <row r="7" spans="1:70" x14ac:dyDescent="0.2">
      <c r="A7" s="1" t="s">
        <v>880</v>
      </c>
      <c r="B7" s="1" t="s">
        <v>129</v>
      </c>
      <c r="C7" s="1">
        <v>2013</v>
      </c>
      <c r="D7" s="1">
        <v>1</v>
      </c>
      <c r="E7" s="1">
        <v>1</v>
      </c>
      <c r="F7" s="1">
        <v>0</v>
      </c>
      <c r="G7" s="18"/>
      <c r="H7" s="18"/>
      <c r="I7" s="18">
        <v>150</v>
      </c>
      <c r="J7" s="18"/>
      <c r="K7" s="18"/>
      <c r="L7" s="18"/>
      <c r="M7" s="18">
        <f>IF(Tabelle58971113[[#This Row],[Potenzial pos. max MW]]&lt;&gt;"",Tabelle58971113[[#This Row],[Potenzial pos. max MW]],"")</f>
        <v>150</v>
      </c>
      <c r="N7" s="18"/>
      <c r="O7" s="19"/>
      <c r="P7" s="8">
        <v>0.4</v>
      </c>
      <c r="Q7" s="44">
        <v>5000</v>
      </c>
      <c r="R7" s="44">
        <v>6000</v>
      </c>
      <c r="S7" s="8">
        <f>Tabelle58971113[[#This Row],[Vollbenutzungsstunden min]]/8760</f>
        <v>0.57077625570776258</v>
      </c>
      <c r="T7" s="8">
        <f>Tabelle58971113[[#This Row],[Vollbenutzungsstunden max]]/8760</f>
        <v>0.68493150684931503</v>
      </c>
      <c r="U7" s="19">
        <f>IF(Tabelle58971113[[#This Row],[installierte Leistung MW]]&lt;&gt;"",Tabelle58971113[[#This Row],[Durchschnittsauslastung max]]*Tabelle58971113[[#This Row],[installierte Leistung MW]],"")</f>
        <v>256.84931506849313</v>
      </c>
      <c r="V7" s="18"/>
      <c r="W7" s="8"/>
      <c r="X7" s="18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>375</v>
      </c>
      <c r="Y7" s="1">
        <v>0.25</v>
      </c>
      <c r="AB7" s="1">
        <v>4</v>
      </c>
      <c r="AJ7" s="1" t="s">
        <v>337</v>
      </c>
      <c r="AL7" s="1">
        <v>50</v>
      </c>
      <c r="AM7" s="18"/>
      <c r="AN7" s="18"/>
      <c r="AO7" s="18"/>
      <c r="AP7" s="7"/>
      <c r="AQ7" s="7"/>
      <c r="AR7" s="7"/>
      <c r="AS7" s="7"/>
      <c r="AT7" s="7"/>
      <c r="AV7" s="1" t="s">
        <v>1073</v>
      </c>
      <c r="AY7" s="12" t="s">
        <v>336</v>
      </c>
      <c r="AZ7" s="12" t="s">
        <v>336</v>
      </c>
      <c r="BA7" s="12"/>
      <c r="BB7" s="12" t="s">
        <v>336</v>
      </c>
      <c r="BC7" s="12" t="s">
        <v>338</v>
      </c>
      <c r="BD7" s="12"/>
      <c r="BF7" s="12"/>
      <c r="BG7" s="12" t="s">
        <v>339</v>
      </c>
      <c r="BH7" s="12" t="s">
        <v>336</v>
      </c>
      <c r="BK7" s="1" t="s">
        <v>338</v>
      </c>
      <c r="BL7" s="12" t="s">
        <v>336</v>
      </c>
      <c r="BQ7" s="1" t="s">
        <v>339</v>
      </c>
    </row>
    <row r="8" spans="1:70" x14ac:dyDescent="0.2">
      <c r="A8" s="1" t="s">
        <v>211</v>
      </c>
      <c r="B8" s="1" t="s">
        <v>129</v>
      </c>
      <c r="C8" s="1">
        <v>2013</v>
      </c>
      <c r="D8" s="1">
        <v>1</v>
      </c>
      <c r="E8" s="1">
        <v>0</v>
      </c>
      <c r="F8" s="1">
        <v>0</v>
      </c>
      <c r="G8" s="18"/>
      <c r="H8" s="18"/>
      <c r="I8" s="18"/>
      <c r="J8" s="18"/>
      <c r="K8" s="18"/>
      <c r="L8" s="18"/>
      <c r="M8" s="18" t="str">
        <f>IF(Tabelle58971113[[#This Row],[Potenzial pos. max MW]]&lt;&gt;"",Tabelle58971113[[#This Row],[Potenzial pos. max MW]],"")</f>
        <v/>
      </c>
      <c r="N8" s="18"/>
      <c r="O8" s="19"/>
      <c r="P8" s="8"/>
      <c r="Q8" s="44" t="str">
        <f>IF(Tabelle58971113[[#This Row],[Durchschnittsauslastung min]]&lt;&gt;"",Tabelle58971113[[#This Row],[Durchschnittsauslastung min]]*8760,"")</f>
        <v/>
      </c>
      <c r="R8" s="44" t="str">
        <f>IF(Tabelle58971113[[#This Row],[Durchschnittsauslastung max]]&lt;&gt;"",Tabelle58971113[[#This Row],[Durchschnittsauslastung max]]*8760,"")</f>
        <v/>
      </c>
      <c r="S8" s="8"/>
      <c r="T8" s="8"/>
      <c r="U8" s="19" t="str">
        <f>IF(Tabelle58971113[[#This Row],[installierte Leistung MW]]&lt;&gt;"",Tabelle58971113[[#This Row],[Durchschnittsauslastung max]]*Tabelle58971113[[#This Row],[installierte Leistung MW]],"")</f>
        <v/>
      </c>
      <c r="V8" s="18"/>
      <c r="W8" s="8"/>
      <c r="X8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Z8" s="1">
        <v>0.25</v>
      </c>
      <c r="AA8" s="1">
        <v>2</v>
      </c>
      <c r="AC8" s="1">
        <v>0.25</v>
      </c>
      <c r="AD8" s="1">
        <v>2</v>
      </c>
      <c r="AM8" s="18"/>
      <c r="AN8" s="18"/>
      <c r="AO8" s="18"/>
      <c r="AP8" s="7"/>
      <c r="AQ8" s="7"/>
      <c r="AR8" s="7"/>
      <c r="AS8" s="7"/>
      <c r="AT8" s="7"/>
      <c r="AY8" s="12"/>
      <c r="AZ8" s="12"/>
      <c r="BA8" s="12"/>
      <c r="BB8" s="12"/>
      <c r="BC8" s="12"/>
      <c r="BD8" s="12"/>
      <c r="BF8" s="12"/>
      <c r="BG8" s="12"/>
      <c r="BH8" s="1" t="s">
        <v>344</v>
      </c>
    </row>
    <row r="9" spans="1:70" x14ac:dyDescent="0.2">
      <c r="A9" s="1" t="s">
        <v>209</v>
      </c>
      <c r="B9" s="1" t="s">
        <v>129</v>
      </c>
      <c r="C9" s="1">
        <v>2013</v>
      </c>
      <c r="D9" s="1">
        <v>1</v>
      </c>
      <c r="E9" s="1">
        <v>0</v>
      </c>
      <c r="F9" s="1">
        <v>0</v>
      </c>
      <c r="G9" s="18"/>
      <c r="H9" s="18"/>
      <c r="I9" s="18"/>
      <c r="J9" s="18"/>
      <c r="K9" s="18"/>
      <c r="L9" s="18"/>
      <c r="M9" s="18" t="str">
        <f>IF(Tabelle58971113[[#This Row],[Potenzial pos. max MW]]&lt;&gt;"",Tabelle58971113[[#This Row],[Potenzial pos. max MW]],"")</f>
        <v/>
      </c>
      <c r="N9" s="18"/>
      <c r="O9" s="19"/>
      <c r="P9" s="8"/>
      <c r="Q9" s="44" t="str">
        <f>IF(Tabelle58971113[[#This Row],[Durchschnittsauslastung min]]&lt;&gt;"",Tabelle58971113[[#This Row],[Durchschnittsauslastung min]]*8760,"")</f>
        <v/>
      </c>
      <c r="R9" s="44" t="str">
        <f>IF(Tabelle58971113[[#This Row],[Durchschnittsauslastung max]]&lt;&gt;"",Tabelle58971113[[#This Row],[Durchschnittsauslastung max]]*8760,"")</f>
        <v/>
      </c>
      <c r="S9" s="8"/>
      <c r="T9" s="8"/>
      <c r="U9" s="19" t="str">
        <f>IF(Tabelle58971113[[#This Row],[installierte Leistung MW]]&lt;&gt;"",Tabelle58971113[[#This Row],[Durchschnittsauslastung max]]*Tabelle58971113[[#This Row],[installierte Leistung MW]],"")</f>
        <v/>
      </c>
      <c r="V9" s="18"/>
      <c r="W9" s="8"/>
      <c r="X9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9" s="18"/>
      <c r="AN9" s="18"/>
      <c r="AO9" s="18"/>
      <c r="AP9" s="7"/>
      <c r="AQ9" s="7"/>
      <c r="AR9" s="7"/>
      <c r="AS9" s="7"/>
      <c r="AT9" s="7"/>
      <c r="AY9" s="12"/>
      <c r="AZ9" s="12"/>
      <c r="BA9" s="12"/>
      <c r="BB9" s="12"/>
      <c r="BC9" s="12"/>
      <c r="BD9" s="12"/>
      <c r="BF9" s="12"/>
      <c r="BG9" s="12"/>
    </row>
    <row r="10" spans="1:70" x14ac:dyDescent="0.2">
      <c r="A10" s="1" t="s">
        <v>212</v>
      </c>
      <c r="B10" s="1" t="s">
        <v>129</v>
      </c>
      <c r="C10" s="1">
        <v>2013</v>
      </c>
      <c r="D10" s="1">
        <v>1</v>
      </c>
      <c r="E10" s="1">
        <v>0</v>
      </c>
      <c r="F10" s="1">
        <v>0</v>
      </c>
      <c r="G10" s="18"/>
      <c r="H10" s="18"/>
      <c r="I10" s="18"/>
      <c r="J10" s="18"/>
      <c r="K10" s="18"/>
      <c r="L10" s="18"/>
      <c r="M10" s="18" t="str">
        <f>IF(Tabelle58971113[[#This Row],[Potenzial pos. max MW]]&lt;&gt;"",Tabelle58971113[[#This Row],[Potenzial pos. max MW]],"")</f>
        <v/>
      </c>
      <c r="N10" s="18"/>
      <c r="O10" s="19"/>
      <c r="P10" s="8"/>
      <c r="Q10" s="44" t="str">
        <f>IF(Tabelle58971113[[#This Row],[Durchschnittsauslastung min]]&lt;&gt;"",Tabelle58971113[[#This Row],[Durchschnittsauslastung min]]*8760,"")</f>
        <v/>
      </c>
      <c r="R10" s="44" t="str">
        <f>IF(Tabelle58971113[[#This Row],[Durchschnittsauslastung max]]&lt;&gt;"",Tabelle58971113[[#This Row],[Durchschnittsauslastung max]]*8760,"")</f>
        <v/>
      </c>
      <c r="S10" s="8"/>
      <c r="T10" s="8"/>
      <c r="U10" s="19" t="str">
        <f>IF(Tabelle58971113[[#This Row],[installierte Leistung MW]]&lt;&gt;"",Tabelle58971113[[#This Row],[Durchschnittsauslastung max]]*Tabelle58971113[[#This Row],[installierte Leistung MW]],"")</f>
        <v/>
      </c>
      <c r="V10" s="18"/>
      <c r="W10" s="8"/>
      <c r="X10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M10" s="18"/>
      <c r="AN10" s="18"/>
      <c r="AO10" s="18"/>
      <c r="AP10" s="7"/>
      <c r="AQ10" s="7"/>
      <c r="AR10" s="7"/>
      <c r="AS10" s="7"/>
      <c r="AT10" s="7"/>
      <c r="AY10" s="12"/>
      <c r="AZ10" s="12"/>
      <c r="BA10" s="12"/>
      <c r="BB10" s="12"/>
      <c r="BC10" s="12"/>
      <c r="BD10" s="12"/>
      <c r="BF10" s="12"/>
      <c r="BG10" s="12"/>
    </row>
    <row r="11" spans="1:70" x14ac:dyDescent="0.2">
      <c r="A11" s="1" t="s">
        <v>141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8"/>
      <c r="H11" s="18"/>
      <c r="I11" s="18"/>
      <c r="J11" s="18"/>
      <c r="K11" s="18"/>
      <c r="L11" s="18"/>
      <c r="M11" s="18" t="str">
        <f>IF(Tabelle58971113[[#This Row],[Potenzial pos. max MW]]&lt;&gt;"",Tabelle58971113[[#This Row],[Potenzial pos. max MW]],"")</f>
        <v/>
      </c>
      <c r="N11" s="18"/>
      <c r="O11" s="19"/>
      <c r="P11" s="8"/>
      <c r="Q11" s="44" t="str">
        <f>IF(Tabelle58971113[[#This Row],[Durchschnittsauslastung min]]&lt;&gt;"",Tabelle58971113[[#This Row],[Durchschnittsauslastung min]]*8760,"")</f>
        <v/>
      </c>
      <c r="R11" s="44" t="str">
        <f>IF(Tabelle58971113[[#This Row],[Durchschnittsauslastung max]]&lt;&gt;"",Tabelle58971113[[#This Row],[Durchschnittsauslastung max]]*8760,"")</f>
        <v/>
      </c>
      <c r="S11" s="8"/>
      <c r="T11" s="8"/>
      <c r="U11" s="19" t="str">
        <f>IF(Tabelle58971113[[#This Row],[installierte Leistung MW]]&lt;&gt;"",Tabelle58971113[[#This Row],[Durchschnittsauslastung max]]*Tabelle58971113[[#This Row],[installierte Leistung MW]],"")</f>
        <v/>
      </c>
      <c r="V11" s="18"/>
      <c r="W11" s="8"/>
      <c r="X11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Z11" s="1">
        <v>5</v>
      </c>
      <c r="AA11" s="1">
        <v>12</v>
      </c>
      <c r="AG11" s="1">
        <v>24</v>
      </c>
      <c r="AM11" s="18"/>
      <c r="AN11" s="18"/>
      <c r="AO11" s="18"/>
      <c r="AP11" s="7"/>
      <c r="AQ11" s="7"/>
      <c r="AR11" s="7"/>
      <c r="AS11" s="7"/>
      <c r="AT11" s="7"/>
      <c r="AY11" s="12"/>
      <c r="AZ11" s="12"/>
      <c r="BA11" s="12"/>
      <c r="BB11" s="12"/>
      <c r="BC11" s="12"/>
      <c r="BD11" s="12"/>
      <c r="BF11" s="12"/>
      <c r="BG11" s="12"/>
      <c r="BH11" s="1" t="s">
        <v>345</v>
      </c>
      <c r="BI11" s="1" t="s">
        <v>345</v>
      </c>
    </row>
    <row r="12" spans="1:70" x14ac:dyDescent="0.2">
      <c r="A12" s="1" t="s">
        <v>137</v>
      </c>
      <c r="B12" s="1" t="s">
        <v>142</v>
      </c>
      <c r="C12" s="1">
        <v>2013</v>
      </c>
      <c r="D12" s="1">
        <v>1</v>
      </c>
      <c r="E12" s="1">
        <v>0</v>
      </c>
      <c r="F12" s="1">
        <v>0</v>
      </c>
      <c r="G12" s="18"/>
      <c r="H12" s="18"/>
      <c r="I12" s="18"/>
      <c r="J12" s="18"/>
      <c r="K12" s="18"/>
      <c r="L12" s="18"/>
      <c r="M12" s="18" t="str">
        <f>IF(Tabelle58971113[[#This Row],[Potenzial pos. max MW]]&lt;&gt;"",Tabelle58971113[[#This Row],[Potenzial pos. max MW]],"")</f>
        <v/>
      </c>
      <c r="N12" s="18"/>
      <c r="O12" s="19"/>
      <c r="P12" s="8"/>
      <c r="Q12" s="44" t="str">
        <f>IF(Tabelle58971113[[#This Row],[Durchschnittsauslastung min]]&lt;&gt;"",Tabelle58971113[[#This Row],[Durchschnittsauslastung min]]*8760,"")</f>
        <v/>
      </c>
      <c r="R12" s="44" t="str">
        <f>IF(Tabelle58971113[[#This Row],[Durchschnittsauslastung max]]&lt;&gt;"",Tabelle58971113[[#This Row],[Durchschnittsauslastung max]]*8760,"")</f>
        <v/>
      </c>
      <c r="S12" s="8"/>
      <c r="T12" s="8"/>
      <c r="U12" s="19" t="str">
        <f>IF(Tabelle58971113[[#This Row],[installierte Leistung MW]]&lt;&gt;"",Tabelle58971113[[#This Row],[Durchschnittsauslastung max]]*Tabelle58971113[[#This Row],[installierte Leistung MW]],"")</f>
        <v/>
      </c>
      <c r="V12" s="18"/>
      <c r="W12" s="8"/>
      <c r="X12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AB12" s="1">
        <v>1</v>
      </c>
      <c r="AG12" s="1">
        <v>12</v>
      </c>
      <c r="AJ12" s="1" t="s">
        <v>346</v>
      </c>
      <c r="AM12" s="18"/>
      <c r="AN12" s="18"/>
      <c r="AO12" s="18"/>
      <c r="AP12" s="7"/>
      <c r="AQ12" s="7"/>
      <c r="AR12" s="7"/>
      <c r="AS12" s="7"/>
      <c r="AT12" s="7"/>
      <c r="AY12" s="12"/>
      <c r="AZ12" s="12"/>
      <c r="BA12" s="12"/>
      <c r="BB12" s="12"/>
      <c r="BC12" s="12"/>
      <c r="BD12" s="12"/>
      <c r="BF12" s="12"/>
      <c r="BG12" s="12"/>
      <c r="BH12" s="1" t="s">
        <v>347</v>
      </c>
      <c r="BI12" s="1" t="s">
        <v>347</v>
      </c>
      <c r="BK12" s="1" t="s">
        <v>348</v>
      </c>
    </row>
    <row r="13" spans="1:70" x14ac:dyDescent="0.2">
      <c r="A13" s="1" t="s">
        <v>213</v>
      </c>
      <c r="B13" s="1" t="s">
        <v>142</v>
      </c>
      <c r="C13" s="1">
        <v>2013</v>
      </c>
      <c r="D13" s="1">
        <v>1</v>
      </c>
      <c r="E13" s="1">
        <v>0</v>
      </c>
      <c r="F13" s="1">
        <v>0</v>
      </c>
      <c r="G13" s="18">
        <v>160</v>
      </c>
      <c r="H13" s="18"/>
      <c r="I13" s="18">
        <v>17300</v>
      </c>
      <c r="J13" s="18"/>
      <c r="K13" s="18">
        <v>160</v>
      </c>
      <c r="L13" s="18"/>
      <c r="M13" s="18">
        <f>IF(Tabelle58971113[[#This Row],[Potenzial pos. max MW]]&lt;&gt;"",Tabelle58971113[[#This Row],[Potenzial pos. max MW]],"")</f>
        <v>17300</v>
      </c>
      <c r="N13" s="18"/>
      <c r="O13" s="19"/>
      <c r="P13" s="63"/>
      <c r="Q13" s="44" t="str">
        <f>IF(Tabelle58971113[[#This Row],[Durchschnittsauslastung min]]&lt;&gt;"",Tabelle58971113[[#This Row],[Durchschnittsauslastung min]]*8760,"")</f>
        <v/>
      </c>
      <c r="R13" s="44"/>
      <c r="S13" s="63"/>
      <c r="T13" s="63"/>
      <c r="U13" s="19" t="str">
        <f>IF(Tabelle58971113[[#This Row],[installierte Leistung MW]]&lt;&gt;"",Tabelle58971113[[#This Row],[Durchschnittsauslastung max]]*Tabelle58971113[[#This Row],[installierte Leistung MW]],"")</f>
        <v/>
      </c>
      <c r="V13" s="18"/>
      <c r="W13" s="8"/>
      <c r="X13" s="18" t="str">
        <f>IF(AND(Tabelle58971113[[#This Row],[flexibilisierbarer Anteil an installierter Leistung]]&lt;&gt;"",Tabelle58971113[[#This Row],[Potenzial pos. max MW]]&lt;&gt;""),Tabelle58971113[[#This Row],[Potenzial pos. max MW]]/Tabelle58971113[[#This Row],[flexibilisierbarer Anteil an installierter Leistung]],"")</f>
        <v/>
      </c>
      <c r="Y13" s="64"/>
      <c r="Z13" s="64"/>
      <c r="AA13" s="64"/>
      <c r="AM13" s="18"/>
      <c r="AN13" s="18"/>
      <c r="AO13" s="18"/>
      <c r="AP13" s="7"/>
      <c r="AQ13" s="7"/>
      <c r="AR13" s="7"/>
      <c r="AS13" s="7"/>
      <c r="AT13" s="7"/>
      <c r="AY13" s="12" t="s">
        <v>1072</v>
      </c>
      <c r="AZ13" s="12" t="s">
        <v>1072</v>
      </c>
      <c r="BA13" s="12"/>
      <c r="BB13" s="12"/>
      <c r="BC13" s="12"/>
      <c r="BD13" s="12"/>
      <c r="BF13" s="12"/>
      <c r="BG13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Dropdown!$C$2:$C$4</xm:f>
          </x14:formula1>
          <xm:sqref>B2:B13</xm:sqref>
        </x14:dataValidation>
        <x14:dataValidation type="list" allowBlank="1" showInputMessage="1" showErrorMessage="1" xr:uid="{00000000-0002-0000-0700-000001000000}">
          <x14:formula1>
            <xm:f>Dropdown!$A$2:$A$103</xm:f>
          </x14:formula1>
          <xm:sqref>A2:A13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5"/>
  <dimension ref="A1:BP8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AH1" sqref="AH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8" width="24.42578125" style="1" customWidth="1"/>
    <col min="19" max="19" width="37.7109375" style="1" bestFit="1" customWidth="1"/>
    <col min="20" max="21" width="24.7109375" style="1" customWidth="1"/>
    <col min="22" max="22" width="28.42578125" style="1" customWidth="1"/>
    <col min="23" max="23" width="27.42578125" style="1" bestFit="1" customWidth="1"/>
    <col min="24" max="25" width="27.42578125" style="1" customWidth="1"/>
    <col min="26" max="26" width="20.7109375" style="1" bestFit="1" customWidth="1"/>
    <col min="27" max="31" width="20.7109375" style="1" customWidth="1"/>
    <col min="32" max="32" width="25.85546875" style="1" bestFit="1" customWidth="1"/>
    <col min="33" max="33" width="29.7109375" style="1" bestFit="1" customWidth="1"/>
    <col min="34" max="34" width="24" style="1" bestFit="1" customWidth="1"/>
    <col min="35" max="35" width="38.28515625" style="1" bestFit="1" customWidth="1"/>
    <col min="36" max="38" width="38.28515625" style="1" customWidth="1"/>
    <col min="39" max="39" width="38.28515625" style="1" bestFit="1" customWidth="1"/>
    <col min="40" max="41" width="38.28515625" style="1" customWidth="1"/>
    <col min="42" max="42" width="33.42578125" style="1" bestFit="1" customWidth="1"/>
    <col min="43" max="43" width="33.42578125" style="1" customWidth="1"/>
    <col min="44" max="44" width="25.7109375" style="1" bestFit="1" customWidth="1"/>
    <col min="45" max="45" width="25.7109375" style="1" customWidth="1"/>
    <col min="46" max="46" width="56.7109375" style="1" bestFit="1" customWidth="1"/>
    <col min="47" max="48" width="35.5703125" style="1" customWidth="1"/>
    <col min="49" max="49" width="31.7109375" style="1" bestFit="1" customWidth="1"/>
    <col min="50" max="50" width="31.5703125" style="1" bestFit="1" customWidth="1"/>
    <col min="51" max="55" width="31.5703125" style="1" customWidth="1"/>
    <col min="56" max="56" width="37.42578125" style="1" bestFit="1" customWidth="1"/>
    <col min="57" max="57" width="35.7109375" style="1" bestFit="1" customWidth="1"/>
    <col min="58" max="58" width="28.85546875" style="1" bestFit="1" customWidth="1"/>
    <col min="59" max="59" width="34" style="1" bestFit="1" customWidth="1"/>
    <col min="60" max="60" width="37.85546875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67" width="31" style="1" bestFit="1" customWidth="1"/>
    <col min="68" max="68" width="28.85546875" style="1" bestFit="1" customWidth="1"/>
    <col min="69" max="16384" width="11.42578125" style="1"/>
  </cols>
  <sheetData>
    <row r="1" spans="1:68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87</v>
      </c>
      <c r="Q1" s="2" t="s">
        <v>330</v>
      </c>
      <c r="R1" s="2" t="s">
        <v>235</v>
      </c>
      <c r="S1" s="2" t="s">
        <v>116</v>
      </c>
      <c r="T1" s="2" t="s">
        <v>57</v>
      </c>
      <c r="U1" s="2" t="s">
        <v>123</v>
      </c>
      <c r="V1" s="2" t="s">
        <v>58</v>
      </c>
      <c r="W1" s="2" t="s">
        <v>9</v>
      </c>
      <c r="X1" s="2" t="s">
        <v>423</v>
      </c>
      <c r="Y1" s="2" t="s">
        <v>225</v>
      </c>
      <c r="Z1" s="2" t="s">
        <v>157</v>
      </c>
      <c r="AA1" s="2" t="s">
        <v>227</v>
      </c>
      <c r="AB1" s="2" t="s">
        <v>228</v>
      </c>
      <c r="AC1" s="2" t="s">
        <v>158</v>
      </c>
      <c r="AD1" s="2" t="s">
        <v>214</v>
      </c>
      <c r="AE1" s="2" t="s">
        <v>215</v>
      </c>
      <c r="AF1" s="2" t="s">
        <v>3</v>
      </c>
      <c r="AG1" s="2" t="s">
        <v>10</v>
      </c>
      <c r="AH1" s="2" t="s">
        <v>16</v>
      </c>
      <c r="AI1" s="2" t="s">
        <v>4</v>
      </c>
      <c r="AJ1" s="2" t="s">
        <v>99</v>
      </c>
      <c r="AK1" s="2" t="s">
        <v>183</v>
      </c>
      <c r="AL1" s="2" t="s">
        <v>182</v>
      </c>
      <c r="AM1" s="2" t="s">
        <v>12</v>
      </c>
      <c r="AN1" s="2" t="s">
        <v>231</v>
      </c>
      <c r="AO1" s="2" t="s">
        <v>232</v>
      </c>
      <c r="AP1" s="2" t="s">
        <v>230</v>
      </c>
      <c r="AQ1" s="2" t="s">
        <v>332</v>
      </c>
      <c r="AR1" s="2" t="s">
        <v>333</v>
      </c>
      <c r="AS1" s="2" t="s">
        <v>147</v>
      </c>
      <c r="AT1" s="2" t="s">
        <v>22</v>
      </c>
      <c r="AU1" s="2" t="s">
        <v>162</v>
      </c>
      <c r="AV1" s="2" t="s">
        <v>163</v>
      </c>
      <c r="AW1" s="2" t="s">
        <v>1</v>
      </c>
      <c r="AX1" s="2" t="s">
        <v>2</v>
      </c>
      <c r="AY1" s="2" t="s">
        <v>59</v>
      </c>
      <c r="AZ1" s="2" t="s">
        <v>1089</v>
      </c>
      <c r="BA1" s="2" t="s">
        <v>236</v>
      </c>
      <c r="BB1" s="2" t="s">
        <v>117</v>
      </c>
      <c r="BC1" s="2" t="s">
        <v>60</v>
      </c>
      <c r="BD1" s="2" t="s">
        <v>61</v>
      </c>
      <c r="BE1" s="2" t="s">
        <v>98</v>
      </c>
      <c r="BF1" s="2" t="s">
        <v>5</v>
      </c>
      <c r="BG1" s="2" t="s">
        <v>6</v>
      </c>
      <c r="BH1" s="2" t="s">
        <v>17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148</v>
      </c>
      <c r="BO1" s="2" t="s">
        <v>23</v>
      </c>
      <c r="BP1" s="2" t="s">
        <v>51</v>
      </c>
    </row>
    <row r="2" spans="1:68" x14ac:dyDescent="0.2">
      <c r="A2" s="5" t="s">
        <v>758</v>
      </c>
      <c r="B2" s="1" t="s">
        <v>129</v>
      </c>
      <c r="C2" s="1">
        <v>2013</v>
      </c>
      <c r="D2" s="1">
        <v>1</v>
      </c>
      <c r="E2" s="1">
        <v>0</v>
      </c>
      <c r="F2" s="1">
        <v>0</v>
      </c>
      <c r="G2" s="18"/>
      <c r="H2" s="18"/>
      <c r="I2" s="18">
        <v>500</v>
      </c>
      <c r="J2" s="18"/>
      <c r="K2" s="18"/>
      <c r="L2" s="18"/>
      <c r="M2" s="18">
        <v>125</v>
      </c>
      <c r="N2" s="18"/>
      <c r="O2" s="8"/>
      <c r="P2" s="8"/>
      <c r="Q2" s="8"/>
      <c r="R2" s="8"/>
      <c r="S2" s="19"/>
      <c r="T2" s="18"/>
      <c r="U2" s="8"/>
      <c r="V2" s="18"/>
      <c r="AD2" s="1">
        <v>0.25</v>
      </c>
      <c r="AE2" s="1">
        <v>4</v>
      </c>
      <c r="AK2" s="18"/>
      <c r="AL2" s="18"/>
      <c r="AM2" s="18"/>
      <c r="AN2" s="7">
        <v>10</v>
      </c>
      <c r="AO2" s="7">
        <v>1000</v>
      </c>
      <c r="AP2" s="18"/>
      <c r="AQ2" s="7"/>
      <c r="AR2" s="7"/>
      <c r="AT2" s="1" t="s">
        <v>759</v>
      </c>
      <c r="AU2" s="1">
        <v>29</v>
      </c>
      <c r="AW2" s="12">
        <v>29</v>
      </c>
      <c r="AX2" s="1">
        <v>29</v>
      </c>
      <c r="AY2" s="12"/>
      <c r="AZ2" s="12"/>
      <c r="BA2" s="12"/>
      <c r="BB2" s="12"/>
      <c r="BD2" s="12"/>
      <c r="BE2" s="12"/>
      <c r="BG2" s="1">
        <v>30</v>
      </c>
      <c r="BL2" s="1" t="s">
        <v>762</v>
      </c>
    </row>
    <row r="3" spans="1:68" x14ac:dyDescent="0.2">
      <c r="A3" s="1" t="s">
        <v>758</v>
      </c>
      <c r="B3" s="1" t="s">
        <v>129</v>
      </c>
      <c r="C3" s="1">
        <v>2020</v>
      </c>
      <c r="D3" s="1">
        <v>1</v>
      </c>
      <c r="E3" s="1">
        <v>0</v>
      </c>
      <c r="F3" s="1">
        <v>0</v>
      </c>
      <c r="G3" s="18">
        <v>500</v>
      </c>
      <c r="H3" s="18"/>
      <c r="I3" s="18">
        <v>2000</v>
      </c>
      <c r="J3" s="18"/>
      <c r="K3" s="18">
        <v>700</v>
      </c>
      <c r="L3" s="18"/>
      <c r="M3" s="18">
        <v>4400</v>
      </c>
      <c r="N3" s="18"/>
      <c r="O3" s="19"/>
      <c r="P3" s="8"/>
      <c r="Q3" s="8"/>
      <c r="R3" s="8"/>
      <c r="S3" s="19"/>
      <c r="T3" s="18"/>
      <c r="U3" s="8"/>
      <c r="V3" s="18"/>
      <c r="AD3" s="1">
        <v>0.25</v>
      </c>
      <c r="AE3" s="1">
        <v>4</v>
      </c>
      <c r="AK3" s="18"/>
      <c r="AL3" s="18"/>
      <c r="AM3" s="18"/>
      <c r="AN3" s="7">
        <v>10</v>
      </c>
      <c r="AO3" s="7">
        <v>1000</v>
      </c>
      <c r="AP3" s="7"/>
      <c r="AQ3" s="7"/>
      <c r="AR3" s="7"/>
      <c r="AT3" s="1" t="s">
        <v>760</v>
      </c>
      <c r="AU3" s="1">
        <v>29</v>
      </c>
      <c r="AW3" s="12">
        <v>29</v>
      </c>
      <c r="AX3" s="1">
        <v>29</v>
      </c>
      <c r="AY3" s="12"/>
      <c r="AZ3" s="12"/>
      <c r="BA3" s="12"/>
      <c r="BB3" s="12"/>
      <c r="BD3" s="12"/>
      <c r="BE3" s="12"/>
      <c r="BG3" s="1">
        <v>30</v>
      </c>
      <c r="BL3" s="1" t="s">
        <v>762</v>
      </c>
    </row>
    <row r="4" spans="1:68" x14ac:dyDescent="0.2">
      <c r="A4" s="1" t="s">
        <v>761</v>
      </c>
      <c r="B4" s="1" t="s">
        <v>142</v>
      </c>
      <c r="C4" s="1">
        <v>2013</v>
      </c>
      <c r="D4" s="1">
        <v>1</v>
      </c>
      <c r="E4" s="1">
        <v>0</v>
      </c>
      <c r="F4" s="1">
        <v>0</v>
      </c>
      <c r="G4" s="18"/>
      <c r="H4" s="18"/>
      <c r="I4" s="18"/>
      <c r="J4" s="18"/>
      <c r="K4" s="18"/>
      <c r="L4" s="18"/>
      <c r="M4" s="18"/>
      <c r="N4" s="18"/>
      <c r="O4" s="19"/>
      <c r="P4" s="8"/>
      <c r="Q4" s="8"/>
      <c r="R4" s="8"/>
      <c r="S4" s="19"/>
      <c r="T4" s="18"/>
      <c r="U4" s="8"/>
      <c r="V4" s="18"/>
      <c r="AK4" s="18"/>
      <c r="AL4" s="18"/>
      <c r="AM4" s="18"/>
      <c r="AN4" s="7"/>
      <c r="AO4" s="7"/>
      <c r="AP4" s="7"/>
      <c r="AQ4" s="7"/>
      <c r="AR4" s="7"/>
      <c r="AW4" s="12"/>
      <c r="AY4" s="12"/>
      <c r="AZ4" s="12"/>
      <c r="BA4" s="12"/>
      <c r="BB4" s="12"/>
      <c r="BD4" s="12"/>
      <c r="BE4" s="12"/>
    </row>
    <row r="5" spans="1:68" x14ac:dyDescent="0.2">
      <c r="A5" s="1" t="s">
        <v>761</v>
      </c>
      <c r="B5" s="1" t="s">
        <v>142</v>
      </c>
      <c r="C5" s="1">
        <v>2020</v>
      </c>
      <c r="D5" s="1">
        <v>1</v>
      </c>
      <c r="E5" s="1">
        <v>0</v>
      </c>
      <c r="F5" s="1">
        <v>0</v>
      </c>
      <c r="G5" s="18">
        <v>1000</v>
      </c>
      <c r="H5" s="18">
        <v>2000</v>
      </c>
      <c r="I5" s="18">
        <v>6700</v>
      </c>
      <c r="J5" s="18"/>
      <c r="K5" s="18">
        <v>10000</v>
      </c>
      <c r="L5" s="18"/>
      <c r="M5" s="18">
        <v>35300</v>
      </c>
      <c r="N5" s="18"/>
      <c r="O5" s="19"/>
      <c r="P5" s="8"/>
      <c r="Q5" s="8"/>
      <c r="R5" s="8"/>
      <c r="S5" s="19"/>
      <c r="T5" s="18"/>
      <c r="U5" s="8"/>
      <c r="V5" s="18"/>
      <c r="AH5" s="1" t="s">
        <v>763</v>
      </c>
      <c r="AK5" s="18"/>
      <c r="AL5" s="18"/>
      <c r="AM5" s="18"/>
      <c r="AN5" s="7"/>
      <c r="AO5" s="7"/>
      <c r="AP5" s="7"/>
      <c r="AQ5" s="7"/>
      <c r="AR5" s="7"/>
      <c r="AW5" s="12">
        <v>32</v>
      </c>
      <c r="AX5" s="1">
        <v>32</v>
      </c>
      <c r="AY5" s="12"/>
      <c r="AZ5" s="12"/>
      <c r="BA5" s="12"/>
      <c r="BB5" s="12"/>
      <c r="BD5" s="12"/>
      <c r="BE5" s="12"/>
      <c r="BI5" s="1">
        <v>33</v>
      </c>
    </row>
    <row r="6" spans="1:68" x14ac:dyDescent="0.2">
      <c r="A6" s="1" t="s">
        <v>137</v>
      </c>
      <c r="B6" s="1" t="s">
        <v>142</v>
      </c>
      <c r="C6" s="1">
        <v>2020</v>
      </c>
      <c r="D6" s="1">
        <v>1</v>
      </c>
      <c r="E6" s="1">
        <v>0</v>
      </c>
      <c r="F6" s="1">
        <v>0</v>
      </c>
      <c r="G6" s="18">
        <v>300</v>
      </c>
      <c r="H6" s="18">
        <v>450</v>
      </c>
      <c r="I6" s="18">
        <v>700</v>
      </c>
      <c r="J6" s="18"/>
      <c r="K6" s="18">
        <v>1300</v>
      </c>
      <c r="L6" s="18">
        <v>1500</v>
      </c>
      <c r="M6" s="18">
        <v>2200</v>
      </c>
      <c r="N6" s="18"/>
      <c r="O6" s="19"/>
      <c r="P6" s="8"/>
      <c r="Q6" s="8"/>
      <c r="R6" s="8"/>
      <c r="S6" s="19"/>
      <c r="T6" s="18"/>
      <c r="U6" s="8"/>
      <c r="V6" s="18"/>
      <c r="Z6" s="1">
        <v>2</v>
      </c>
      <c r="AD6" s="1">
        <v>0.25</v>
      </c>
      <c r="AE6" s="1">
        <v>4</v>
      </c>
      <c r="AF6" s="1">
        <v>2</v>
      </c>
      <c r="AH6" s="1" t="s">
        <v>764</v>
      </c>
      <c r="AI6" s="1">
        <f>3*7</f>
        <v>21</v>
      </c>
      <c r="AK6" s="18"/>
      <c r="AL6" s="18"/>
      <c r="AM6" s="18"/>
      <c r="AN6" s="7"/>
      <c r="AO6" s="7"/>
      <c r="AP6" s="7"/>
      <c r="AQ6" s="7"/>
      <c r="AR6" s="7"/>
      <c r="AW6" s="12" t="s">
        <v>748</v>
      </c>
      <c r="AX6" s="12" t="s">
        <v>748</v>
      </c>
      <c r="AY6" s="12"/>
      <c r="AZ6" s="12"/>
      <c r="BA6" s="12"/>
      <c r="BB6" s="12"/>
      <c r="BD6" s="12"/>
      <c r="BE6" s="12"/>
      <c r="BG6" s="1">
        <v>34</v>
      </c>
      <c r="BI6" s="1">
        <v>34</v>
      </c>
      <c r="BJ6" s="1">
        <v>34</v>
      </c>
    </row>
    <row r="7" spans="1:68" x14ac:dyDescent="0.2">
      <c r="A7" s="54" t="s">
        <v>765</v>
      </c>
      <c r="B7" s="54" t="s">
        <v>129</v>
      </c>
      <c r="C7" s="54">
        <v>2013</v>
      </c>
      <c r="D7" s="1">
        <v>1</v>
      </c>
      <c r="E7" s="1">
        <v>0</v>
      </c>
      <c r="F7" s="1">
        <v>0</v>
      </c>
      <c r="G7" s="55"/>
      <c r="H7" s="55"/>
      <c r="I7" s="55"/>
      <c r="J7" s="55"/>
      <c r="K7" s="55"/>
      <c r="L7" s="55"/>
      <c r="M7" s="55"/>
      <c r="N7" s="55"/>
      <c r="O7" s="56"/>
      <c r="P7" s="57"/>
      <c r="Q7" s="58"/>
      <c r="R7" s="57"/>
      <c r="S7" s="56"/>
      <c r="T7" s="55"/>
      <c r="U7" s="58"/>
      <c r="V7" s="55"/>
      <c r="W7" s="59"/>
      <c r="X7" s="59"/>
      <c r="Y7" s="59"/>
      <c r="Z7" s="54"/>
      <c r="AA7" s="54"/>
      <c r="AB7" s="54"/>
      <c r="AC7" s="54"/>
      <c r="AD7" s="54"/>
      <c r="AE7" s="54"/>
      <c r="AF7" s="54"/>
      <c r="AG7" s="54"/>
      <c r="AH7" s="54"/>
      <c r="AI7" s="59"/>
      <c r="AJ7" s="54"/>
      <c r="AK7" s="55"/>
      <c r="AL7" s="55"/>
      <c r="AM7" s="55"/>
      <c r="AN7" s="60"/>
      <c r="AO7" s="60"/>
      <c r="AP7" s="60"/>
      <c r="AQ7" s="60"/>
      <c r="AR7" s="60"/>
      <c r="AS7" s="54"/>
      <c r="AT7" s="54" t="s">
        <v>766</v>
      </c>
      <c r="AU7" s="54"/>
      <c r="AV7" s="54"/>
      <c r="AW7" s="61"/>
      <c r="AX7" s="54"/>
      <c r="AY7" s="61"/>
      <c r="AZ7" s="61"/>
      <c r="BA7" s="61"/>
      <c r="BB7" s="61"/>
      <c r="BC7" s="54"/>
      <c r="BD7" s="61"/>
      <c r="BE7" s="61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</row>
    <row r="8" spans="1:68" x14ac:dyDescent="0.2">
      <c r="A8" s="54" t="s">
        <v>765</v>
      </c>
      <c r="B8" s="54" t="s">
        <v>129</v>
      </c>
      <c r="C8" s="54">
        <v>2020</v>
      </c>
      <c r="D8" s="1">
        <v>1</v>
      </c>
      <c r="E8" s="1">
        <v>0</v>
      </c>
      <c r="F8" s="1">
        <v>0</v>
      </c>
      <c r="G8" s="55"/>
      <c r="H8" s="55"/>
      <c r="I8" s="55"/>
      <c r="J8" s="55"/>
      <c r="K8" s="55">
        <v>7000</v>
      </c>
      <c r="L8" s="55"/>
      <c r="M8" s="55">
        <v>11000</v>
      </c>
      <c r="N8" s="55"/>
      <c r="O8" s="56"/>
      <c r="P8" s="57"/>
      <c r="Q8" s="58"/>
      <c r="R8" s="57"/>
      <c r="S8" s="56"/>
      <c r="T8" s="55"/>
      <c r="U8" s="58"/>
      <c r="V8" s="55"/>
      <c r="W8" s="59"/>
      <c r="X8" s="59"/>
      <c r="Y8" s="59"/>
      <c r="Z8" s="54"/>
      <c r="AA8" s="54"/>
      <c r="AB8" s="54"/>
      <c r="AC8" s="54"/>
      <c r="AD8" s="54"/>
      <c r="AE8" s="54"/>
      <c r="AF8" s="54"/>
      <c r="AG8" s="54"/>
      <c r="AH8" s="54"/>
      <c r="AI8" s="59"/>
      <c r="AJ8" s="54"/>
      <c r="AK8" s="55"/>
      <c r="AL8" s="55"/>
      <c r="AM8" s="55"/>
      <c r="AN8" s="60"/>
      <c r="AO8" s="60"/>
      <c r="AP8" s="60"/>
      <c r="AQ8" s="60"/>
      <c r="AR8" s="60"/>
      <c r="AS8" s="54"/>
      <c r="AT8" s="54"/>
      <c r="AU8" s="54"/>
      <c r="AV8" s="54"/>
      <c r="AW8" s="61"/>
      <c r="AX8" s="54">
        <v>36</v>
      </c>
      <c r="AY8" s="61"/>
      <c r="AZ8" s="61"/>
      <c r="BA8" s="61"/>
      <c r="BB8" s="61"/>
      <c r="BC8" s="54"/>
      <c r="BD8" s="61"/>
      <c r="BE8" s="61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1000000}">
          <x14:formula1>
            <xm:f>Dropdown!$C$2:$C$4</xm:f>
          </x14:formula1>
          <xm:sqref>B2:B8</xm:sqref>
        </x14:dataValidation>
        <x14:dataValidation type="list" allowBlank="1" showInputMessage="1" showErrorMessage="1" xr:uid="{D2B9CDA4-B57F-4BD3-9E06-8A5CBAA8218D}">
          <x14:formula1>
            <xm:f>Dropdown!$A$1:$A$92</xm:f>
          </x14:formula1>
          <xm:sqref>A2:A8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C923-8EA2-4ABF-8B45-D04DA71BFBF7}">
  <sheetPr codeName="Tabelle16"/>
  <dimension ref="A1:CP40"/>
  <sheetViews>
    <sheetView zoomScale="80" zoomScaleNormal="80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G1" sqref="AG1"/>
    </sheetView>
  </sheetViews>
  <sheetFormatPr baseColWidth="10" defaultRowHeight="15" x14ac:dyDescent="0.25"/>
  <cols>
    <col min="1" max="1" width="20.7109375" bestFit="1" customWidth="1"/>
    <col min="2" max="2" width="21.28515625" bestFit="1" customWidth="1"/>
    <col min="3" max="3" width="7.28515625" bestFit="1" customWidth="1"/>
    <col min="4" max="4" width="19.28515625" bestFit="1" customWidth="1"/>
    <col min="5" max="5" width="14.140625" bestFit="1" customWidth="1"/>
    <col min="6" max="19" width="14.140625" customWidth="1"/>
    <col min="20" max="20" width="24.42578125" bestFit="1" customWidth="1"/>
    <col min="21" max="21" width="32.28515625" bestFit="1" customWidth="1"/>
    <col min="22" max="22" width="28.85546875" bestFit="1" customWidth="1"/>
    <col min="23" max="23" width="27" bestFit="1" customWidth="1"/>
    <col min="24" max="24" width="29.140625" bestFit="1" customWidth="1"/>
    <col min="25" max="25" width="27.28515625" bestFit="1" customWidth="1"/>
    <col min="26" max="26" width="27.42578125" bestFit="1" customWidth="1"/>
    <col min="27" max="27" width="24.7109375" bestFit="1" customWidth="1"/>
    <col min="28" max="28" width="32.5703125" bestFit="1" customWidth="1"/>
    <col min="29" max="29" width="25.28515625" bestFit="1" customWidth="1"/>
    <col min="30" max="30" width="21.5703125" bestFit="1" customWidth="1"/>
    <col min="31" max="31" width="20.140625" bestFit="1" customWidth="1"/>
    <col min="32" max="32" width="24.42578125" bestFit="1" customWidth="1"/>
    <col min="33" max="33" width="43.42578125" bestFit="1" customWidth="1"/>
    <col min="34" max="34" width="43.42578125" customWidth="1"/>
    <col min="35" max="35" width="25.28515625" bestFit="1" customWidth="1"/>
    <col min="36" max="36" width="31.5703125" bestFit="1" customWidth="1"/>
    <col min="37" max="37" width="22.42578125" bestFit="1" customWidth="1"/>
    <col min="38" max="38" width="21" bestFit="1" customWidth="1"/>
    <col min="39" max="39" width="25.42578125" bestFit="1" customWidth="1"/>
    <col min="40" max="40" width="22.7109375" bestFit="1" customWidth="1"/>
    <col min="41" max="41" width="25.5703125" bestFit="1" customWidth="1"/>
    <col min="42" max="42" width="26.28515625" bestFit="1" customWidth="1"/>
    <col min="43" max="43" width="21.5703125" bestFit="1" customWidth="1"/>
    <col min="44" max="44" width="25.42578125" bestFit="1" customWidth="1"/>
    <col min="45" max="45" width="26.5703125" bestFit="1" customWidth="1"/>
    <col min="46" max="46" width="21.85546875" bestFit="1" customWidth="1"/>
    <col min="47" max="48" width="26.42578125" bestFit="1" customWidth="1"/>
    <col min="49" max="49" width="21.7109375" bestFit="1" customWidth="1"/>
    <col min="50" max="50" width="24.85546875" bestFit="1" customWidth="1"/>
    <col min="51" max="51" width="19.85546875" bestFit="1" customWidth="1"/>
    <col min="52" max="52" width="33.140625" bestFit="1" customWidth="1"/>
    <col min="53" max="53" width="30.85546875" bestFit="1" customWidth="1"/>
    <col min="54" max="54" width="37.42578125" bestFit="1" customWidth="1"/>
    <col min="55" max="55" width="38" bestFit="1" customWidth="1"/>
    <col min="56" max="56" width="32.7109375" bestFit="1" customWidth="1"/>
    <col min="57" max="57" width="30.140625" bestFit="1" customWidth="1"/>
    <col min="58" max="58" width="30.7109375" bestFit="1" customWidth="1"/>
    <col min="59" max="59" width="29.5703125" bestFit="1" customWidth="1"/>
    <col min="60" max="60" width="30.28515625" bestFit="1" customWidth="1"/>
    <col min="61" max="61" width="30.28515625" customWidth="1"/>
    <col min="62" max="62" width="25.5703125" bestFit="1" customWidth="1"/>
    <col min="63" max="63" width="47.5703125" bestFit="1" customWidth="1"/>
    <col min="64" max="64" width="47.5703125" customWidth="1"/>
    <col min="65" max="65" width="16" bestFit="1" customWidth="1"/>
    <col min="66" max="66" width="16" customWidth="1"/>
    <col min="67" max="67" width="29.5703125" bestFit="1" customWidth="1"/>
    <col min="68" max="68" width="24.42578125" bestFit="1" customWidth="1"/>
    <col min="69" max="73" width="24.42578125" customWidth="1"/>
    <col min="74" max="74" width="26.42578125" bestFit="1" customWidth="1"/>
    <col min="75" max="75" width="26.7109375" bestFit="1" customWidth="1"/>
    <col min="76" max="76" width="27.7109375" bestFit="1" customWidth="1"/>
    <col min="77" max="77" width="30.85546875" bestFit="1" customWidth="1"/>
    <col min="78" max="78" width="35.5703125" bestFit="1" customWidth="1"/>
    <col min="79" max="79" width="37.5703125" bestFit="1" customWidth="1"/>
    <col min="80" max="80" width="28.7109375" bestFit="1" customWidth="1"/>
    <col min="81" max="81" width="31.5703125" bestFit="1" customWidth="1"/>
    <col min="82" max="82" width="30.140625" bestFit="1" customWidth="1"/>
    <col min="83" max="83" width="24.5703125" bestFit="1" customWidth="1"/>
    <col min="84" max="84" width="29.140625" bestFit="1" customWidth="1"/>
    <col min="85" max="85" width="32.140625" bestFit="1" customWidth="1"/>
    <col min="86" max="86" width="29" bestFit="1" customWidth="1"/>
    <col min="87" max="87" width="32.7109375" bestFit="1" customWidth="1"/>
    <col min="88" max="88" width="18.7109375" bestFit="1" customWidth="1"/>
    <col min="89" max="90" width="23.7109375" bestFit="1" customWidth="1"/>
    <col min="91" max="91" width="40" bestFit="1" customWidth="1"/>
    <col min="92" max="92" width="40" customWidth="1"/>
    <col min="93" max="93" width="26.28515625" bestFit="1" customWidth="1"/>
    <col min="94" max="94" width="20.7109375" bestFit="1" customWidth="1"/>
  </cols>
  <sheetData>
    <row r="1" spans="1:94" s="1" customFormat="1" ht="12.75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832</v>
      </c>
      <c r="H1" s="2" t="s">
        <v>833</v>
      </c>
      <c r="I1" s="2" t="s">
        <v>834</v>
      </c>
      <c r="J1" s="2" t="s">
        <v>824</v>
      </c>
      <c r="K1" s="2" t="s">
        <v>835</v>
      </c>
      <c r="L1" s="2" t="s">
        <v>836</v>
      </c>
      <c r="M1" s="2" t="s">
        <v>837</v>
      </c>
      <c r="N1" s="2" t="s">
        <v>838</v>
      </c>
      <c r="O1" s="2" t="s">
        <v>839</v>
      </c>
      <c r="P1" s="2" t="s">
        <v>840</v>
      </c>
      <c r="Q1" s="2" t="s">
        <v>927</v>
      </c>
      <c r="R1" s="2" t="s">
        <v>928</v>
      </c>
      <c r="S1" s="2" t="s">
        <v>929</v>
      </c>
      <c r="T1" s="2" t="s">
        <v>49</v>
      </c>
      <c r="U1" s="2" t="s">
        <v>149</v>
      </c>
      <c r="V1" s="2" t="s">
        <v>50</v>
      </c>
      <c r="W1" s="2" t="s">
        <v>289</v>
      </c>
      <c r="X1" s="2" t="s">
        <v>290</v>
      </c>
      <c r="Y1" s="2" t="s">
        <v>291</v>
      </c>
      <c r="Z1" s="2" t="s">
        <v>846</v>
      </c>
      <c r="AA1" s="2" t="s">
        <v>154</v>
      </c>
      <c r="AB1" s="2" t="s">
        <v>156</v>
      </c>
      <c r="AC1" s="2" t="s">
        <v>155</v>
      </c>
      <c r="AD1" s="2" t="s">
        <v>56</v>
      </c>
      <c r="AE1" s="2" t="s">
        <v>55</v>
      </c>
      <c r="AF1" s="2" t="s">
        <v>87</v>
      </c>
      <c r="AG1" s="2" t="s">
        <v>330</v>
      </c>
      <c r="AH1" s="2" t="s">
        <v>792</v>
      </c>
      <c r="AI1" s="2" t="s">
        <v>235</v>
      </c>
      <c r="AJ1" s="2" t="s">
        <v>116</v>
      </c>
      <c r="AK1" s="2" t="s">
        <v>57</v>
      </c>
      <c r="AL1" s="2" t="s">
        <v>123</v>
      </c>
      <c r="AM1" s="2" t="s">
        <v>58</v>
      </c>
      <c r="AN1" s="2" t="s">
        <v>9</v>
      </c>
      <c r="AO1" s="2" t="s">
        <v>423</v>
      </c>
      <c r="AP1" s="2" t="s">
        <v>225</v>
      </c>
      <c r="AQ1" s="2" t="s">
        <v>157</v>
      </c>
      <c r="AR1" s="2" t="s">
        <v>227</v>
      </c>
      <c r="AS1" s="2" t="s">
        <v>228</v>
      </c>
      <c r="AT1" s="2" t="s">
        <v>158</v>
      </c>
      <c r="AU1" s="2" t="s">
        <v>214</v>
      </c>
      <c r="AV1" s="2" t="s">
        <v>215</v>
      </c>
      <c r="AW1" s="2" t="s">
        <v>3</v>
      </c>
      <c r="AX1" s="2" t="s">
        <v>10</v>
      </c>
      <c r="AY1" s="2" t="s">
        <v>16</v>
      </c>
      <c r="AZ1" s="2" t="s">
        <v>4</v>
      </c>
      <c r="BA1" s="2" t="s">
        <v>99</v>
      </c>
      <c r="BB1" s="2" t="s">
        <v>183</v>
      </c>
      <c r="BC1" s="2" t="s">
        <v>182</v>
      </c>
      <c r="BD1" s="2" t="s">
        <v>12</v>
      </c>
      <c r="BE1" s="2" t="s">
        <v>231</v>
      </c>
      <c r="BF1" s="2" t="s">
        <v>232</v>
      </c>
      <c r="BG1" s="2" t="s">
        <v>230</v>
      </c>
      <c r="BH1" s="2" t="s">
        <v>332</v>
      </c>
      <c r="BI1" s="2" t="s">
        <v>451</v>
      </c>
      <c r="BJ1" s="2" t="s">
        <v>333</v>
      </c>
      <c r="BK1" s="2" t="s">
        <v>147</v>
      </c>
      <c r="BL1" s="2" t="s">
        <v>932</v>
      </c>
      <c r="BM1" s="2" t="s">
        <v>22</v>
      </c>
      <c r="BN1" s="2" t="s">
        <v>844</v>
      </c>
      <c r="BO1" s="2" t="s">
        <v>162</v>
      </c>
      <c r="BP1" s="2" t="s">
        <v>163</v>
      </c>
      <c r="BQ1" s="2" t="s">
        <v>825</v>
      </c>
      <c r="BR1" s="2" t="s">
        <v>841</v>
      </c>
      <c r="BS1" s="2" t="s">
        <v>842</v>
      </c>
      <c r="BT1" s="2" t="s">
        <v>807</v>
      </c>
      <c r="BU1" s="2" t="s">
        <v>826</v>
      </c>
      <c r="BV1" s="2" t="s">
        <v>1</v>
      </c>
      <c r="BW1" s="2" t="s">
        <v>2</v>
      </c>
      <c r="BX1" s="2" t="s">
        <v>59</v>
      </c>
      <c r="BY1" s="2" t="s">
        <v>1089</v>
      </c>
      <c r="BZ1" s="2" t="s">
        <v>236</v>
      </c>
      <c r="CA1" s="2" t="s">
        <v>117</v>
      </c>
      <c r="CB1" s="2" t="s">
        <v>60</v>
      </c>
      <c r="CC1" s="2" t="s">
        <v>61</v>
      </c>
      <c r="CD1" s="2" t="s">
        <v>98</v>
      </c>
      <c r="CE1" s="2" t="s">
        <v>5</v>
      </c>
      <c r="CF1" s="2" t="s">
        <v>6</v>
      </c>
      <c r="CG1" s="2" t="s">
        <v>17</v>
      </c>
      <c r="CH1" s="2" t="s">
        <v>18</v>
      </c>
      <c r="CI1" s="2" t="s">
        <v>7</v>
      </c>
      <c r="CJ1" s="2" t="s">
        <v>19</v>
      </c>
      <c r="CK1" s="2" t="s">
        <v>20</v>
      </c>
      <c r="CL1" s="2" t="s">
        <v>21</v>
      </c>
      <c r="CM1" s="2" t="s">
        <v>148</v>
      </c>
      <c r="CN1" s="2" t="s">
        <v>850</v>
      </c>
      <c r="CO1" s="2" t="s">
        <v>23</v>
      </c>
      <c r="CP1" s="2" t="s">
        <v>51</v>
      </c>
    </row>
    <row r="2" spans="1:94" s="1" customFormat="1" ht="12.75" x14ac:dyDescent="0.2">
      <c r="A2" s="1" t="s">
        <v>84</v>
      </c>
      <c r="B2" s="1" t="s">
        <v>129</v>
      </c>
      <c r="C2" s="32">
        <v>2013</v>
      </c>
      <c r="D2" s="32">
        <v>0</v>
      </c>
      <c r="E2" s="32">
        <v>1</v>
      </c>
      <c r="F2" s="32">
        <v>0</v>
      </c>
      <c r="G2" s="32"/>
      <c r="H2" s="32">
        <v>13700</v>
      </c>
      <c r="I2" s="32"/>
      <c r="J2" s="32">
        <v>525</v>
      </c>
      <c r="K2" s="32"/>
      <c r="L2" s="32"/>
      <c r="M2" s="32"/>
      <c r="N2" s="32"/>
      <c r="O2" s="32"/>
      <c r="P2" s="32"/>
      <c r="Q2" s="32"/>
      <c r="R2" s="32">
        <f>Tabelle589711143136[[#This Row],[jährliche Produktion kt REF]]*Tabelle589711143136[[#This Row],[spez. StV kWh/t]]/10^6</f>
        <v>7.1924999999999999</v>
      </c>
      <c r="S2" s="32"/>
      <c r="T2" s="18"/>
      <c r="U2" s="18">
        <v>800</v>
      </c>
      <c r="V2" s="18"/>
      <c r="W2" s="33"/>
      <c r="X2" s="33"/>
      <c r="Y2" s="33"/>
      <c r="Z2" s="33">
        <f>Tabelle589711143136[[#This Row],[Stromverbrauch in TWh REF]]/Tabelle589711143136[[#This Row],[Vollbenutzungsstunden h/a]]*10^6</f>
        <v>1094.7488584474886</v>
      </c>
      <c r="AA2" s="33" t="str">
        <f>IF(AND(Tabelle589711143136[[#This Row],[Lastverschiebung]]=1,Tabelle589711143136[[#This Row],[Potenzial pos. min MW]]&lt;&gt;""),Tabelle589711143136[[#This Row],[Potenzial pos. min MW]],"")</f>
        <v/>
      </c>
      <c r="AB2" s="33" t="str">
        <f>IF(AND(Tabelle589711143136[[#This Row],[Lastverschiebung]]=1,Tabelle589711143136[[#This Row],[Potenzial pos. MW Durchschnitt]]&lt;&gt;""),Tabelle589711143136[[#This Row],[Potenzial pos. MW Durchschnitt]],"")</f>
        <v/>
      </c>
      <c r="AC2" s="33" t="str">
        <f>IF(AND(Tabelle589711143136[[#This Row],[Lastverschiebung]]=1,Tabelle589711143136[[#This Row],[Potenzial pos. max MW]]&lt;&gt;""),Tabelle589711143136[[#This Row],[Potenzial pos. max MW]],"")</f>
        <v/>
      </c>
      <c r="AD2" s="33"/>
      <c r="AE2" s="63">
        <f>1-Tabelle589711143136[[#This Row],[flexibilisierbarer Anteil]]</f>
        <v>0</v>
      </c>
      <c r="AF2" s="35">
        <v>1</v>
      </c>
      <c r="AG2" s="35"/>
      <c r="AH2" s="73">
        <v>6570</v>
      </c>
      <c r="AI2" s="68">
        <f>IF(Tabelle589711143136[[#This Row],[Vollbenutzungsstunden h/a]]&lt;&gt;"",Tabelle589711143136[[#This Row],[Vollbenutzungsstunden h/a]]/8760,"")</f>
        <v>0.75</v>
      </c>
      <c r="AJ2" s="34"/>
      <c r="AK2" s="33"/>
      <c r="AL2" s="35"/>
      <c r="AM2" s="33"/>
      <c r="AN2" s="32"/>
      <c r="AO2" s="32"/>
      <c r="AP2" s="32"/>
      <c r="AQ2" s="32">
        <v>4</v>
      </c>
      <c r="AR2" s="32"/>
      <c r="AS2" s="32"/>
      <c r="AT2" s="32"/>
      <c r="AU2" s="32"/>
      <c r="AV2" s="32"/>
      <c r="AW2" s="32"/>
      <c r="AX2" s="32"/>
      <c r="AY2" s="32"/>
      <c r="AZ2" s="32"/>
      <c r="BA2" s="32">
        <v>40</v>
      </c>
      <c r="BB2" s="18">
        <v>1</v>
      </c>
      <c r="BC2" s="18">
        <v>20</v>
      </c>
      <c r="BD2" s="33"/>
      <c r="BE2" s="36">
        <v>130</v>
      </c>
      <c r="BF2" s="36">
        <v>1000</v>
      </c>
      <c r="BG2" s="36"/>
      <c r="BH2" s="36">
        <v>0</v>
      </c>
      <c r="BI2" s="36">
        <v>1</v>
      </c>
      <c r="BJ2" s="32"/>
      <c r="BK2" s="32"/>
      <c r="BL2" s="32">
        <v>30</v>
      </c>
      <c r="BM2" s="1" t="s">
        <v>1077</v>
      </c>
      <c r="BN2" s="1" t="s">
        <v>843</v>
      </c>
      <c r="BO2" s="32">
        <v>17</v>
      </c>
      <c r="BP2" s="32">
        <v>17</v>
      </c>
      <c r="BQ2" s="32">
        <v>46</v>
      </c>
      <c r="BR2" s="32"/>
      <c r="BS2" s="32"/>
      <c r="BT2" s="32">
        <v>46</v>
      </c>
      <c r="BU2" s="32">
        <v>46</v>
      </c>
      <c r="BV2" s="37">
        <v>205</v>
      </c>
      <c r="BW2" s="32"/>
      <c r="BX2" s="32">
        <v>46</v>
      </c>
      <c r="BY2" s="32">
        <v>46</v>
      </c>
      <c r="BZ2" s="37"/>
      <c r="CA2" s="37"/>
      <c r="CB2" s="32"/>
      <c r="CC2" s="37"/>
      <c r="CD2" s="37"/>
      <c r="CE2" s="32">
        <v>23</v>
      </c>
      <c r="CF2" s="32"/>
      <c r="CG2" s="32"/>
      <c r="CH2" s="32">
        <v>23</v>
      </c>
      <c r="CI2" s="32">
        <v>23</v>
      </c>
      <c r="CJ2" s="32">
        <v>30</v>
      </c>
      <c r="CK2" s="32">
        <v>30</v>
      </c>
      <c r="CL2" s="32">
        <v>30</v>
      </c>
      <c r="CM2" s="32"/>
      <c r="CN2" s="32">
        <v>117</v>
      </c>
      <c r="CO2" s="32"/>
      <c r="CP2" s="32"/>
    </row>
    <row r="3" spans="1:94" s="1" customFormat="1" x14ac:dyDescent="0.25">
      <c r="A3" s="1" t="s">
        <v>84</v>
      </c>
      <c r="B3" s="1" t="s">
        <v>129</v>
      </c>
      <c r="C3" s="32">
        <v>2030</v>
      </c>
      <c r="D3" s="32">
        <v>0</v>
      </c>
      <c r="E3" s="32">
        <v>1</v>
      </c>
      <c r="F3" s="32">
        <v>0</v>
      </c>
      <c r="G3">
        <v>10900</v>
      </c>
      <c r="H3">
        <v>13738</v>
      </c>
      <c r="I3">
        <v>15000</v>
      </c>
      <c r="J3">
        <v>350</v>
      </c>
      <c r="K3"/>
      <c r="L3"/>
      <c r="M3"/>
      <c r="N3"/>
      <c r="O3"/>
      <c r="P3"/>
      <c r="Q3">
        <f>Tabelle589711143136[[#This Row],[jährliche Produktion kt MIN]]*Tabelle589711143136[[#This Row],[spez. StV kWh/t]]/10^6</f>
        <v>3.8149999999999999</v>
      </c>
      <c r="R3" s="32">
        <f>Tabelle589711143136[[#This Row],[jährliche Produktion kt REF]]*Tabelle589711143136[[#This Row],[spez. StV kWh/t]]/10^6</f>
        <v>4.8083</v>
      </c>
      <c r="S3" s="32">
        <f>Tabelle589711143136[[#This Row],[jährliche Produktion kt MAX]]*Tabelle589711143136[[#This Row],[spez. StV kWh/t]]/10^6</f>
        <v>5.25</v>
      </c>
      <c r="T3" s="18">
        <f>$U2*Tabelle589711143136[[#This Row],[Stromverbrauch in TWh MIN]]/$R2</f>
        <v>424.33090024330903</v>
      </c>
      <c r="U3" s="18">
        <f>$U2*Tabelle589711143136[[#This Row],[Stromverbrauch in TWh REF]]/$R2</f>
        <v>534.81265206812657</v>
      </c>
      <c r="V3" s="18">
        <f>$U2*Tabelle589711143136[[#This Row],[Stromverbrauch in TWh MAX]]/$R2</f>
        <v>583.94160583941607</v>
      </c>
      <c r="W3" s="33"/>
      <c r="X3" s="33"/>
      <c r="Y3" s="33"/>
      <c r="Z3" s="33"/>
      <c r="AA3" s="33" t="str">
        <f>IF(AND(Tabelle589711143136[[#This Row],[Lastverschiebung]]=1,Tabelle589711143136[[#This Row],[Potenzial pos. min MW]]&lt;&gt;""),Tabelle589711143136[[#This Row],[Potenzial pos. min MW]],"")</f>
        <v/>
      </c>
      <c r="AB3" s="33" t="str">
        <f>IF(AND(Tabelle589711143136[[#This Row],[Lastverschiebung]]=1,Tabelle589711143136[[#This Row],[Potenzial pos. MW Durchschnitt]]&lt;&gt;""),Tabelle589711143136[[#This Row],[Potenzial pos. MW Durchschnitt]],"")</f>
        <v/>
      </c>
      <c r="AC3" s="33" t="str">
        <f>IF(AND(Tabelle589711143136[[#This Row],[Lastverschiebung]]=1,Tabelle589711143136[[#This Row],[Potenzial pos. max MW]]&lt;&gt;""),Tabelle589711143136[[#This Row],[Potenzial pos. max MW]],"")</f>
        <v/>
      </c>
      <c r="AD3" s="33"/>
      <c r="AE3" s="63"/>
      <c r="AF3" s="35"/>
      <c r="AG3" s="35"/>
      <c r="AH3" s="73"/>
      <c r="AI3" s="35"/>
      <c r="AJ3" s="34"/>
      <c r="AK3" s="33"/>
      <c r="AL3" s="35"/>
      <c r="AM3" s="33"/>
      <c r="AN3" s="32"/>
      <c r="AO3" s="32"/>
      <c r="AP3" s="32"/>
      <c r="AQ3" s="32">
        <v>4</v>
      </c>
      <c r="AR3" s="32"/>
      <c r="AS3" s="32"/>
      <c r="AT3" s="32"/>
      <c r="AU3" s="32"/>
      <c r="AV3" s="32"/>
      <c r="AW3" s="32"/>
      <c r="AX3" s="32"/>
      <c r="AY3" s="32"/>
      <c r="AZ3" s="32">
        <f>8*7</f>
        <v>56</v>
      </c>
      <c r="BA3" s="32">
        <v>40</v>
      </c>
      <c r="BB3" s="18"/>
      <c r="BC3" s="18"/>
      <c r="BD3" s="33"/>
      <c r="BE3" s="36"/>
      <c r="BF3" s="36"/>
      <c r="BG3" s="36"/>
      <c r="BH3" s="36"/>
      <c r="BI3" s="36"/>
      <c r="BJ3" s="32"/>
      <c r="BK3" s="32"/>
      <c r="BL3" s="32"/>
      <c r="BM3" s="1" t="s">
        <v>1077</v>
      </c>
      <c r="BN3" s="1" t="s">
        <v>843</v>
      </c>
      <c r="BO3" s="32"/>
      <c r="BP3" s="32"/>
      <c r="BQ3" s="32">
        <v>202</v>
      </c>
      <c r="BR3" s="32"/>
      <c r="BS3" s="32"/>
      <c r="BT3" s="32">
        <v>202</v>
      </c>
      <c r="BU3" s="32"/>
      <c r="BV3" s="37">
        <v>205</v>
      </c>
      <c r="BW3" s="32"/>
      <c r="BX3" s="32"/>
      <c r="BY3" s="32"/>
      <c r="BZ3" s="37"/>
      <c r="CA3" s="37"/>
      <c r="CB3" s="32"/>
      <c r="CC3" s="37"/>
      <c r="CD3" s="37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</row>
    <row r="4" spans="1:94" s="1" customFormat="1" x14ac:dyDescent="0.25">
      <c r="A4" s="1" t="s">
        <v>84</v>
      </c>
      <c r="B4" s="1" t="s">
        <v>129</v>
      </c>
      <c r="C4" s="32">
        <v>2050</v>
      </c>
      <c r="D4" s="32">
        <v>0</v>
      </c>
      <c r="E4" s="32">
        <v>1</v>
      </c>
      <c r="F4" s="32">
        <v>0</v>
      </c>
      <c r="G4">
        <v>10900</v>
      </c>
      <c r="H4">
        <v>13738</v>
      </c>
      <c r="I4">
        <v>15000</v>
      </c>
      <c r="J4">
        <v>280</v>
      </c>
      <c r="K4"/>
      <c r="L4"/>
      <c r="M4"/>
      <c r="N4"/>
      <c r="O4"/>
      <c r="P4"/>
      <c r="Q4">
        <f>Tabelle589711143136[[#This Row],[jährliche Produktion kt MIN]]*Tabelle589711143136[[#This Row],[spez. StV kWh/t]]/10^6</f>
        <v>3.052</v>
      </c>
      <c r="R4" s="32">
        <f>Tabelle589711143136[[#This Row],[jährliche Produktion kt REF]]*Tabelle589711143136[[#This Row],[spez. StV kWh/t]]/10^6</f>
        <v>3.8466399999999998</v>
      </c>
      <c r="S4" s="32">
        <f>Tabelle589711143136[[#This Row],[jährliche Produktion kt MAX]]*Tabelle589711143136[[#This Row],[spez. StV kWh/t]]/10^6</f>
        <v>4.2</v>
      </c>
      <c r="T4" s="18">
        <f>$U2*Tabelle589711143136[[#This Row],[Stromverbrauch in TWh MIN]]/$R2</f>
        <v>339.46472019464721</v>
      </c>
      <c r="U4" s="18">
        <f>$U2*Tabelle589711143136[[#This Row],[Stromverbrauch in TWh REF]]/$R2</f>
        <v>427.85012165450121</v>
      </c>
      <c r="V4" s="18">
        <f>$U2*Tabelle589711143136[[#This Row],[Stromverbrauch in TWh MAX]]/$R2</f>
        <v>467.15328467153284</v>
      </c>
      <c r="W4" s="33"/>
      <c r="X4" s="33"/>
      <c r="Y4" s="33"/>
      <c r="Z4" s="33"/>
      <c r="AA4" s="33" t="str">
        <f>IF(AND(Tabelle589711143136[[#This Row],[Lastverschiebung]]=1,Tabelle589711143136[[#This Row],[Potenzial pos. min MW]]&lt;&gt;""),Tabelle589711143136[[#This Row],[Potenzial pos. min MW]],"")</f>
        <v/>
      </c>
      <c r="AB4" s="33" t="str">
        <f>IF(AND(Tabelle589711143136[[#This Row],[Lastverschiebung]]=1,Tabelle589711143136[[#This Row],[Potenzial pos. MW Durchschnitt]]&lt;&gt;""),Tabelle589711143136[[#This Row],[Potenzial pos. MW Durchschnitt]],"")</f>
        <v/>
      </c>
      <c r="AC4" s="33" t="str">
        <f>IF(AND(Tabelle589711143136[[#This Row],[Lastverschiebung]]=1,Tabelle589711143136[[#This Row],[Potenzial pos. max MW]]&lt;&gt;""),Tabelle589711143136[[#This Row],[Potenzial pos. max MW]],"")</f>
        <v/>
      </c>
      <c r="AD4" s="33"/>
      <c r="AE4" s="63"/>
      <c r="AF4" s="35"/>
      <c r="AG4" s="35"/>
      <c r="AH4" s="73"/>
      <c r="AI4" s="35"/>
      <c r="AJ4" s="34"/>
      <c r="AK4" s="33"/>
      <c r="AL4" s="35"/>
      <c r="AM4" s="33"/>
      <c r="AN4" s="32"/>
      <c r="AO4" s="32"/>
      <c r="AP4" s="32"/>
      <c r="AQ4" s="32">
        <v>4</v>
      </c>
      <c r="AR4" s="32"/>
      <c r="AS4" s="32"/>
      <c r="AT4" s="32"/>
      <c r="AU4" s="32"/>
      <c r="AV4" s="32"/>
      <c r="AW4" s="32"/>
      <c r="AX4" s="32"/>
      <c r="AY4" s="32"/>
      <c r="AZ4" s="32">
        <f>8*7</f>
        <v>56</v>
      </c>
      <c r="BA4" s="32">
        <v>40</v>
      </c>
      <c r="BB4" s="18"/>
      <c r="BC4" s="18"/>
      <c r="BD4" s="33"/>
      <c r="BE4" s="36"/>
      <c r="BF4" s="36"/>
      <c r="BG4" s="36"/>
      <c r="BH4" s="36"/>
      <c r="BI4" s="36"/>
      <c r="BJ4" s="32"/>
      <c r="BK4" s="32"/>
      <c r="BL4" s="32"/>
      <c r="BM4" s="1" t="s">
        <v>1077</v>
      </c>
      <c r="BN4" s="1" t="s">
        <v>843</v>
      </c>
      <c r="BO4" s="32"/>
      <c r="BP4" s="32"/>
      <c r="BQ4" s="32">
        <v>202</v>
      </c>
      <c r="BR4" s="32"/>
      <c r="BS4" s="32"/>
      <c r="BT4" s="32">
        <v>202</v>
      </c>
      <c r="BU4" s="32"/>
      <c r="BV4" s="37">
        <v>205</v>
      </c>
      <c r="BW4" s="32"/>
      <c r="BX4" s="32"/>
      <c r="BY4" s="32"/>
      <c r="BZ4" s="37"/>
      <c r="CA4" s="37"/>
      <c r="CB4" s="32"/>
      <c r="CC4" s="37"/>
      <c r="CD4" s="37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</row>
    <row r="5" spans="1:94" x14ac:dyDescent="0.25">
      <c r="A5" s="1" t="s">
        <v>77</v>
      </c>
      <c r="B5" s="1" t="s">
        <v>129</v>
      </c>
      <c r="C5" s="32">
        <v>2013</v>
      </c>
      <c r="D5" s="1">
        <v>1</v>
      </c>
      <c r="E5" s="1">
        <v>0</v>
      </c>
      <c r="F5" s="32">
        <v>0</v>
      </c>
      <c r="G5" s="32"/>
      <c r="H5" s="32">
        <v>716</v>
      </c>
      <c r="I5" s="32"/>
      <c r="J5" s="32">
        <v>2000</v>
      </c>
      <c r="K5" s="32"/>
      <c r="L5" s="32"/>
      <c r="M5" s="32"/>
      <c r="N5" s="32"/>
      <c r="O5" s="32"/>
      <c r="P5" s="32"/>
      <c r="Q5" s="32"/>
      <c r="R5" s="32">
        <f>Tabelle589711143136[[#This Row],[jährliche Produktion kt REF]]*Tabelle589711143136[[#This Row],[spez. StV kWh/t]]/10^6</f>
        <v>1.4319999999999999</v>
      </c>
      <c r="S5" s="32"/>
      <c r="T5" s="18"/>
      <c r="U5" s="18">
        <v>180</v>
      </c>
      <c r="V5" s="18"/>
      <c r="W5" s="18"/>
      <c r="X5" s="18"/>
      <c r="Y5" s="18"/>
      <c r="Z5" s="18">
        <f>Tabelle589711143136[[#This Row],[Stromverbrauch in TWh REF]]/Tabelle589711143136[[#This Row],[Vollbenutzungsstunden h/a]]*10^6</f>
        <v>255.71428571428572</v>
      </c>
      <c r="AA5" s="18" t="str">
        <f>IF(AND(Tabelle589711143136[[#This Row],[Lastverschiebung]]=1,Tabelle589711143136[[#This Row],[Potenzial pos. min MW]]&lt;&gt;""),Tabelle589711143136[[#This Row],[Potenzial pos. min MW]],"")</f>
        <v/>
      </c>
      <c r="AB5" s="18">
        <f>IF(AND(Tabelle589711143136[[#This Row],[Lastverschiebung]]=1,Tabelle589711143136[[#This Row],[Potenzial pos. MW Durchschnitt]]&lt;&gt;""),Tabelle589711143136[[#This Row],[Potenzial pos. MW Durchschnitt]],"")</f>
        <v>180</v>
      </c>
      <c r="AC5" s="18" t="str">
        <f>IF(AND(Tabelle589711143136[[#This Row],[Lastverschiebung]]=1,Tabelle589711143136[[#This Row],[Potenzial pos. max MW]]&lt;&gt;""),Tabelle589711143136[[#This Row],[Potenzial pos. max MW]],"")</f>
        <v/>
      </c>
      <c r="AD5" s="18"/>
      <c r="AE5" s="63">
        <f>1-Tabelle589711143136[[#This Row],[flexibilisierbarer Anteil]]</f>
        <v>0</v>
      </c>
      <c r="AF5" s="63">
        <v>1</v>
      </c>
      <c r="AG5" s="8"/>
      <c r="AH5" s="48">
        <v>5600</v>
      </c>
      <c r="AI5" s="63">
        <v>0.65</v>
      </c>
      <c r="AJ5" s="19"/>
      <c r="AK5" s="18"/>
      <c r="AL5" s="8"/>
      <c r="AM5" s="18"/>
      <c r="AN5" s="64"/>
      <c r="AO5" s="64"/>
      <c r="AP5" s="64"/>
      <c r="AQ5" s="1">
        <v>2</v>
      </c>
      <c r="AR5" s="1"/>
      <c r="AS5" s="1"/>
      <c r="AT5" s="1">
        <v>2</v>
      </c>
      <c r="AU5" s="1"/>
      <c r="AV5" s="1"/>
      <c r="AW5" s="1">
        <v>4</v>
      </c>
      <c r="AX5" s="1"/>
      <c r="AY5" s="1"/>
      <c r="AZ5" s="1"/>
      <c r="BA5" s="1">
        <v>24</v>
      </c>
      <c r="BB5" s="18">
        <v>1</v>
      </c>
      <c r="BC5" s="18">
        <v>20</v>
      </c>
      <c r="BD5" s="18"/>
      <c r="BE5" s="7">
        <v>0</v>
      </c>
      <c r="BF5" s="7">
        <v>10</v>
      </c>
      <c r="BG5" s="7"/>
      <c r="BH5" s="36">
        <v>0</v>
      </c>
      <c r="BI5" s="36">
        <v>1</v>
      </c>
      <c r="BJ5" s="1"/>
      <c r="BK5" s="1"/>
      <c r="BL5" s="1">
        <v>0</v>
      </c>
      <c r="BM5" s="1"/>
      <c r="BN5" s="1" t="s">
        <v>843</v>
      </c>
      <c r="BO5" s="32">
        <v>17</v>
      </c>
      <c r="BP5" s="32">
        <v>17</v>
      </c>
      <c r="BQ5" s="32">
        <v>46</v>
      </c>
      <c r="BR5" s="32"/>
      <c r="BS5" s="32"/>
      <c r="BT5" s="32">
        <v>46</v>
      </c>
      <c r="BU5" s="32">
        <v>46</v>
      </c>
      <c r="BV5" s="37">
        <v>205</v>
      </c>
      <c r="BW5" s="1"/>
      <c r="BX5" s="32">
        <v>46</v>
      </c>
      <c r="BY5" s="32">
        <v>46</v>
      </c>
      <c r="BZ5" s="12">
        <v>18</v>
      </c>
      <c r="CA5" s="12"/>
      <c r="CB5" s="1"/>
      <c r="CC5" s="12"/>
      <c r="CD5" s="12"/>
      <c r="CE5" s="32">
        <v>23</v>
      </c>
      <c r="CF5" s="32">
        <v>23</v>
      </c>
      <c r="CG5" s="1"/>
      <c r="CH5" s="32">
        <v>23</v>
      </c>
      <c r="CI5" s="32">
        <v>23</v>
      </c>
      <c r="CJ5" s="32">
        <v>30</v>
      </c>
      <c r="CK5" s="32">
        <v>30</v>
      </c>
      <c r="CL5" s="32">
        <v>30</v>
      </c>
      <c r="CM5" s="1"/>
      <c r="CN5" s="32">
        <v>117</v>
      </c>
      <c r="CO5" s="1"/>
      <c r="CP5" s="1"/>
    </row>
    <row r="6" spans="1:94" x14ac:dyDescent="0.25">
      <c r="A6" s="1" t="s">
        <v>77</v>
      </c>
      <c r="B6" s="1" t="s">
        <v>129</v>
      </c>
      <c r="C6" s="32">
        <v>2030</v>
      </c>
      <c r="D6" s="1">
        <v>1</v>
      </c>
      <c r="E6" s="1">
        <v>0</v>
      </c>
      <c r="F6" s="32">
        <v>0</v>
      </c>
      <c r="G6">
        <v>277</v>
      </c>
      <c r="H6">
        <v>716</v>
      </c>
      <c r="I6">
        <v>1126</v>
      </c>
      <c r="J6">
        <v>1389</v>
      </c>
      <c r="Q6">
        <f>Tabelle589711143136[[#This Row],[jährliche Produktion kt MIN]]*Tabelle589711143136[[#This Row],[spez. StV kWh/t]]/10^6</f>
        <v>0.38475300000000001</v>
      </c>
      <c r="R6" s="32">
        <f>Tabelle589711143136[[#This Row],[jährliche Produktion kt REF]]*Tabelle589711143136[[#This Row],[spez. StV kWh/t]]/10^6</f>
        <v>0.99452399999999996</v>
      </c>
      <c r="S6" s="32">
        <f>Tabelle589711143136[[#This Row],[jährliche Produktion kt MAX]]*Tabelle589711143136[[#This Row],[spez. StV kWh/t]]/10^6</f>
        <v>1.564014</v>
      </c>
      <c r="T6" s="18">
        <f>$U5*Tabelle589711143136[[#This Row],[Stromverbrauch in TWh MIN]]/$R5</f>
        <v>48.362807262569831</v>
      </c>
      <c r="U6" s="18">
        <f>$U5*Tabelle589711143136[[#This Row],[Stromverbrauch in TWh REF]]/$R5</f>
        <v>125.01</v>
      </c>
      <c r="V6" s="18">
        <f>$U5*Tabelle589711143136[[#This Row],[Stromverbrauch in TWh MAX]]/$R5</f>
        <v>196.59393854748603</v>
      </c>
      <c r="W6" s="18"/>
      <c r="X6" s="18"/>
      <c r="Y6" s="18"/>
      <c r="Z6" s="18"/>
      <c r="AA6" s="18">
        <f>IF(AND(Tabelle589711143136[[#This Row],[Lastverschiebung]]=1,Tabelle589711143136[[#This Row],[Potenzial pos. min MW]]&lt;&gt;""),Tabelle589711143136[[#This Row],[Potenzial pos. min MW]],"")</f>
        <v>48.362807262569831</v>
      </c>
      <c r="AB6" s="18">
        <f>IF(AND(Tabelle589711143136[[#This Row],[Lastverschiebung]]=1,Tabelle589711143136[[#This Row],[Potenzial pos. MW Durchschnitt]]&lt;&gt;""),Tabelle589711143136[[#This Row],[Potenzial pos. MW Durchschnitt]],"")</f>
        <v>125.01</v>
      </c>
      <c r="AC6" s="18">
        <f>IF(AND(Tabelle589711143136[[#This Row],[Lastverschiebung]]=1,Tabelle589711143136[[#This Row],[Potenzial pos. max MW]]&lt;&gt;""),Tabelle589711143136[[#This Row],[Potenzial pos. max MW]],"")</f>
        <v>196.59393854748603</v>
      </c>
      <c r="AD6" s="18"/>
      <c r="AE6" s="63"/>
      <c r="AF6" s="63"/>
      <c r="AG6" s="8"/>
      <c r="AH6" s="48"/>
      <c r="AI6" s="63"/>
      <c r="AJ6" s="19"/>
      <c r="AK6" s="18"/>
      <c r="AL6" s="8"/>
      <c r="AM6" s="18"/>
      <c r="AN6" s="64"/>
      <c r="AO6" s="64"/>
      <c r="AP6" s="64"/>
      <c r="AQ6" s="1">
        <v>2</v>
      </c>
      <c r="AR6" s="1"/>
      <c r="AS6" s="1"/>
      <c r="AT6" s="1"/>
      <c r="AU6" s="1"/>
      <c r="AV6" s="1"/>
      <c r="AW6" s="1">
        <v>4</v>
      </c>
      <c r="AX6" s="1"/>
      <c r="AY6" s="1"/>
      <c r="AZ6" s="1">
        <f>8*7</f>
        <v>56</v>
      </c>
      <c r="BA6" s="1">
        <v>24</v>
      </c>
      <c r="BB6" s="18"/>
      <c r="BC6" s="18"/>
      <c r="BD6" s="18"/>
      <c r="BE6" s="7"/>
      <c r="BF6" s="7"/>
      <c r="BG6" s="7"/>
      <c r="BH6" s="36"/>
      <c r="BI6" s="36"/>
      <c r="BJ6" s="1"/>
      <c r="BK6" s="1"/>
      <c r="BL6" s="1">
        <v>0</v>
      </c>
      <c r="BM6" s="1"/>
      <c r="BN6" s="1" t="s">
        <v>843</v>
      </c>
      <c r="BO6" s="32"/>
      <c r="BP6" s="32"/>
      <c r="BQ6" s="32">
        <v>202</v>
      </c>
      <c r="BR6" s="32"/>
      <c r="BS6" s="32"/>
      <c r="BT6" s="32">
        <v>202</v>
      </c>
      <c r="BU6" s="32"/>
      <c r="BV6" s="37">
        <v>205</v>
      </c>
      <c r="BW6" s="1"/>
      <c r="BX6" s="32"/>
      <c r="BY6" s="32"/>
      <c r="BZ6" s="12"/>
      <c r="CA6" s="12"/>
      <c r="CB6" s="1"/>
      <c r="CC6" s="12"/>
      <c r="CD6" s="12"/>
      <c r="CE6" s="32"/>
      <c r="CF6" s="32"/>
      <c r="CG6" s="1"/>
      <c r="CH6" s="32"/>
      <c r="CI6" s="32"/>
      <c r="CJ6" s="32"/>
      <c r="CK6" s="32"/>
      <c r="CL6" s="32"/>
      <c r="CM6" s="1"/>
      <c r="CN6" s="32">
        <v>117</v>
      </c>
      <c r="CO6" s="1"/>
      <c r="CP6" s="1"/>
    </row>
    <row r="7" spans="1:94" x14ac:dyDescent="0.25">
      <c r="A7" s="1" t="s">
        <v>77</v>
      </c>
      <c r="B7" s="1" t="s">
        <v>129</v>
      </c>
      <c r="C7" s="32">
        <v>2050</v>
      </c>
      <c r="D7" s="1">
        <v>1</v>
      </c>
      <c r="E7" s="1">
        <v>0</v>
      </c>
      <c r="F7" s="32">
        <v>0</v>
      </c>
      <c r="G7">
        <v>277</v>
      </c>
      <c r="H7">
        <v>716</v>
      </c>
      <c r="I7">
        <v>1126</v>
      </c>
      <c r="J7">
        <v>1389</v>
      </c>
      <c r="Q7">
        <f>Tabelle589711143136[[#This Row],[jährliche Produktion kt MIN]]*Tabelle589711143136[[#This Row],[spez. StV kWh/t]]/10^6</f>
        <v>0.38475300000000001</v>
      </c>
      <c r="R7" s="32">
        <f>Tabelle589711143136[[#This Row],[jährliche Produktion kt REF]]*Tabelle589711143136[[#This Row],[spez. StV kWh/t]]/10^6</f>
        <v>0.99452399999999996</v>
      </c>
      <c r="S7" s="32">
        <f>Tabelle589711143136[[#This Row],[jährliche Produktion kt MAX]]*Tabelle589711143136[[#This Row],[spez. StV kWh/t]]/10^6</f>
        <v>1.564014</v>
      </c>
      <c r="T7" s="18">
        <f>$U5*Tabelle589711143136[[#This Row],[Stromverbrauch in TWh MIN]]/$R5</f>
        <v>48.362807262569831</v>
      </c>
      <c r="U7" s="18">
        <f>$U5*Tabelle589711143136[[#This Row],[Stromverbrauch in TWh REF]]/$R5</f>
        <v>125.01</v>
      </c>
      <c r="V7" s="18">
        <f>$U5*Tabelle589711143136[[#This Row],[Stromverbrauch in TWh MAX]]/$R5</f>
        <v>196.59393854748603</v>
      </c>
      <c r="W7" s="18"/>
      <c r="X7" s="18"/>
      <c r="Y7" s="18"/>
      <c r="Z7" s="18"/>
      <c r="AA7" s="18">
        <f>IF(AND(Tabelle589711143136[[#This Row],[Lastverschiebung]]=1,Tabelle589711143136[[#This Row],[Potenzial pos. min MW]]&lt;&gt;""),Tabelle589711143136[[#This Row],[Potenzial pos. min MW]],"")</f>
        <v>48.362807262569831</v>
      </c>
      <c r="AB7" s="18">
        <f>IF(AND(Tabelle589711143136[[#This Row],[Lastverschiebung]]=1,Tabelle589711143136[[#This Row],[Potenzial pos. MW Durchschnitt]]&lt;&gt;""),Tabelle589711143136[[#This Row],[Potenzial pos. MW Durchschnitt]],"")</f>
        <v>125.01</v>
      </c>
      <c r="AC7" s="18">
        <f>IF(AND(Tabelle589711143136[[#This Row],[Lastverschiebung]]=1,Tabelle589711143136[[#This Row],[Potenzial pos. max MW]]&lt;&gt;""),Tabelle589711143136[[#This Row],[Potenzial pos. max MW]],"")</f>
        <v>196.59393854748603</v>
      </c>
      <c r="AD7" s="18"/>
      <c r="AE7" s="63"/>
      <c r="AF7" s="63"/>
      <c r="AG7" s="8"/>
      <c r="AH7" s="48"/>
      <c r="AI7" s="63"/>
      <c r="AJ7" s="19"/>
      <c r="AK7" s="18"/>
      <c r="AL7" s="8"/>
      <c r="AM7" s="18"/>
      <c r="AN7" s="64"/>
      <c r="AO7" s="64"/>
      <c r="AP7" s="64"/>
      <c r="AQ7" s="1">
        <v>2</v>
      </c>
      <c r="AR7" s="1"/>
      <c r="AS7" s="1"/>
      <c r="AT7" s="1"/>
      <c r="AU7" s="1"/>
      <c r="AV7" s="1"/>
      <c r="AW7" s="1">
        <v>4</v>
      </c>
      <c r="AX7" s="1"/>
      <c r="AY7" s="1"/>
      <c r="AZ7" s="1">
        <f>8*7</f>
        <v>56</v>
      </c>
      <c r="BA7" s="1">
        <v>24</v>
      </c>
      <c r="BB7" s="18"/>
      <c r="BC7" s="18"/>
      <c r="BD7" s="18"/>
      <c r="BE7" s="7"/>
      <c r="BF7" s="7"/>
      <c r="BG7" s="7"/>
      <c r="BH7" s="36"/>
      <c r="BI7" s="36"/>
      <c r="BJ7" s="1"/>
      <c r="BK7" s="1"/>
      <c r="BL7" s="1">
        <v>0</v>
      </c>
      <c r="BM7" s="1"/>
      <c r="BN7" s="1" t="s">
        <v>843</v>
      </c>
      <c r="BO7" s="32"/>
      <c r="BP7" s="32"/>
      <c r="BQ7" s="32">
        <v>202</v>
      </c>
      <c r="BR7" s="32"/>
      <c r="BS7" s="32"/>
      <c r="BT7" s="32">
        <v>202</v>
      </c>
      <c r="BU7" s="32"/>
      <c r="BV7" s="37">
        <v>205</v>
      </c>
      <c r="BW7" s="1"/>
      <c r="BX7" s="32"/>
      <c r="BY7" s="32"/>
      <c r="BZ7" s="12"/>
      <c r="CA7" s="12"/>
      <c r="CB7" s="1"/>
      <c r="CC7" s="12"/>
      <c r="CD7" s="12"/>
      <c r="CE7" s="32"/>
      <c r="CF7" s="32"/>
      <c r="CG7" s="1"/>
      <c r="CH7" s="32"/>
      <c r="CI7" s="32"/>
      <c r="CJ7" s="32"/>
      <c r="CK7" s="32"/>
      <c r="CL7" s="32"/>
      <c r="CM7" s="1"/>
      <c r="CN7" s="32">
        <v>117</v>
      </c>
      <c r="CO7" s="1"/>
      <c r="CP7" s="1"/>
    </row>
    <row r="8" spans="1:94" x14ac:dyDescent="0.25">
      <c r="A8" s="1" t="s">
        <v>959</v>
      </c>
      <c r="B8" s="1" t="s">
        <v>129</v>
      </c>
      <c r="C8" s="32">
        <v>2013</v>
      </c>
      <c r="D8" s="1">
        <v>0</v>
      </c>
      <c r="E8" s="1">
        <v>1</v>
      </c>
      <c r="F8" s="32">
        <v>0</v>
      </c>
      <c r="G8" s="32"/>
      <c r="H8" s="32">
        <v>504</v>
      </c>
      <c r="I8" s="32"/>
      <c r="J8" s="32">
        <v>3400</v>
      </c>
      <c r="K8" s="32"/>
      <c r="L8" s="32"/>
      <c r="M8" s="32"/>
      <c r="N8" s="32"/>
      <c r="O8" s="32"/>
      <c r="P8" s="32"/>
      <c r="Q8" s="32"/>
      <c r="R8" s="32">
        <f>Tabelle589711143136[[#This Row],[jährliche Produktion kt REF]]*Tabelle589711143136[[#This Row],[spez. StV kWh/t]]/10^6</f>
        <v>1.7136</v>
      </c>
      <c r="S8" s="32"/>
      <c r="T8" s="18"/>
      <c r="U8" s="18"/>
      <c r="V8" s="18"/>
      <c r="W8" s="18"/>
      <c r="X8" s="18"/>
      <c r="Y8" s="18"/>
      <c r="Z8" s="18">
        <f>Tabelle589711143136[[#This Row],[Stromverbrauch in TWh REF]]/Tabelle589711143136[[#This Row],[Vollbenutzungsstunden h/a]]*10^6</f>
        <v>232.51017639077341</v>
      </c>
      <c r="AA8" s="18" t="str">
        <f>IF(AND(Tabelle589711143136[[#This Row],[Lastverschiebung]]=1,Tabelle589711143136[[#This Row],[Potenzial pos. min MW]]&lt;&gt;""),Tabelle589711143136[[#This Row],[Potenzial pos. min MW]],"")</f>
        <v/>
      </c>
      <c r="AB8" s="18" t="str">
        <f>IF(AND(Tabelle589711143136[[#This Row],[Lastverschiebung]]=1,Tabelle589711143136[[#This Row],[Potenzial pos. MW Durchschnitt]]&lt;&gt;""),Tabelle589711143136[[#This Row],[Potenzial pos. MW Durchschnitt]],"")</f>
        <v/>
      </c>
      <c r="AC8" s="18" t="str">
        <f>IF(AND(Tabelle589711143136[[#This Row],[Lastverschiebung]]=1,Tabelle589711143136[[#This Row],[Potenzial pos. max MW]]&lt;&gt;""),Tabelle589711143136[[#This Row],[Potenzial pos. max MW]],"")</f>
        <v/>
      </c>
      <c r="AD8" s="18"/>
      <c r="AE8" s="63">
        <f>1-Tabelle589711143136[[#This Row],[flexibilisierbarer Anteil]]</f>
        <v>0.30000000000000004</v>
      </c>
      <c r="AF8" s="63">
        <v>0.7</v>
      </c>
      <c r="AG8" s="8"/>
      <c r="AH8" s="48">
        <v>7370</v>
      </c>
      <c r="AI8" s="63">
        <v>0.84</v>
      </c>
      <c r="AJ8" s="19"/>
      <c r="AK8" s="18"/>
      <c r="AL8" s="8"/>
      <c r="AM8" s="18"/>
      <c r="AN8" s="64"/>
      <c r="AO8" s="64"/>
      <c r="AP8" s="64"/>
      <c r="AQ8" s="1">
        <v>4</v>
      </c>
      <c r="AR8" s="1"/>
      <c r="AS8" s="1"/>
      <c r="AT8" s="1"/>
      <c r="AU8" s="1"/>
      <c r="AV8" s="1"/>
      <c r="AW8" s="1"/>
      <c r="AX8" s="1"/>
      <c r="AY8" s="1"/>
      <c r="AZ8" s="1"/>
      <c r="BA8" s="1">
        <v>40</v>
      </c>
      <c r="BB8" s="18">
        <v>1</v>
      </c>
      <c r="BC8" s="18">
        <v>20</v>
      </c>
      <c r="BD8" s="18"/>
      <c r="BE8" s="7">
        <v>30</v>
      </c>
      <c r="BF8" s="7">
        <v>310</v>
      </c>
      <c r="BG8" s="7"/>
      <c r="BH8" s="36">
        <v>0</v>
      </c>
      <c r="BI8" s="36">
        <v>1</v>
      </c>
      <c r="BJ8" s="1"/>
      <c r="BK8" s="1"/>
      <c r="BL8" s="1">
        <v>130</v>
      </c>
      <c r="BM8" s="1" t="s">
        <v>814</v>
      </c>
      <c r="BN8" s="1" t="s">
        <v>843</v>
      </c>
      <c r="BO8" s="1">
        <v>18</v>
      </c>
      <c r="BP8" s="1">
        <v>18</v>
      </c>
      <c r="BQ8" s="32">
        <v>46</v>
      </c>
      <c r="BR8" s="32"/>
      <c r="BS8" s="32"/>
      <c r="BT8" s="32">
        <v>46</v>
      </c>
      <c r="BU8" s="32">
        <v>46</v>
      </c>
      <c r="BV8" s="37">
        <v>205</v>
      </c>
      <c r="BW8" s="1"/>
      <c r="BX8" s="32">
        <v>46</v>
      </c>
      <c r="BY8" s="32">
        <v>46</v>
      </c>
      <c r="BZ8" s="12">
        <v>18</v>
      </c>
      <c r="CA8" s="12"/>
      <c r="CB8" s="1"/>
      <c r="CC8" s="12"/>
      <c r="CD8" s="12"/>
      <c r="CE8" s="32">
        <v>23</v>
      </c>
      <c r="CF8" s="32"/>
      <c r="CG8" s="1"/>
      <c r="CH8" s="32">
        <v>23</v>
      </c>
      <c r="CI8" s="32">
        <v>23</v>
      </c>
      <c r="CJ8" s="32">
        <v>30</v>
      </c>
      <c r="CK8" s="32">
        <v>30</v>
      </c>
      <c r="CL8" s="32">
        <v>30</v>
      </c>
      <c r="CM8" s="1"/>
      <c r="CN8" s="32">
        <v>117</v>
      </c>
      <c r="CO8" s="1"/>
      <c r="CP8" s="1"/>
    </row>
    <row r="9" spans="1:94" x14ac:dyDescent="0.25">
      <c r="A9" s="1" t="s">
        <v>960</v>
      </c>
      <c r="B9" s="1" t="s">
        <v>129</v>
      </c>
      <c r="C9" s="32">
        <v>2013</v>
      </c>
      <c r="D9" s="1">
        <v>0</v>
      </c>
      <c r="E9" s="1">
        <v>1</v>
      </c>
      <c r="F9" s="32">
        <v>0</v>
      </c>
      <c r="G9" s="32"/>
      <c r="H9" s="32">
        <v>2564</v>
      </c>
      <c r="I9" s="32"/>
      <c r="J9" s="32">
        <v>2450</v>
      </c>
      <c r="K9" s="32"/>
      <c r="L9" s="32"/>
      <c r="M9" s="32"/>
      <c r="N9" s="32"/>
      <c r="O9" s="32"/>
      <c r="P9" s="32"/>
      <c r="Q9" s="32"/>
      <c r="R9" s="32">
        <f>Tabelle589711143136[[#This Row],[jährliche Produktion kt REF]]*Tabelle589711143136[[#This Row],[spez. StV kWh/t]]/10^6</f>
        <v>6.2817999999999996</v>
      </c>
      <c r="S9" s="32"/>
      <c r="T9" s="18"/>
      <c r="U9" s="18">
        <v>500</v>
      </c>
      <c r="V9" s="18"/>
      <c r="W9" s="18"/>
      <c r="X9" s="18"/>
      <c r="Y9" s="18"/>
      <c r="Z9" s="18">
        <f>Tabelle589711143136[[#This Row],[Stromverbrauch in TWh REF]]/Tabelle589711143136[[#This Row],[Vollbenutzungsstunden h/a]]*10^6</f>
        <v>852.34735413839883</v>
      </c>
      <c r="AA9" s="18" t="str">
        <f>IF(AND(Tabelle589711143136[[#This Row],[Lastverschiebung]]=1,Tabelle589711143136[[#This Row],[Potenzial pos. min MW]]&lt;&gt;""),Tabelle589711143136[[#This Row],[Potenzial pos. min MW]],"")</f>
        <v/>
      </c>
      <c r="AB9" s="18" t="str">
        <f>IF(AND(Tabelle589711143136[[#This Row],[Lastverschiebung]]=1,Tabelle589711143136[[#This Row],[Potenzial pos. MW Durchschnitt]]&lt;&gt;""),Tabelle589711143136[[#This Row],[Potenzial pos. MW Durchschnitt]],"")</f>
        <v/>
      </c>
      <c r="AC9" s="18" t="str">
        <f>IF(AND(Tabelle589711143136[[#This Row],[Lastverschiebung]]=1,Tabelle589711143136[[#This Row],[Potenzial pos. max MW]]&lt;&gt;""),Tabelle589711143136[[#This Row],[Potenzial pos. max MW]],"")</f>
        <v/>
      </c>
      <c r="AD9" s="18"/>
      <c r="AE9" s="63">
        <f>1-Tabelle589711143136[[#This Row],[flexibilisierbarer Anteil]]</f>
        <v>0.4</v>
      </c>
      <c r="AF9" s="63">
        <v>0.6</v>
      </c>
      <c r="AG9" s="8"/>
      <c r="AH9" s="48">
        <v>7370</v>
      </c>
      <c r="AI9" s="63">
        <v>0.84</v>
      </c>
      <c r="AJ9" s="19"/>
      <c r="AK9" s="18"/>
      <c r="AL9" s="8"/>
      <c r="AM9" s="18"/>
      <c r="AN9" s="64"/>
      <c r="AO9" s="64"/>
      <c r="AP9" s="64"/>
      <c r="AQ9" s="1">
        <v>4</v>
      </c>
      <c r="AR9" s="1"/>
      <c r="AS9" s="1"/>
      <c r="AT9" s="1"/>
      <c r="AU9" s="1"/>
      <c r="AV9" s="1"/>
      <c r="AW9" s="1"/>
      <c r="AX9" s="1"/>
      <c r="AY9" s="1"/>
      <c r="AZ9" s="1"/>
      <c r="BA9" s="1">
        <v>40</v>
      </c>
      <c r="BB9" s="18">
        <v>1</v>
      </c>
      <c r="BC9" s="18">
        <v>20</v>
      </c>
      <c r="BD9" s="18"/>
      <c r="BE9" s="7">
        <v>30</v>
      </c>
      <c r="BF9" s="7">
        <v>310</v>
      </c>
      <c r="BG9" s="7"/>
      <c r="BH9" s="36">
        <v>0</v>
      </c>
      <c r="BI9" s="36">
        <v>1</v>
      </c>
      <c r="BJ9" s="1"/>
      <c r="BK9" s="1"/>
      <c r="BL9" s="1"/>
      <c r="BM9" s="1" t="s">
        <v>814</v>
      </c>
      <c r="BN9" s="1" t="s">
        <v>843</v>
      </c>
      <c r="BO9" s="1">
        <v>18</v>
      </c>
      <c r="BP9" s="1">
        <v>18</v>
      </c>
      <c r="BQ9" s="32">
        <v>46</v>
      </c>
      <c r="BR9" s="32"/>
      <c r="BS9" s="32"/>
      <c r="BT9" s="32">
        <v>46</v>
      </c>
      <c r="BU9" s="32">
        <v>46</v>
      </c>
      <c r="BV9" s="37">
        <v>205</v>
      </c>
      <c r="BW9" s="1"/>
      <c r="BX9" s="32">
        <v>46</v>
      </c>
      <c r="BY9" s="32">
        <v>46</v>
      </c>
      <c r="BZ9" s="12">
        <v>18</v>
      </c>
      <c r="CA9" s="12"/>
      <c r="CB9" s="1"/>
      <c r="CC9" s="12"/>
      <c r="CD9" s="12"/>
      <c r="CE9" s="32">
        <v>23</v>
      </c>
      <c r="CF9" s="32"/>
      <c r="CG9" s="1"/>
      <c r="CH9" s="32">
        <v>23</v>
      </c>
      <c r="CI9" s="32">
        <v>23</v>
      </c>
      <c r="CJ9" s="32">
        <v>30</v>
      </c>
      <c r="CK9" s="32">
        <v>30</v>
      </c>
      <c r="CL9" s="32">
        <v>30</v>
      </c>
      <c r="CM9" s="1"/>
      <c r="CN9" s="1"/>
      <c r="CO9" s="1"/>
      <c r="CP9" s="1"/>
    </row>
    <row r="10" spans="1:94" x14ac:dyDescent="0.25">
      <c r="A10" s="1" t="s">
        <v>960</v>
      </c>
      <c r="B10" s="1" t="s">
        <v>129</v>
      </c>
      <c r="C10" s="32">
        <v>2030</v>
      </c>
      <c r="D10" s="1">
        <v>0</v>
      </c>
      <c r="E10" s="1">
        <v>1</v>
      </c>
      <c r="F10" s="32">
        <v>0</v>
      </c>
      <c r="G10">
        <v>2189</v>
      </c>
      <c r="H10">
        <v>2817</v>
      </c>
      <c r="I10">
        <v>3648</v>
      </c>
      <c r="J10">
        <v>2100</v>
      </c>
      <c r="Q10">
        <f>Tabelle589711143136[[#This Row],[jährliche Produktion kt MIN]]*Tabelle589711143136[[#This Row],[spez. StV kWh/t]]/10^6</f>
        <v>4.5968999999999998</v>
      </c>
      <c r="R10" s="32">
        <f>Tabelle589711143136[[#This Row],[jährliche Produktion kt REF]]*Tabelle589711143136[[#This Row],[spez. StV kWh/t]]/10^6</f>
        <v>5.9157000000000002</v>
      </c>
      <c r="S10" s="32">
        <f>Tabelle589711143136[[#This Row],[jährliche Produktion kt MAX]]*Tabelle589711143136[[#This Row],[spez. StV kWh/t]]/10^6</f>
        <v>7.6608000000000001</v>
      </c>
      <c r="T10" s="18">
        <v>180</v>
      </c>
      <c r="U10" s="18">
        <f>$U9*Tabelle589711143136[[#This Row],[Stromverbrauch in TWh REF]]/($R9+$R8)</f>
        <v>369.94396778147433</v>
      </c>
      <c r="V10" s="18">
        <v>520</v>
      </c>
      <c r="W10" s="18"/>
      <c r="X10" s="18"/>
      <c r="Y10" s="18"/>
      <c r="Z10" s="18"/>
      <c r="AA10" s="18" t="str">
        <f>IF(AND(Tabelle589711143136[[#This Row],[Lastverschiebung]]=1,Tabelle589711143136[[#This Row],[Potenzial pos. min MW]]&lt;&gt;""),Tabelle589711143136[[#This Row],[Potenzial pos. min MW]],"")</f>
        <v/>
      </c>
      <c r="AB10" s="18" t="str">
        <f>IF(AND(Tabelle589711143136[[#This Row],[Lastverschiebung]]=1,Tabelle589711143136[[#This Row],[Potenzial pos. MW Durchschnitt]]&lt;&gt;""),Tabelle589711143136[[#This Row],[Potenzial pos. MW Durchschnitt]],"")</f>
        <v/>
      </c>
      <c r="AC10" s="18" t="str">
        <f>IF(AND(Tabelle589711143136[[#This Row],[Lastverschiebung]]=1,Tabelle589711143136[[#This Row],[Potenzial pos. max MW]]&lt;&gt;""),Tabelle589711143136[[#This Row],[Potenzial pos. max MW]],"")</f>
        <v/>
      </c>
      <c r="AD10" s="18"/>
      <c r="AE10" s="63"/>
      <c r="AF10" s="63"/>
      <c r="AG10" s="8"/>
      <c r="AH10" s="48"/>
      <c r="AI10" s="63"/>
      <c r="AJ10" s="19"/>
      <c r="AK10" s="18"/>
      <c r="AL10" s="8"/>
      <c r="AM10" s="18"/>
      <c r="AN10" s="64"/>
      <c r="AO10" s="64"/>
      <c r="AP10" s="64"/>
      <c r="AQ10" s="1">
        <v>4</v>
      </c>
      <c r="AR10" s="1"/>
      <c r="AS10" s="1"/>
      <c r="AT10" s="1"/>
      <c r="AU10" s="1"/>
      <c r="AV10" s="1"/>
      <c r="AW10" s="1"/>
      <c r="AX10" s="1"/>
      <c r="AY10" s="1"/>
      <c r="AZ10" s="1">
        <f>8*7</f>
        <v>56</v>
      </c>
      <c r="BA10" s="1">
        <v>40</v>
      </c>
      <c r="BB10" s="18"/>
      <c r="BC10" s="18"/>
      <c r="BD10" s="18"/>
      <c r="BE10" s="7"/>
      <c r="BF10" s="7"/>
      <c r="BG10" s="7"/>
      <c r="BH10" s="36"/>
      <c r="BI10" s="36"/>
      <c r="BJ10" s="1"/>
      <c r="BK10" s="1"/>
      <c r="BL10" s="1"/>
      <c r="BM10" s="1"/>
      <c r="BN10" s="1" t="s">
        <v>843</v>
      </c>
      <c r="BO10" s="1"/>
      <c r="BP10" s="1"/>
      <c r="BQ10" s="32">
        <v>202</v>
      </c>
      <c r="BR10" s="32"/>
      <c r="BS10" s="32"/>
      <c r="BT10" s="32">
        <v>202</v>
      </c>
      <c r="BU10" s="32"/>
      <c r="BV10" s="37">
        <v>205</v>
      </c>
      <c r="BW10" s="1"/>
      <c r="BX10" s="32"/>
      <c r="BY10" s="32"/>
      <c r="BZ10" s="12"/>
      <c r="CA10" s="12"/>
      <c r="CB10" s="1"/>
      <c r="CC10" s="12"/>
      <c r="CD10" s="12"/>
      <c r="CE10" s="32"/>
      <c r="CF10" s="32"/>
      <c r="CG10" s="1"/>
      <c r="CH10" s="32"/>
      <c r="CI10" s="32"/>
      <c r="CJ10" s="32"/>
      <c r="CK10" s="32"/>
      <c r="CL10" s="32"/>
      <c r="CM10" s="1"/>
      <c r="CN10" s="1"/>
      <c r="CO10" s="1"/>
      <c r="CP10" s="1"/>
    </row>
    <row r="11" spans="1:94" x14ac:dyDescent="0.25">
      <c r="A11" s="1" t="s">
        <v>960</v>
      </c>
      <c r="B11" s="1" t="s">
        <v>129</v>
      </c>
      <c r="C11" s="32">
        <v>2050</v>
      </c>
      <c r="D11" s="1">
        <v>0</v>
      </c>
      <c r="E11" s="1">
        <v>1</v>
      </c>
      <c r="F11" s="32">
        <v>0</v>
      </c>
      <c r="G11">
        <v>2189</v>
      </c>
      <c r="H11">
        <v>2549</v>
      </c>
      <c r="I11">
        <v>3648</v>
      </c>
      <c r="J11">
        <v>2100</v>
      </c>
      <c r="Q11">
        <f>Tabelle589711143136[[#This Row],[jährliche Produktion kt MIN]]*Tabelle589711143136[[#This Row],[spez. StV kWh/t]]/10^6</f>
        <v>4.5968999999999998</v>
      </c>
      <c r="R11" s="32">
        <f>Tabelle589711143136[[#This Row],[jährliche Produktion kt REF]]*Tabelle589711143136[[#This Row],[spez. StV kWh/t]]/10^6</f>
        <v>5.3529</v>
      </c>
      <c r="S11" s="32">
        <f>Tabelle589711143136[[#This Row],[jährliche Produktion kt MAX]]*Tabelle589711143136[[#This Row],[spez. StV kWh/t]]/10^6</f>
        <v>7.6608000000000001</v>
      </c>
      <c r="T11" s="18">
        <v>180</v>
      </c>
      <c r="U11" s="18">
        <v>280</v>
      </c>
      <c r="V11" s="18">
        <v>520</v>
      </c>
      <c r="W11" s="18"/>
      <c r="X11" s="18"/>
      <c r="Y11" s="18"/>
      <c r="Z11" s="18"/>
      <c r="AA11" s="18" t="str">
        <f>IF(AND(Tabelle589711143136[[#This Row],[Lastverschiebung]]=1,Tabelle589711143136[[#This Row],[Potenzial pos. min MW]]&lt;&gt;""),Tabelle589711143136[[#This Row],[Potenzial pos. min MW]],"")</f>
        <v/>
      </c>
      <c r="AB11" s="18" t="str">
        <f>IF(AND(Tabelle589711143136[[#This Row],[Lastverschiebung]]=1,Tabelle589711143136[[#This Row],[Potenzial pos. MW Durchschnitt]]&lt;&gt;""),Tabelle589711143136[[#This Row],[Potenzial pos. MW Durchschnitt]],"")</f>
        <v/>
      </c>
      <c r="AC11" s="18" t="str">
        <f>IF(AND(Tabelle589711143136[[#This Row],[Lastverschiebung]]=1,Tabelle589711143136[[#This Row],[Potenzial pos. max MW]]&lt;&gt;""),Tabelle589711143136[[#This Row],[Potenzial pos. max MW]],"")</f>
        <v/>
      </c>
      <c r="AD11" s="18"/>
      <c r="AE11" s="63"/>
      <c r="AF11" s="63"/>
      <c r="AG11" s="8"/>
      <c r="AH11" s="48"/>
      <c r="AI11" s="63"/>
      <c r="AJ11" s="19"/>
      <c r="AK11" s="18"/>
      <c r="AL11" s="8"/>
      <c r="AM11" s="18"/>
      <c r="AN11" s="64"/>
      <c r="AO11" s="64"/>
      <c r="AP11" s="64"/>
      <c r="AQ11" s="1">
        <v>4</v>
      </c>
      <c r="AR11" s="1"/>
      <c r="AS11" s="1"/>
      <c r="AT11" s="1"/>
      <c r="AU11" s="1"/>
      <c r="AV11" s="1"/>
      <c r="AW11" s="1"/>
      <c r="AX11" s="1"/>
      <c r="AY11" s="1"/>
      <c r="AZ11" s="1">
        <f>8*7</f>
        <v>56</v>
      </c>
      <c r="BA11" s="1">
        <v>40</v>
      </c>
      <c r="BB11" s="18"/>
      <c r="BC11" s="18"/>
      <c r="BD11" s="18"/>
      <c r="BE11" s="7"/>
      <c r="BF11" s="7"/>
      <c r="BG11" s="7"/>
      <c r="BH11" s="36"/>
      <c r="BI11" s="36"/>
      <c r="BJ11" s="1"/>
      <c r="BK11" s="1"/>
      <c r="BL11" s="1"/>
      <c r="BM11" s="1"/>
      <c r="BN11" s="1" t="s">
        <v>843</v>
      </c>
      <c r="BO11" s="1"/>
      <c r="BP11" s="1"/>
      <c r="BQ11" s="32">
        <v>202</v>
      </c>
      <c r="BR11" s="32"/>
      <c r="BS11" s="32"/>
      <c r="BT11" s="32">
        <v>202</v>
      </c>
      <c r="BU11" s="32"/>
      <c r="BV11" s="37">
        <v>205</v>
      </c>
      <c r="BW11" s="1"/>
      <c r="BX11" s="32"/>
      <c r="BY11" s="32"/>
      <c r="BZ11" s="12"/>
      <c r="CA11" s="12"/>
      <c r="CB11" s="1"/>
      <c r="CC11" s="12"/>
      <c r="CD11" s="12"/>
      <c r="CE11" s="32"/>
      <c r="CF11" s="32"/>
      <c r="CG11" s="1"/>
      <c r="CH11" s="32"/>
      <c r="CI11" s="32"/>
      <c r="CJ11" s="32"/>
      <c r="CK11" s="32"/>
      <c r="CL11" s="32"/>
      <c r="CM11" s="1"/>
      <c r="CN11" s="1"/>
      <c r="CO11" s="1"/>
      <c r="CP11" s="1"/>
    </row>
    <row r="12" spans="1:94" x14ac:dyDescent="0.25">
      <c r="A12" s="1" t="s">
        <v>54</v>
      </c>
      <c r="B12" s="1" t="s">
        <v>129</v>
      </c>
      <c r="C12" s="32">
        <v>2013</v>
      </c>
      <c r="D12" s="1">
        <v>0</v>
      </c>
      <c r="E12" s="1">
        <v>1</v>
      </c>
      <c r="F12" s="32">
        <v>0</v>
      </c>
      <c r="G12" s="32"/>
      <c r="H12" s="32">
        <v>500</v>
      </c>
      <c r="I12" s="32"/>
      <c r="J12" s="32">
        <v>14000</v>
      </c>
      <c r="K12" s="32"/>
      <c r="L12" s="32"/>
      <c r="M12" s="32"/>
      <c r="N12" s="32"/>
      <c r="O12" s="32"/>
      <c r="P12" s="32"/>
      <c r="Q12" s="32"/>
      <c r="R12" s="32">
        <v>6.944</v>
      </c>
      <c r="S12" s="32"/>
      <c r="T12" s="18"/>
      <c r="U12" s="18">
        <v>200</v>
      </c>
      <c r="V12" s="18"/>
      <c r="W12" s="18"/>
      <c r="X12" s="18"/>
      <c r="Y12" s="18"/>
      <c r="Z12" s="18">
        <f>Tabelle589711143136[[#This Row],[Stromverbrauch in TWh REF]]/Tabelle589711143136[[#This Row],[Vollbenutzungsstunden h/a]]*10^6</f>
        <v>982.87331917905169</v>
      </c>
      <c r="AA12" s="18" t="str">
        <f>IF(AND(Tabelle589711143136[[#This Row],[Lastverschiebung]]=1,Tabelle589711143136[[#This Row],[Potenzial pos. min MW]]&lt;&gt;""),Tabelle589711143136[[#This Row],[Potenzial pos. min MW]],"")</f>
        <v/>
      </c>
      <c r="AB12" s="18" t="str">
        <f>IF(AND(Tabelle589711143136[[#This Row],[Lastverschiebung]]=1,Tabelle589711143136[[#This Row],[Potenzial pos. MW Durchschnitt]]&lt;&gt;""),Tabelle589711143136[[#This Row],[Potenzial pos. MW Durchschnitt]],"")</f>
        <v/>
      </c>
      <c r="AC12" s="18" t="str">
        <f>IF(AND(Tabelle589711143136[[#This Row],[Lastverschiebung]]=1,Tabelle589711143136[[#This Row],[Potenzial pos. max MW]]&lt;&gt;""),Tabelle589711143136[[#This Row],[Potenzial pos. max MW]],"")</f>
        <v/>
      </c>
      <c r="AD12" s="18"/>
      <c r="AE12" s="63">
        <f>1-Tabelle589711143136[[#This Row],[flexibilisierbarer Anteil]]</f>
        <v>0.75</v>
      </c>
      <c r="AF12" s="63">
        <v>0.25</v>
      </c>
      <c r="AG12" s="8"/>
      <c r="AH12" s="48">
        <v>7065</v>
      </c>
      <c r="AI12" s="63">
        <f>AVERAGE(80%,85%)</f>
        <v>0.82499999999999996</v>
      </c>
      <c r="AJ12" s="19"/>
      <c r="AK12" s="18"/>
      <c r="AL12" s="8"/>
      <c r="AM12" s="18"/>
      <c r="AN12" s="64"/>
      <c r="AO12" s="64"/>
      <c r="AP12" s="64"/>
      <c r="AQ12" s="1">
        <v>4</v>
      </c>
      <c r="AR12" s="1"/>
      <c r="AS12" s="1"/>
      <c r="AT12" s="1"/>
      <c r="AU12" s="1"/>
      <c r="AV12" s="1"/>
      <c r="AW12" s="1"/>
      <c r="AX12" s="1"/>
      <c r="AY12" s="1"/>
      <c r="AZ12" s="1"/>
      <c r="BA12" s="1">
        <v>40</v>
      </c>
      <c r="BB12" s="18">
        <v>1</v>
      </c>
      <c r="BC12" s="18">
        <v>20</v>
      </c>
      <c r="BD12" s="18"/>
      <c r="BE12" s="7">
        <v>350</v>
      </c>
      <c r="BF12" s="7">
        <v>1500</v>
      </c>
      <c r="BG12" s="7"/>
      <c r="BH12" s="36">
        <v>0</v>
      </c>
      <c r="BI12" s="36">
        <v>1</v>
      </c>
      <c r="BJ12" s="1"/>
      <c r="BK12" s="1"/>
      <c r="BL12" s="1">
        <v>350</v>
      </c>
      <c r="BM12" s="1"/>
      <c r="BN12" s="1" t="s">
        <v>843</v>
      </c>
      <c r="BO12" s="1">
        <v>18</v>
      </c>
      <c r="BP12" s="1">
        <v>18</v>
      </c>
      <c r="BQ12" s="32">
        <v>46</v>
      </c>
      <c r="BR12" s="32"/>
      <c r="BS12" s="32"/>
      <c r="BT12" s="32">
        <v>46</v>
      </c>
      <c r="BU12" s="32">
        <v>46</v>
      </c>
      <c r="BV12" s="37">
        <v>205</v>
      </c>
      <c r="BW12" s="1"/>
      <c r="BX12" s="32">
        <v>46</v>
      </c>
      <c r="BY12" s="32">
        <v>46</v>
      </c>
      <c r="BZ12" s="12">
        <v>18</v>
      </c>
      <c r="CA12" s="12"/>
      <c r="CB12" s="1"/>
      <c r="CC12" s="12"/>
      <c r="CD12" s="12"/>
      <c r="CE12" s="32">
        <v>23</v>
      </c>
      <c r="CF12" s="32"/>
      <c r="CG12" s="1"/>
      <c r="CH12" s="32">
        <v>23</v>
      </c>
      <c r="CI12" s="32">
        <v>23</v>
      </c>
      <c r="CJ12" s="32">
        <v>30</v>
      </c>
      <c r="CK12" s="32">
        <v>30</v>
      </c>
      <c r="CL12" s="32">
        <v>30</v>
      </c>
      <c r="CM12" s="1"/>
      <c r="CN12" s="32">
        <v>117</v>
      </c>
      <c r="CO12" s="1"/>
      <c r="CP12" s="1"/>
    </row>
    <row r="13" spans="1:94" x14ac:dyDescent="0.25">
      <c r="A13" s="1" t="s">
        <v>54</v>
      </c>
      <c r="B13" s="1" t="s">
        <v>129</v>
      </c>
      <c r="C13" s="32">
        <v>2030</v>
      </c>
      <c r="D13" s="1">
        <v>0</v>
      </c>
      <c r="E13" s="1">
        <v>1</v>
      </c>
      <c r="F13" s="32">
        <v>0</v>
      </c>
      <c r="G13">
        <v>298</v>
      </c>
      <c r="H13">
        <v>500</v>
      </c>
      <c r="I13">
        <v>620</v>
      </c>
      <c r="J13">
        <v>11200</v>
      </c>
      <c r="Q13">
        <f>Tabelle589711143136[[#This Row],[jährliche Produktion kt MIN]]*Tabelle589711143136[[#This Row],[spez. StV kWh/t]]/10^6</f>
        <v>3.3376000000000001</v>
      </c>
      <c r="R13" s="32">
        <f>Tabelle589711143136[[#This Row],[jährliche Produktion kt REF]]*Tabelle589711143136[[#This Row],[spez. StV kWh/t]]/10^6</f>
        <v>5.6</v>
      </c>
      <c r="S13" s="32">
        <f>Tabelle589711143136[[#This Row],[jährliche Produktion kt MAX]]*Tabelle589711143136[[#This Row],[spez. StV kWh/t]]/10^6</f>
        <v>6.944</v>
      </c>
      <c r="T13" s="18">
        <f>$U12*Tabelle589711143136[[#This Row],[Stromverbrauch in TWh MIN]]/$R12</f>
        <v>96.129032258064512</v>
      </c>
      <c r="U13" s="18">
        <f>$U12*Tabelle589711143136[[#This Row],[Stromverbrauch in TWh REF]]/$R12</f>
        <v>161.29032258064515</v>
      </c>
      <c r="V13" s="18">
        <f>$U12*Tabelle589711143136[[#This Row],[Stromverbrauch in TWh MAX]]/$R12</f>
        <v>200</v>
      </c>
      <c r="W13" s="18"/>
      <c r="X13" s="18"/>
      <c r="Y13" s="18"/>
      <c r="Z13" s="18"/>
      <c r="AA13" s="18" t="str">
        <f>IF(AND(Tabelle589711143136[[#This Row],[Lastverschiebung]]=1,Tabelle589711143136[[#This Row],[Potenzial pos. min MW]]&lt;&gt;""),Tabelle589711143136[[#This Row],[Potenzial pos. min MW]],"")</f>
        <v/>
      </c>
      <c r="AB13" s="18" t="str">
        <f>IF(AND(Tabelle589711143136[[#This Row],[Lastverschiebung]]=1,Tabelle589711143136[[#This Row],[Potenzial pos. MW Durchschnitt]]&lt;&gt;""),Tabelle589711143136[[#This Row],[Potenzial pos. MW Durchschnitt]],"")</f>
        <v/>
      </c>
      <c r="AC13" s="18" t="str">
        <f>IF(AND(Tabelle589711143136[[#This Row],[Lastverschiebung]]=1,Tabelle589711143136[[#This Row],[Potenzial pos. max MW]]&lt;&gt;""),Tabelle589711143136[[#This Row],[Potenzial pos. max MW]],"")</f>
        <v/>
      </c>
      <c r="AD13" s="18"/>
      <c r="AE13" s="63"/>
      <c r="AF13" s="63"/>
      <c r="AG13" s="8"/>
      <c r="AH13" s="48"/>
      <c r="AI13" s="68" t="str">
        <f>IF(Tabelle589711143136[[#This Row],[Vollbenutzungsstunden h/a]]&lt;&gt;"",Tabelle589711143136[[#This Row],[Vollbenutzungsstunden h/a]]/8760,"")</f>
        <v/>
      </c>
      <c r="AJ13" s="19"/>
      <c r="AK13" s="18"/>
      <c r="AL13" s="8"/>
      <c r="AM13" s="18"/>
      <c r="AN13" s="64"/>
      <c r="AO13" s="64"/>
      <c r="AP13" s="64"/>
      <c r="AQ13" s="1">
        <v>4</v>
      </c>
      <c r="AR13" s="1"/>
      <c r="AS13" s="1"/>
      <c r="AT13" s="1"/>
      <c r="AU13" s="1"/>
      <c r="AV13" s="1"/>
      <c r="AW13" s="1"/>
      <c r="AX13" s="1"/>
      <c r="AY13" s="1"/>
      <c r="AZ13" s="1">
        <f>8*7</f>
        <v>56</v>
      </c>
      <c r="BA13" s="1">
        <v>40</v>
      </c>
      <c r="BB13" s="18"/>
      <c r="BC13" s="18"/>
      <c r="BD13" s="18"/>
      <c r="BE13" s="7"/>
      <c r="BF13" s="7"/>
      <c r="BG13" s="7"/>
      <c r="BH13" s="36"/>
      <c r="BI13" s="36"/>
      <c r="BJ13" s="1"/>
      <c r="BK13" s="1"/>
      <c r="BL13" s="1"/>
      <c r="BM13" s="1"/>
      <c r="BN13" s="1" t="s">
        <v>843</v>
      </c>
      <c r="BO13" s="1"/>
      <c r="BP13" s="1"/>
      <c r="BQ13" s="32">
        <v>202</v>
      </c>
      <c r="BR13" s="32"/>
      <c r="BS13" s="32"/>
      <c r="BT13" s="32">
        <v>202</v>
      </c>
      <c r="BU13" s="32"/>
      <c r="BV13" s="37">
        <v>205</v>
      </c>
      <c r="BW13" s="1"/>
      <c r="BX13" s="32"/>
      <c r="BY13" s="32"/>
      <c r="BZ13" s="12"/>
      <c r="CA13" s="12"/>
      <c r="CB13" s="1"/>
      <c r="CC13" s="12"/>
      <c r="CD13" s="12"/>
      <c r="CE13" s="32"/>
      <c r="CF13" s="32"/>
      <c r="CG13" s="1"/>
      <c r="CH13" s="32"/>
      <c r="CI13" s="32"/>
      <c r="CJ13" s="32"/>
      <c r="CK13" s="32"/>
      <c r="CL13" s="32"/>
      <c r="CM13" s="1"/>
      <c r="CN13" s="1"/>
      <c r="CO13" s="1"/>
      <c r="CP13" s="1"/>
    </row>
    <row r="14" spans="1:94" x14ac:dyDescent="0.25">
      <c r="A14" s="1" t="s">
        <v>54</v>
      </c>
      <c r="B14" s="1" t="s">
        <v>129</v>
      </c>
      <c r="C14" s="32">
        <v>2050</v>
      </c>
      <c r="D14" s="1">
        <v>0</v>
      </c>
      <c r="E14" s="1">
        <v>1</v>
      </c>
      <c r="F14" s="32">
        <v>0</v>
      </c>
      <c r="G14">
        <v>298</v>
      </c>
      <c r="H14">
        <v>500</v>
      </c>
      <c r="I14">
        <v>620</v>
      </c>
      <c r="J14">
        <v>11200</v>
      </c>
      <c r="Q14">
        <f>Tabelle589711143136[[#This Row],[jährliche Produktion kt MIN]]*Tabelle589711143136[[#This Row],[spez. StV kWh/t]]/10^6</f>
        <v>3.3376000000000001</v>
      </c>
      <c r="R14" s="32">
        <f>Tabelle589711143136[[#This Row],[jährliche Produktion kt REF]]*Tabelle589711143136[[#This Row],[spez. StV kWh/t]]/10^6</f>
        <v>5.6</v>
      </c>
      <c r="S14" s="32">
        <f>Tabelle589711143136[[#This Row],[jährliche Produktion kt MAX]]*Tabelle589711143136[[#This Row],[spez. StV kWh/t]]/10^6</f>
        <v>6.944</v>
      </c>
      <c r="T14" s="18">
        <f>$U12*Tabelle589711143136[[#This Row],[Stromverbrauch in TWh MIN]]/$R12</f>
        <v>96.129032258064512</v>
      </c>
      <c r="U14" s="18">
        <f>$U12*Tabelle589711143136[[#This Row],[Stromverbrauch in TWh REF]]/$R12</f>
        <v>161.29032258064515</v>
      </c>
      <c r="V14" s="18">
        <f>$U12*Tabelle589711143136[[#This Row],[Stromverbrauch in TWh MAX]]/$R12</f>
        <v>200</v>
      </c>
      <c r="W14" s="18"/>
      <c r="X14" s="18"/>
      <c r="Y14" s="18"/>
      <c r="Z14" s="18"/>
      <c r="AA14" s="18" t="str">
        <f>IF(AND(Tabelle589711143136[[#This Row],[Lastverschiebung]]=1,Tabelle589711143136[[#This Row],[Potenzial pos. min MW]]&lt;&gt;""),Tabelle589711143136[[#This Row],[Potenzial pos. min MW]],"")</f>
        <v/>
      </c>
      <c r="AB14" s="18" t="str">
        <f>IF(AND(Tabelle589711143136[[#This Row],[Lastverschiebung]]=1,Tabelle589711143136[[#This Row],[Potenzial pos. MW Durchschnitt]]&lt;&gt;""),Tabelle589711143136[[#This Row],[Potenzial pos. MW Durchschnitt]],"")</f>
        <v/>
      </c>
      <c r="AC14" s="18" t="str">
        <f>IF(AND(Tabelle589711143136[[#This Row],[Lastverschiebung]]=1,Tabelle589711143136[[#This Row],[Potenzial pos. max MW]]&lt;&gt;""),Tabelle589711143136[[#This Row],[Potenzial pos. max MW]],"")</f>
        <v/>
      </c>
      <c r="AD14" s="18"/>
      <c r="AE14" s="63"/>
      <c r="AF14" s="63"/>
      <c r="AG14" s="8"/>
      <c r="AH14" s="48"/>
      <c r="AI14" s="68" t="str">
        <f>IF(Tabelle589711143136[[#This Row],[Vollbenutzungsstunden h/a]]&lt;&gt;"",Tabelle589711143136[[#This Row],[Vollbenutzungsstunden h/a]]/8760,"")</f>
        <v/>
      </c>
      <c r="AJ14" s="19"/>
      <c r="AK14" s="18"/>
      <c r="AL14" s="8"/>
      <c r="AM14" s="18"/>
      <c r="AN14" s="64"/>
      <c r="AO14" s="64"/>
      <c r="AP14" s="64"/>
      <c r="AQ14" s="1">
        <v>4</v>
      </c>
      <c r="AR14" s="1"/>
      <c r="AS14" s="1"/>
      <c r="AT14" s="1"/>
      <c r="AU14" s="1"/>
      <c r="AV14" s="1"/>
      <c r="AW14" s="1"/>
      <c r="AX14" s="1"/>
      <c r="AY14" s="1"/>
      <c r="AZ14" s="1">
        <f>8*7</f>
        <v>56</v>
      </c>
      <c r="BA14" s="1">
        <v>40</v>
      </c>
      <c r="BB14" s="18"/>
      <c r="BC14" s="18"/>
      <c r="BD14" s="18"/>
      <c r="BE14" s="7"/>
      <c r="BF14" s="7"/>
      <c r="BG14" s="7"/>
      <c r="BH14" s="36"/>
      <c r="BI14" s="36"/>
      <c r="BJ14" s="1"/>
      <c r="BK14" s="1"/>
      <c r="BL14" s="1"/>
      <c r="BM14" s="1"/>
      <c r="BN14" s="1" t="s">
        <v>843</v>
      </c>
      <c r="BO14" s="1"/>
      <c r="BP14" s="1"/>
      <c r="BQ14" s="32">
        <v>202</v>
      </c>
      <c r="BR14" s="32"/>
      <c r="BS14" s="32"/>
      <c r="BT14" s="32">
        <v>202</v>
      </c>
      <c r="BU14" s="32"/>
      <c r="BV14" s="37">
        <v>205</v>
      </c>
      <c r="BW14" s="1"/>
      <c r="BX14" s="32"/>
      <c r="BY14" s="32"/>
      <c r="BZ14" s="12"/>
      <c r="CA14" s="12"/>
      <c r="CB14" s="1"/>
      <c r="CC14" s="12"/>
      <c r="CD14" s="12"/>
      <c r="CE14" s="32"/>
      <c r="CF14" s="32"/>
      <c r="CG14" s="1"/>
      <c r="CH14" s="32"/>
      <c r="CI14" s="32"/>
      <c r="CJ14" s="32"/>
      <c r="CK14" s="32"/>
      <c r="CL14" s="32"/>
      <c r="CM14" s="1"/>
      <c r="CN14" s="1"/>
      <c r="CO14" s="1"/>
      <c r="CP14" s="1"/>
    </row>
    <row r="15" spans="1:94" x14ac:dyDescent="0.25">
      <c r="A15" s="1" t="s">
        <v>813</v>
      </c>
      <c r="B15" s="1" t="s">
        <v>129</v>
      </c>
      <c r="C15" s="32">
        <v>2013</v>
      </c>
      <c r="D15" s="1">
        <v>1</v>
      </c>
      <c r="E15" s="1">
        <v>0</v>
      </c>
      <c r="F15" s="32">
        <v>0</v>
      </c>
      <c r="G15" s="32"/>
      <c r="H15" s="32">
        <v>32345</v>
      </c>
      <c r="I15" s="32"/>
      <c r="J15" s="32">
        <v>42</v>
      </c>
      <c r="K15" s="32"/>
      <c r="L15" s="32"/>
      <c r="M15" s="32"/>
      <c r="N15" s="32"/>
      <c r="O15" s="32"/>
      <c r="P15" s="32"/>
      <c r="Q15" s="32"/>
      <c r="R15" s="32">
        <f>Tabelle589711143136[[#This Row],[jährliche Produktion kt REF]]*Tabelle589711143136[[#This Row],[spez. StV kWh/t]]/10^6</f>
        <v>1.35849</v>
      </c>
      <c r="S15" s="32"/>
      <c r="T15" s="18"/>
      <c r="U15" s="18">
        <v>270</v>
      </c>
      <c r="V15" s="18"/>
      <c r="W15" s="18"/>
      <c r="X15" s="18"/>
      <c r="Y15" s="18"/>
      <c r="Z15" s="18">
        <f>Tabelle589711143136[[#This Row],[Stromverbrauch in TWh REF]]/Tabelle589711143136[[#This Row],[Vollbenutzungsstunden h/a]]*10^6</f>
        <v>261.24807692307689</v>
      </c>
      <c r="AA15" s="18" t="str">
        <f>IF(AND(Tabelle589711143136[[#This Row],[Lastverschiebung]]=1,Tabelle589711143136[[#This Row],[Potenzial pos. min MW]]&lt;&gt;""),Tabelle589711143136[[#This Row],[Potenzial pos. min MW]],"")</f>
        <v/>
      </c>
      <c r="AB15" s="18">
        <f>IF(AND(Tabelle589711143136[[#This Row],[Lastverschiebung]]=1,Tabelle589711143136[[#This Row],[Potenzial pos. MW Durchschnitt]]&lt;&gt;""),Tabelle589711143136[[#This Row],[Potenzial pos. MW Durchschnitt]],"")</f>
        <v>270</v>
      </c>
      <c r="AC15" s="18" t="str">
        <f>IF(AND(Tabelle589711143136[[#This Row],[Lastverschiebung]]=1,Tabelle589711143136[[#This Row],[Potenzial pos. max MW]]&lt;&gt;""),Tabelle589711143136[[#This Row],[Potenzial pos. max MW]],"")</f>
        <v/>
      </c>
      <c r="AD15" s="18"/>
      <c r="AE15" s="63">
        <f>1-Tabelle589711143136[[#This Row],[flexibilisierbarer Anteil]]</f>
        <v>0</v>
      </c>
      <c r="AF15" s="63">
        <v>1</v>
      </c>
      <c r="AG15" s="8"/>
      <c r="AH15" s="48">
        <v>5200</v>
      </c>
      <c r="AI15" s="68">
        <f>IF(Tabelle589711143136[[#This Row],[Vollbenutzungsstunden h/a]]&lt;&gt;"",Tabelle589711143136[[#This Row],[Vollbenutzungsstunden h/a]]/8760,"")</f>
        <v>0.59360730593607303</v>
      </c>
      <c r="AJ15" s="19"/>
      <c r="AK15" s="18"/>
      <c r="AL15" s="8"/>
      <c r="AM15" s="18"/>
      <c r="AN15" s="64"/>
      <c r="AO15" s="64"/>
      <c r="AP15" s="64"/>
      <c r="AQ15" s="1">
        <v>3</v>
      </c>
      <c r="AR15" s="1"/>
      <c r="AS15" s="1"/>
      <c r="AT15" s="1">
        <v>3</v>
      </c>
      <c r="AU15" s="1"/>
      <c r="AV15" s="1"/>
      <c r="AW15" s="1">
        <v>24</v>
      </c>
      <c r="AX15" s="1"/>
      <c r="AY15" s="1" t="s">
        <v>820</v>
      </c>
      <c r="AZ15" s="1"/>
      <c r="BA15" s="1">
        <v>40</v>
      </c>
      <c r="BB15" s="18">
        <v>40</v>
      </c>
      <c r="BC15" s="18">
        <v>1200</v>
      </c>
      <c r="BD15" s="18"/>
      <c r="BE15" s="7"/>
      <c r="BF15" s="7">
        <v>6</v>
      </c>
      <c r="BG15" s="7"/>
      <c r="BH15" s="36">
        <v>0</v>
      </c>
      <c r="BI15" s="36">
        <v>1</v>
      </c>
      <c r="BJ15" s="1"/>
      <c r="BK15" s="1"/>
      <c r="BL15" s="1">
        <v>0</v>
      </c>
      <c r="BM15" s="1" t="s">
        <v>815</v>
      </c>
      <c r="BN15" s="1" t="s">
        <v>843</v>
      </c>
      <c r="BO15" s="1">
        <v>19</v>
      </c>
      <c r="BP15" s="1">
        <v>19</v>
      </c>
      <c r="BQ15" s="32">
        <v>46</v>
      </c>
      <c r="BR15" s="32"/>
      <c r="BS15" s="32"/>
      <c r="BT15" s="32">
        <v>46</v>
      </c>
      <c r="BU15" s="32">
        <v>46</v>
      </c>
      <c r="BV15" s="37">
        <v>205</v>
      </c>
      <c r="BW15" s="1"/>
      <c r="BX15" s="32">
        <v>46</v>
      </c>
      <c r="BY15" s="32">
        <v>46</v>
      </c>
      <c r="BZ15" s="12"/>
      <c r="CA15" s="12"/>
      <c r="CB15" s="1"/>
      <c r="CC15" s="12"/>
      <c r="CD15" s="12"/>
      <c r="CE15" s="32">
        <v>23</v>
      </c>
      <c r="CF15" s="32">
        <v>23</v>
      </c>
      <c r="CG15" s="1"/>
      <c r="CH15" s="32">
        <v>23</v>
      </c>
      <c r="CI15" s="32">
        <v>23</v>
      </c>
      <c r="CJ15" s="32">
        <v>30</v>
      </c>
      <c r="CK15" s="32">
        <v>30</v>
      </c>
      <c r="CL15" s="32">
        <v>30</v>
      </c>
      <c r="CM15" s="1"/>
      <c r="CN15" s="32">
        <v>117</v>
      </c>
      <c r="CO15" s="1"/>
      <c r="CP15" s="1"/>
    </row>
    <row r="16" spans="1:94" x14ac:dyDescent="0.25">
      <c r="A16" s="1" t="s">
        <v>813</v>
      </c>
      <c r="B16" s="1" t="s">
        <v>129</v>
      </c>
      <c r="C16" s="32">
        <v>2030</v>
      </c>
      <c r="D16" s="1">
        <v>1</v>
      </c>
      <c r="E16" s="1">
        <v>0</v>
      </c>
      <c r="F16" s="32">
        <v>0</v>
      </c>
      <c r="G16">
        <v>30707</v>
      </c>
      <c r="H16">
        <v>32345</v>
      </c>
      <c r="I16">
        <v>37158</v>
      </c>
      <c r="J16">
        <v>28</v>
      </c>
      <c r="Q16">
        <f>Tabelle589711143136[[#This Row],[jährliche Produktion kt MIN]]*Tabelle589711143136[[#This Row],[spez. StV kWh/t]]/10^6</f>
        <v>0.859796</v>
      </c>
      <c r="R16" s="32">
        <f>Tabelle589711143136[[#This Row],[jährliche Produktion kt REF]]*Tabelle589711143136[[#This Row],[spez. StV kWh/t]]/10^6</f>
        <v>0.90566000000000002</v>
      </c>
      <c r="S16" s="32">
        <f>Tabelle589711143136[[#This Row],[jährliche Produktion kt MAX]]*Tabelle589711143136[[#This Row],[spez. StV kWh/t]]/10^6</f>
        <v>1.040424</v>
      </c>
      <c r="T16" s="18">
        <f>$U15*Tabelle589711143136[[#This Row],[Stromverbrauch in TWh MIN]]/$R15</f>
        <v>170.88452620188593</v>
      </c>
      <c r="U16" s="18">
        <f>$U15*Tabelle589711143136[[#This Row],[Stromverbrauch in TWh REF]]/$R15</f>
        <v>180</v>
      </c>
      <c r="V16" s="18">
        <f>$U15*Tabelle589711143136[[#This Row],[Stromverbrauch in TWh MAX]]/$R15</f>
        <v>206.78435616014843</v>
      </c>
      <c r="W16" s="18"/>
      <c r="X16" s="18"/>
      <c r="Y16" s="18"/>
      <c r="Z16" s="18"/>
      <c r="AA16" s="18">
        <f>IF(AND(Tabelle589711143136[[#This Row],[Lastverschiebung]]=1,Tabelle589711143136[[#This Row],[Potenzial pos. min MW]]&lt;&gt;""),Tabelle589711143136[[#This Row],[Potenzial pos. min MW]],"")</f>
        <v>170.88452620188593</v>
      </c>
      <c r="AB16" s="18">
        <f>IF(AND(Tabelle589711143136[[#This Row],[Lastverschiebung]]=1,Tabelle589711143136[[#This Row],[Potenzial pos. MW Durchschnitt]]&lt;&gt;""),Tabelle589711143136[[#This Row],[Potenzial pos. MW Durchschnitt]],"")</f>
        <v>180</v>
      </c>
      <c r="AC16" s="18">
        <f>IF(AND(Tabelle589711143136[[#This Row],[Lastverschiebung]]=1,Tabelle589711143136[[#This Row],[Potenzial pos. max MW]]&lt;&gt;""),Tabelle589711143136[[#This Row],[Potenzial pos. max MW]],"")</f>
        <v>206.78435616014843</v>
      </c>
      <c r="AD16" s="18"/>
      <c r="AE16" s="63"/>
      <c r="AF16" s="63"/>
      <c r="AG16" s="8"/>
      <c r="AH16" s="48"/>
      <c r="AI16" s="68" t="str">
        <f>IF(Tabelle589711143136[[#This Row],[Vollbenutzungsstunden h/a]]&lt;&gt;"",Tabelle589711143136[[#This Row],[Vollbenutzungsstunden h/a]]/8760,"")</f>
        <v/>
      </c>
      <c r="AJ16" s="19"/>
      <c r="AK16" s="18"/>
      <c r="AL16" s="8"/>
      <c r="AM16" s="18"/>
      <c r="AN16" s="64"/>
      <c r="AO16" s="64"/>
      <c r="AP16" s="64"/>
      <c r="AQ16" s="1">
        <v>3</v>
      </c>
      <c r="AR16" s="1"/>
      <c r="AS16" s="1"/>
      <c r="AT16" s="1"/>
      <c r="AU16" s="1"/>
      <c r="AV16" s="1"/>
      <c r="AW16" s="1">
        <v>24</v>
      </c>
      <c r="AX16" s="1"/>
      <c r="AY16" s="1"/>
      <c r="AZ16" s="1">
        <f>8*7</f>
        <v>56</v>
      </c>
      <c r="BA16" s="1">
        <v>40</v>
      </c>
      <c r="BB16" s="18"/>
      <c r="BC16" s="18"/>
      <c r="BD16" s="18"/>
      <c r="BE16" s="7"/>
      <c r="BF16" s="7"/>
      <c r="BG16" s="7"/>
      <c r="BH16" s="36"/>
      <c r="BI16" s="36"/>
      <c r="BJ16" s="1"/>
      <c r="BK16" s="1"/>
      <c r="BL16" s="1">
        <v>0</v>
      </c>
      <c r="BM16" s="1"/>
      <c r="BN16" s="1" t="s">
        <v>843</v>
      </c>
      <c r="BO16" s="1"/>
      <c r="BP16" s="1"/>
      <c r="BQ16" s="32">
        <v>202</v>
      </c>
      <c r="BR16" s="32"/>
      <c r="BS16" s="32"/>
      <c r="BT16" s="32">
        <v>202</v>
      </c>
      <c r="BU16" s="32"/>
      <c r="BV16" s="37">
        <v>205</v>
      </c>
      <c r="BW16" s="1"/>
      <c r="BX16" s="32"/>
      <c r="BY16" s="32"/>
      <c r="BZ16" s="12"/>
      <c r="CA16" s="12"/>
      <c r="CB16" s="1"/>
      <c r="CC16" s="12"/>
      <c r="CD16" s="12"/>
      <c r="CE16" s="32"/>
      <c r="CF16" s="32"/>
      <c r="CG16" s="1"/>
      <c r="CH16" s="32"/>
      <c r="CI16" s="32"/>
      <c r="CJ16" s="32"/>
      <c r="CK16" s="32"/>
      <c r="CL16" s="32"/>
      <c r="CM16" s="1"/>
      <c r="CN16" s="32">
        <v>117</v>
      </c>
      <c r="CO16" s="1"/>
      <c r="CP16" s="1"/>
    </row>
    <row r="17" spans="1:94" x14ac:dyDescent="0.25">
      <c r="A17" s="1" t="s">
        <v>813</v>
      </c>
      <c r="B17" s="1" t="s">
        <v>129</v>
      </c>
      <c r="C17" s="32">
        <v>2050</v>
      </c>
      <c r="D17" s="1">
        <v>1</v>
      </c>
      <c r="E17" s="1">
        <v>0</v>
      </c>
      <c r="F17" s="32">
        <v>0</v>
      </c>
      <c r="G17">
        <v>30707</v>
      </c>
      <c r="H17">
        <v>32345</v>
      </c>
      <c r="I17">
        <v>37158</v>
      </c>
      <c r="J17">
        <v>28</v>
      </c>
      <c r="Q17">
        <f>Tabelle589711143136[[#This Row],[jährliche Produktion kt MIN]]*Tabelle589711143136[[#This Row],[spez. StV kWh/t]]/10^6</f>
        <v>0.859796</v>
      </c>
      <c r="R17" s="32">
        <f>Tabelle589711143136[[#This Row],[jährliche Produktion kt REF]]*Tabelle589711143136[[#This Row],[spez. StV kWh/t]]/10^6</f>
        <v>0.90566000000000002</v>
      </c>
      <c r="S17" s="32">
        <f>Tabelle589711143136[[#This Row],[jährliche Produktion kt MAX]]*Tabelle589711143136[[#This Row],[spez. StV kWh/t]]/10^6</f>
        <v>1.040424</v>
      </c>
      <c r="T17" s="18">
        <f>$U15*Tabelle589711143136[[#This Row],[Stromverbrauch in TWh MIN]]/$R15</f>
        <v>170.88452620188593</v>
      </c>
      <c r="U17" s="18">
        <f>$U15*Tabelle589711143136[[#This Row],[Stromverbrauch in TWh REF]]/$R15</f>
        <v>180</v>
      </c>
      <c r="V17" s="18">
        <f>$U15*Tabelle589711143136[[#This Row],[Stromverbrauch in TWh MAX]]/$R15</f>
        <v>206.78435616014843</v>
      </c>
      <c r="W17" s="18"/>
      <c r="X17" s="18"/>
      <c r="Y17" s="18"/>
      <c r="Z17" s="18"/>
      <c r="AA17" s="18">
        <f>IF(AND(Tabelle589711143136[[#This Row],[Lastverschiebung]]=1,Tabelle589711143136[[#This Row],[Potenzial pos. min MW]]&lt;&gt;""),Tabelle589711143136[[#This Row],[Potenzial pos. min MW]],"")</f>
        <v>170.88452620188593</v>
      </c>
      <c r="AB17" s="18">
        <f>IF(AND(Tabelle589711143136[[#This Row],[Lastverschiebung]]=1,Tabelle589711143136[[#This Row],[Potenzial pos. MW Durchschnitt]]&lt;&gt;""),Tabelle589711143136[[#This Row],[Potenzial pos. MW Durchschnitt]],"")</f>
        <v>180</v>
      </c>
      <c r="AC17" s="18">
        <f>IF(AND(Tabelle589711143136[[#This Row],[Lastverschiebung]]=1,Tabelle589711143136[[#This Row],[Potenzial pos. max MW]]&lt;&gt;""),Tabelle589711143136[[#This Row],[Potenzial pos. max MW]],"")</f>
        <v>206.78435616014843</v>
      </c>
      <c r="AD17" s="18"/>
      <c r="AE17" s="63"/>
      <c r="AF17" s="63"/>
      <c r="AG17" s="8"/>
      <c r="AH17" s="48"/>
      <c r="AI17" s="68" t="str">
        <f>IF(Tabelle589711143136[[#This Row],[Vollbenutzungsstunden h/a]]&lt;&gt;"",Tabelle589711143136[[#This Row],[Vollbenutzungsstunden h/a]]/8760,"")</f>
        <v/>
      </c>
      <c r="AJ17" s="19"/>
      <c r="AK17" s="18"/>
      <c r="AL17" s="8"/>
      <c r="AM17" s="18"/>
      <c r="AN17" s="64"/>
      <c r="AO17" s="64"/>
      <c r="AP17" s="64"/>
      <c r="AQ17" s="1">
        <v>3</v>
      </c>
      <c r="AR17" s="1"/>
      <c r="AS17" s="1"/>
      <c r="AT17" s="1"/>
      <c r="AU17" s="1"/>
      <c r="AV17" s="1"/>
      <c r="AW17" s="1">
        <v>24</v>
      </c>
      <c r="AX17" s="1"/>
      <c r="AY17" s="1"/>
      <c r="AZ17" s="1">
        <f>8*7</f>
        <v>56</v>
      </c>
      <c r="BA17" s="1">
        <v>40</v>
      </c>
      <c r="BB17" s="18"/>
      <c r="BC17" s="18"/>
      <c r="BD17" s="18"/>
      <c r="BE17" s="7"/>
      <c r="BF17" s="7"/>
      <c r="BG17" s="7"/>
      <c r="BH17" s="36"/>
      <c r="BI17" s="36"/>
      <c r="BJ17" s="1"/>
      <c r="BK17" s="1"/>
      <c r="BL17" s="1">
        <v>0</v>
      </c>
      <c r="BM17" s="1"/>
      <c r="BN17" s="1" t="s">
        <v>843</v>
      </c>
      <c r="BO17" s="1"/>
      <c r="BP17" s="1"/>
      <c r="BQ17" s="32">
        <v>202</v>
      </c>
      <c r="BR17" s="32"/>
      <c r="BS17" s="32"/>
      <c r="BT17" s="32">
        <v>202</v>
      </c>
      <c r="BU17" s="32"/>
      <c r="BV17" s="37">
        <v>205</v>
      </c>
      <c r="BW17" s="1"/>
      <c r="BX17" s="32"/>
      <c r="BY17" s="32"/>
      <c r="BZ17" s="12"/>
      <c r="CA17" s="12"/>
      <c r="CB17" s="1"/>
      <c r="CC17" s="12"/>
      <c r="CD17" s="12"/>
      <c r="CE17" s="32"/>
      <c r="CF17" s="32"/>
      <c r="CG17" s="1"/>
      <c r="CH17" s="32"/>
      <c r="CI17" s="32"/>
      <c r="CJ17" s="32"/>
      <c r="CK17" s="32"/>
      <c r="CL17" s="32"/>
      <c r="CM17" s="1"/>
      <c r="CN17" s="32">
        <v>117</v>
      </c>
      <c r="CO17" s="1"/>
      <c r="CP17" s="1"/>
    </row>
    <row r="18" spans="1:94" x14ac:dyDescent="0.25">
      <c r="A18" s="65" t="s">
        <v>392</v>
      </c>
      <c r="B18" s="65" t="s">
        <v>130</v>
      </c>
      <c r="C18" s="32">
        <v>2013</v>
      </c>
      <c r="D18" s="1">
        <v>1</v>
      </c>
      <c r="E18" s="1">
        <v>0</v>
      </c>
      <c r="F18" s="32">
        <v>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>
        <v>9.9890000000000008</v>
      </c>
      <c r="S18" s="32"/>
      <c r="T18" s="18"/>
      <c r="U18" s="18">
        <v>1400</v>
      </c>
      <c r="V18" s="18"/>
      <c r="W18" s="18"/>
      <c r="X18" s="66"/>
      <c r="Y18" s="18"/>
      <c r="Z18" s="66">
        <f>Tabelle589711143136[[#This Row],[Stromverbrauch in TWh REF]]/Tabelle589711143136[[#This Row],[Vollbenutzungsstunden h/a]]*10^6</f>
        <v>1962.4754420432223</v>
      </c>
      <c r="AA18" s="66" t="str">
        <f>IF(AND(Tabelle589711143136[[#This Row],[Lastverschiebung]]=1,Tabelle589711143136[[#This Row],[Potenzial pos. min MW]]&lt;&gt;""),Tabelle589711143136[[#This Row],[Potenzial pos. min MW]],"")</f>
        <v/>
      </c>
      <c r="AB18" s="66">
        <f>IF(AND(Tabelle589711143136[[#This Row],[Lastverschiebung]]=1,Tabelle589711143136[[#This Row],[Potenzial pos. MW Durchschnitt]]&lt;&gt;""),Tabelle589711143136[[#This Row],[Potenzial pos. MW Durchschnitt]],"")</f>
        <v>1400</v>
      </c>
      <c r="AC18" s="66" t="str">
        <f>IF(AND(Tabelle589711143136[[#This Row],[Lastverschiebung]]=1,Tabelle589711143136[[#This Row],[Potenzial pos. max MW]]&lt;&gt;""),Tabelle589711143136[[#This Row],[Potenzial pos. max MW]],"")</f>
        <v/>
      </c>
      <c r="AD18" s="66"/>
      <c r="AE18" s="63"/>
      <c r="AF18" s="68">
        <v>0.71</v>
      </c>
      <c r="AG18" s="69"/>
      <c r="AH18" s="74">
        <v>5090</v>
      </c>
      <c r="AI18" s="68">
        <f>IF(Tabelle589711143136[[#This Row],[Vollbenutzungsstunden h/a]]&lt;&gt;"",Tabelle589711143136[[#This Row],[Vollbenutzungsstunden h/a]]/8760,"")</f>
        <v>0.58105022831050224</v>
      </c>
      <c r="AJ18" s="67"/>
      <c r="AK18" s="66"/>
      <c r="AL18" s="69"/>
      <c r="AM18" s="66"/>
      <c r="AN18" s="70"/>
      <c r="AO18" s="70"/>
      <c r="AP18" s="70"/>
      <c r="AQ18" s="65">
        <v>1</v>
      </c>
      <c r="AR18" s="65"/>
      <c r="AS18" s="65"/>
      <c r="AT18" s="65">
        <v>1</v>
      </c>
      <c r="AU18" s="65"/>
      <c r="AV18" s="65"/>
      <c r="AW18" s="65">
        <v>1</v>
      </c>
      <c r="AX18" s="65"/>
      <c r="AY18" s="1" t="s">
        <v>821</v>
      </c>
      <c r="AZ18" s="65">
        <f>8*7</f>
        <v>56</v>
      </c>
      <c r="BA18" s="65"/>
      <c r="BB18" s="18">
        <v>40</v>
      </c>
      <c r="BC18" s="18">
        <v>1200</v>
      </c>
      <c r="BD18" s="66"/>
      <c r="BE18" s="71"/>
      <c r="BF18" s="71"/>
      <c r="BG18" s="71"/>
      <c r="BH18" s="71">
        <v>25</v>
      </c>
      <c r="BI18" s="71">
        <v>90</v>
      </c>
      <c r="BJ18" s="65"/>
      <c r="BK18" s="65"/>
      <c r="BL18" s="1">
        <v>0</v>
      </c>
      <c r="BM18" s="65"/>
      <c r="BN18" s="1" t="s">
        <v>843</v>
      </c>
      <c r="BO18" s="65">
        <v>23</v>
      </c>
      <c r="BP18" s="65">
        <v>23</v>
      </c>
      <c r="BQ18" s="65"/>
      <c r="BR18" s="65"/>
      <c r="BS18" s="65"/>
      <c r="BT18" s="65">
        <v>197</v>
      </c>
      <c r="BU18" s="65">
        <v>197</v>
      </c>
      <c r="BV18" s="37">
        <v>206</v>
      </c>
      <c r="BW18" s="65"/>
      <c r="BX18" s="72">
        <v>197</v>
      </c>
      <c r="BY18" s="72">
        <v>197</v>
      </c>
      <c r="BZ18" s="72"/>
      <c r="CA18" s="72"/>
      <c r="CB18" s="65"/>
      <c r="CC18" s="72"/>
      <c r="CD18" s="72"/>
      <c r="CE18" s="32">
        <v>23</v>
      </c>
      <c r="CF18" s="32">
        <v>23</v>
      </c>
      <c r="CG18" s="65"/>
      <c r="CH18" s="32">
        <v>23</v>
      </c>
      <c r="CI18" s="32">
        <v>23</v>
      </c>
      <c r="CJ18" s="32">
        <v>30</v>
      </c>
      <c r="CK18" s="32">
        <v>30</v>
      </c>
      <c r="CL18" s="32">
        <v>30</v>
      </c>
      <c r="CM18" s="65"/>
      <c r="CN18" s="32">
        <v>117</v>
      </c>
      <c r="CO18" s="65"/>
      <c r="CP18" s="65"/>
    </row>
    <row r="19" spans="1:94" x14ac:dyDescent="0.25">
      <c r="A19" s="65" t="s">
        <v>392</v>
      </c>
      <c r="B19" s="65" t="s">
        <v>130</v>
      </c>
      <c r="C19" s="32">
        <v>2030</v>
      </c>
      <c r="D19" s="1">
        <v>1</v>
      </c>
      <c r="E19" s="1">
        <v>0</v>
      </c>
      <c r="F19" s="32">
        <v>0</v>
      </c>
      <c r="G19" s="32"/>
      <c r="H19" s="32"/>
      <c r="I19" s="32"/>
      <c r="J19" s="32"/>
      <c r="K19" s="32"/>
      <c r="L19" s="32"/>
      <c r="M19" s="32"/>
      <c r="N19">
        <v>0.95</v>
      </c>
      <c r="O19">
        <v>1</v>
      </c>
      <c r="P19">
        <v>1.05</v>
      </c>
      <c r="Q19">
        <v>9.5</v>
      </c>
      <c r="R19">
        <v>10</v>
      </c>
      <c r="S19">
        <v>10.5</v>
      </c>
      <c r="T19" s="18">
        <f>$U18*Tabelle589711143136[[#This Row],[Stromverbrauch in TWh MIN]]/$R18</f>
        <v>1331.4646110721792</v>
      </c>
      <c r="U19" s="18">
        <f>$U18*Tabelle589711143136[[#This Row],[Stromverbrauch in TWh REF]]/$R18</f>
        <v>1401.5416958654519</v>
      </c>
      <c r="V19" s="18">
        <f>$U18*Tabelle589711143136[[#This Row],[Stromverbrauch in TWh MAX]]/$R18</f>
        <v>1471.6187806587245</v>
      </c>
      <c r="W19" s="18"/>
      <c r="X19" s="66"/>
      <c r="Y19" s="18"/>
      <c r="Z19" s="66"/>
      <c r="AA19" s="66">
        <f>IF(AND(Tabelle589711143136[[#This Row],[Lastverschiebung]]=1,Tabelle589711143136[[#This Row],[Potenzial pos. min MW]]&lt;&gt;""),Tabelle589711143136[[#This Row],[Potenzial pos. min MW]],"")</f>
        <v>1331.4646110721792</v>
      </c>
      <c r="AB19" s="66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19" s="66">
        <f>IF(AND(Tabelle589711143136[[#This Row],[Lastverschiebung]]=1,Tabelle589711143136[[#This Row],[Potenzial pos. max MW]]&lt;&gt;""),Tabelle589711143136[[#This Row],[Potenzial pos. max MW]],"")</f>
        <v>1471.6187806587245</v>
      </c>
      <c r="AD19" s="66"/>
      <c r="AE19" s="63"/>
      <c r="AF19" s="68"/>
      <c r="AG19" s="69"/>
      <c r="AH19" s="74"/>
      <c r="AI19" s="68" t="str">
        <f>IF(Tabelle589711143136[[#This Row],[Vollbenutzungsstunden h/a]]&lt;&gt;"",Tabelle589711143136[[#This Row],[Vollbenutzungsstunden h/a]]/8760,"")</f>
        <v/>
      </c>
      <c r="AJ19" s="67"/>
      <c r="AK19" s="66"/>
      <c r="AL19" s="69"/>
      <c r="AM19" s="66"/>
      <c r="AN19" s="70"/>
      <c r="AO19" s="70"/>
      <c r="AP19" s="70"/>
      <c r="AQ19" s="65">
        <v>1</v>
      </c>
      <c r="AR19" s="65"/>
      <c r="AS19" s="65"/>
      <c r="AT19" s="65"/>
      <c r="AU19" s="65"/>
      <c r="AV19" s="65"/>
      <c r="AW19" s="65">
        <v>1</v>
      </c>
      <c r="AX19" s="65"/>
      <c r="AY19" s="1"/>
      <c r="AZ19" s="65">
        <f>8*7</f>
        <v>56</v>
      </c>
      <c r="BA19" s="65"/>
      <c r="BB19" s="18"/>
      <c r="BC19" s="18"/>
      <c r="BD19" s="66"/>
      <c r="BE19" s="71"/>
      <c r="BF19" s="71"/>
      <c r="BG19" s="71"/>
      <c r="BH19" s="71"/>
      <c r="BI19" s="71"/>
      <c r="BJ19" s="65"/>
      <c r="BK19" s="65"/>
      <c r="BL19" s="1">
        <v>0</v>
      </c>
      <c r="BM19" s="65"/>
      <c r="BN19" s="1" t="s">
        <v>843</v>
      </c>
      <c r="BO19" s="65"/>
      <c r="BP19" s="65"/>
      <c r="BQ19" s="65"/>
      <c r="BR19" s="65"/>
      <c r="BS19" s="65">
        <v>203</v>
      </c>
      <c r="BT19" s="65">
        <v>203</v>
      </c>
      <c r="BU19" s="65"/>
      <c r="BV19" s="37">
        <v>206</v>
      </c>
      <c r="BW19" s="65"/>
      <c r="BX19" s="72"/>
      <c r="BY19" s="72"/>
      <c r="BZ19" s="72"/>
      <c r="CA19" s="72"/>
      <c r="CB19" s="65"/>
      <c r="CC19" s="72"/>
      <c r="CD19" s="72"/>
      <c r="CE19" s="32"/>
      <c r="CF19" s="32"/>
      <c r="CG19" s="65"/>
      <c r="CH19" s="32"/>
      <c r="CI19" s="32"/>
      <c r="CJ19" s="32"/>
      <c r="CK19" s="32"/>
      <c r="CL19" s="32"/>
      <c r="CM19" s="65"/>
      <c r="CN19" s="32">
        <v>117</v>
      </c>
      <c r="CO19" s="65"/>
      <c r="CP19" s="65"/>
    </row>
    <row r="20" spans="1:94" x14ac:dyDescent="0.25">
      <c r="A20" s="65" t="s">
        <v>392</v>
      </c>
      <c r="B20" s="65" t="s">
        <v>130</v>
      </c>
      <c r="C20" s="32">
        <v>2050</v>
      </c>
      <c r="D20" s="1">
        <v>1</v>
      </c>
      <c r="E20" s="1">
        <v>0</v>
      </c>
      <c r="F20" s="32">
        <v>0</v>
      </c>
      <c r="G20" s="32"/>
      <c r="H20" s="32"/>
      <c r="I20" s="32"/>
      <c r="J20" s="32"/>
      <c r="K20" s="32"/>
      <c r="L20" s="32"/>
      <c r="M20" s="32"/>
      <c r="N20">
        <v>0.9</v>
      </c>
      <c r="O20">
        <v>1</v>
      </c>
      <c r="P20">
        <v>1.1000000000000001</v>
      </c>
      <c r="Q20">
        <v>9</v>
      </c>
      <c r="R20">
        <v>10</v>
      </c>
      <c r="S20">
        <v>11</v>
      </c>
      <c r="T20" s="18">
        <f>$U18*Tabelle589711143136[[#This Row],[Stromverbrauch in TWh MIN]]/$R18</f>
        <v>1261.3875262789068</v>
      </c>
      <c r="U20" s="18">
        <f>$U18*Tabelle589711143136[[#This Row],[Stromverbrauch in TWh REF]]/$R18</f>
        <v>1401.5416958654519</v>
      </c>
      <c r="V20" s="18">
        <f>$U18*Tabelle589711143136[[#This Row],[Stromverbrauch in TWh MAX]]/$R18</f>
        <v>1541.6958654519972</v>
      </c>
      <c r="W20" s="18"/>
      <c r="X20" s="66"/>
      <c r="Y20" s="18"/>
      <c r="Z20" s="66"/>
      <c r="AA20" s="66">
        <f>IF(AND(Tabelle589711143136[[#This Row],[Lastverschiebung]]=1,Tabelle589711143136[[#This Row],[Potenzial pos. min MW]]&lt;&gt;""),Tabelle589711143136[[#This Row],[Potenzial pos. min MW]],"")</f>
        <v>1261.3875262789068</v>
      </c>
      <c r="AB20" s="66">
        <f>IF(AND(Tabelle589711143136[[#This Row],[Lastverschiebung]]=1,Tabelle589711143136[[#This Row],[Potenzial pos. MW Durchschnitt]]&lt;&gt;""),Tabelle589711143136[[#This Row],[Potenzial pos. MW Durchschnitt]],"")</f>
        <v>1401.5416958654519</v>
      </c>
      <c r="AC20" s="66">
        <f>IF(AND(Tabelle589711143136[[#This Row],[Lastverschiebung]]=1,Tabelle589711143136[[#This Row],[Potenzial pos. max MW]]&lt;&gt;""),Tabelle589711143136[[#This Row],[Potenzial pos. max MW]],"")</f>
        <v>1541.6958654519972</v>
      </c>
      <c r="AD20" s="66"/>
      <c r="AE20" s="63"/>
      <c r="AF20" s="68"/>
      <c r="AG20" s="69"/>
      <c r="AH20" s="74"/>
      <c r="AI20" s="68" t="str">
        <f>IF(Tabelle589711143136[[#This Row],[Vollbenutzungsstunden h/a]]&lt;&gt;"",Tabelle589711143136[[#This Row],[Vollbenutzungsstunden h/a]]/8760,"")</f>
        <v/>
      </c>
      <c r="AJ20" s="67"/>
      <c r="AK20" s="66"/>
      <c r="AL20" s="69"/>
      <c r="AM20" s="66"/>
      <c r="AN20" s="70"/>
      <c r="AO20" s="70"/>
      <c r="AP20" s="70"/>
      <c r="AQ20" s="65">
        <v>1</v>
      </c>
      <c r="AR20" s="65"/>
      <c r="AS20" s="65"/>
      <c r="AT20" s="65"/>
      <c r="AU20" s="65"/>
      <c r="AV20" s="65"/>
      <c r="AW20" s="65">
        <v>1</v>
      </c>
      <c r="AX20" s="65"/>
      <c r="AY20" s="1"/>
      <c r="AZ20" s="65">
        <f>8*7</f>
        <v>56</v>
      </c>
      <c r="BA20" s="65"/>
      <c r="BB20" s="18"/>
      <c r="BC20" s="18"/>
      <c r="BD20" s="66"/>
      <c r="BE20" s="71"/>
      <c r="BF20" s="71"/>
      <c r="BG20" s="71"/>
      <c r="BH20" s="71"/>
      <c r="BI20" s="71"/>
      <c r="BJ20" s="65"/>
      <c r="BK20" s="65"/>
      <c r="BL20" s="1">
        <v>0</v>
      </c>
      <c r="BM20" s="65"/>
      <c r="BN20" s="1" t="s">
        <v>843</v>
      </c>
      <c r="BO20" s="65"/>
      <c r="BP20" s="65"/>
      <c r="BQ20" s="65"/>
      <c r="BR20" s="65"/>
      <c r="BS20" s="65">
        <v>203</v>
      </c>
      <c r="BT20" s="65">
        <v>203</v>
      </c>
      <c r="BU20" s="65"/>
      <c r="BV20" s="37">
        <v>206</v>
      </c>
      <c r="BW20" s="65"/>
      <c r="BX20" s="72"/>
      <c r="BY20" s="72"/>
      <c r="BZ20" s="72"/>
      <c r="CA20" s="72"/>
      <c r="CB20" s="65"/>
      <c r="CC20" s="72"/>
      <c r="CD20" s="72"/>
      <c r="CE20" s="32"/>
      <c r="CF20" s="32"/>
      <c r="CG20" s="65"/>
      <c r="CH20" s="32"/>
      <c r="CI20" s="32"/>
      <c r="CJ20" s="32"/>
      <c r="CK20" s="32"/>
      <c r="CL20" s="32"/>
      <c r="CM20" s="65"/>
      <c r="CN20" s="32">
        <v>117</v>
      </c>
      <c r="CO20" s="65"/>
      <c r="CP20" s="65"/>
    </row>
    <row r="21" spans="1:94" x14ac:dyDescent="0.25">
      <c r="A21" s="65" t="s">
        <v>138</v>
      </c>
      <c r="B21" s="65" t="s">
        <v>142</v>
      </c>
      <c r="C21" s="32">
        <v>2013</v>
      </c>
      <c r="D21" s="1">
        <v>1</v>
      </c>
      <c r="E21" s="1">
        <v>0</v>
      </c>
      <c r="F21" s="32">
        <v>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>
        <v>18.89</v>
      </c>
      <c r="S21" s="32"/>
      <c r="T21" s="18"/>
      <c r="U21" s="18">
        <v>3400</v>
      </c>
      <c r="V21" s="18"/>
      <c r="W21" s="18"/>
      <c r="X21" s="66"/>
      <c r="Y21" s="18"/>
      <c r="Z21" s="66">
        <f>Tabelle589711143136[[#This Row],[Stromverbrauch in TWh REF]]/Tabelle589711143136[[#This Row],[Vollbenutzungsstunden h/a]]*10^6</f>
        <v>12187.096774193549</v>
      </c>
      <c r="AA21" s="66" t="str">
        <f>IF(AND(Tabelle589711143136[[#This Row],[Lastverschiebung]]=1,Tabelle589711143136[[#This Row],[Potenzial pos. min MW]]&lt;&gt;""),Tabelle589711143136[[#This Row],[Potenzial pos. min MW]],"")</f>
        <v/>
      </c>
      <c r="AB21" s="66">
        <f>IF(AND(Tabelle589711143136[[#This Row],[Lastverschiebung]]=1,Tabelle589711143136[[#This Row],[Potenzial pos. MW Durchschnitt]]&lt;&gt;""),Tabelle589711143136[[#This Row],[Potenzial pos. MW Durchschnitt]],"")</f>
        <v>3400</v>
      </c>
      <c r="AC21" s="66" t="str">
        <f>IF(AND(Tabelle589711143136[[#This Row],[Lastverschiebung]]=1,Tabelle589711143136[[#This Row],[Potenzial pos. max MW]]&lt;&gt;""),Tabelle589711143136[[#This Row],[Potenzial pos. max MW]],"")</f>
        <v/>
      </c>
      <c r="AD21" s="66"/>
      <c r="AE21" s="63"/>
      <c r="AF21" s="68">
        <v>0.25</v>
      </c>
      <c r="AG21" s="69"/>
      <c r="AH21" s="74">
        <v>1550</v>
      </c>
      <c r="AI21" s="68">
        <f>IF(Tabelle589711143136[[#This Row],[Vollbenutzungsstunden h/a]]&lt;&gt;"",Tabelle589711143136[[#This Row],[Vollbenutzungsstunden h/a]]/8760,"")</f>
        <v>0.1769406392694064</v>
      </c>
      <c r="AJ21" s="67"/>
      <c r="AK21" s="66"/>
      <c r="AL21" s="69"/>
      <c r="AM21" s="66"/>
      <c r="AN21" s="70"/>
      <c r="AO21" s="70"/>
      <c r="AP21" s="70"/>
      <c r="AQ21" s="65">
        <v>12</v>
      </c>
      <c r="AR21" s="65"/>
      <c r="AS21" s="65"/>
      <c r="AT21" s="65">
        <v>12</v>
      </c>
      <c r="AU21" s="65"/>
      <c r="AV21" s="65"/>
      <c r="AW21" s="65">
        <v>12</v>
      </c>
      <c r="AX21" s="65"/>
      <c r="AY21" s="1" t="s">
        <v>820</v>
      </c>
      <c r="AZ21" s="65">
        <f t="shared" ref="AZ21:AZ26" si="0">12*7</f>
        <v>84</v>
      </c>
      <c r="BA21" s="65"/>
      <c r="BB21" s="18">
        <v>40</v>
      </c>
      <c r="BC21" s="18">
        <v>1200</v>
      </c>
      <c r="BD21" s="66"/>
      <c r="BE21" s="71"/>
      <c r="BF21" s="71"/>
      <c r="BG21" s="71"/>
      <c r="BH21" s="71">
        <v>25</v>
      </c>
      <c r="BI21" s="71">
        <v>90</v>
      </c>
      <c r="BJ21" s="65"/>
      <c r="BK21" s="65"/>
      <c r="BL21" s="1">
        <v>0</v>
      </c>
      <c r="BM21" s="1" t="s">
        <v>845</v>
      </c>
      <c r="BN21" s="1" t="s">
        <v>843</v>
      </c>
      <c r="BO21" s="65">
        <v>23</v>
      </c>
      <c r="BP21" s="65">
        <v>23</v>
      </c>
      <c r="BQ21" s="65"/>
      <c r="BR21" s="65"/>
      <c r="BS21" s="65"/>
      <c r="BT21" s="1" t="s">
        <v>828</v>
      </c>
      <c r="BU21" s="65">
        <v>197</v>
      </c>
      <c r="BV21" s="37">
        <v>206</v>
      </c>
      <c r="BW21" s="65"/>
      <c r="BX21" s="1" t="s">
        <v>828</v>
      </c>
      <c r="BY21" s="1" t="s">
        <v>828</v>
      </c>
      <c r="BZ21" s="72"/>
      <c r="CA21" s="72"/>
      <c r="CB21" s="65"/>
      <c r="CC21" s="72"/>
      <c r="CD21" s="72"/>
      <c r="CE21" s="32">
        <v>23</v>
      </c>
      <c r="CF21" s="32">
        <v>23</v>
      </c>
      <c r="CG21" s="65"/>
      <c r="CH21" s="32">
        <v>23</v>
      </c>
      <c r="CI21" s="32">
        <v>23</v>
      </c>
      <c r="CJ21" s="32">
        <v>30</v>
      </c>
      <c r="CK21" s="32">
        <v>30</v>
      </c>
      <c r="CL21" s="32">
        <v>30</v>
      </c>
      <c r="CM21" s="65"/>
      <c r="CN21" s="32">
        <v>117</v>
      </c>
      <c r="CO21" s="65">
        <v>204</v>
      </c>
      <c r="CP21" s="65"/>
    </row>
    <row r="22" spans="1:94" x14ac:dyDescent="0.25">
      <c r="A22" s="65" t="s">
        <v>138</v>
      </c>
      <c r="B22" s="65" t="s">
        <v>142</v>
      </c>
      <c r="C22" s="32">
        <v>2030</v>
      </c>
      <c r="D22" s="1">
        <v>1</v>
      </c>
      <c r="E22" s="1">
        <v>0</v>
      </c>
      <c r="F22" s="32">
        <v>0</v>
      </c>
      <c r="G22" s="32"/>
      <c r="H22" s="32"/>
      <c r="I22" s="32"/>
      <c r="J22" s="32"/>
      <c r="K22" s="32"/>
      <c r="L22" s="32"/>
      <c r="M22" s="32"/>
      <c r="N22">
        <v>0.75</v>
      </c>
      <c r="O22">
        <v>1</v>
      </c>
      <c r="P22">
        <v>0.8</v>
      </c>
      <c r="Q22">
        <v>14.17</v>
      </c>
      <c r="R22">
        <v>18.89</v>
      </c>
      <c r="S22">
        <v>16.62</v>
      </c>
      <c r="T22" s="18">
        <f>$U21*Tabelle589711143136[[#This Row],[Stromverbrauch in TWh MIN]]/$R21</f>
        <v>2550.4499735309687</v>
      </c>
      <c r="U22" s="18">
        <f>$U21*Tabelle589711143136[[#This Row],[Stromverbrauch in TWh REF]]/$R21</f>
        <v>3400</v>
      </c>
      <c r="V22" s="18">
        <f>$U21*Tabelle589711143136[[#This Row],[Stromverbrauch in TWh MAX]]/$R21</f>
        <v>2991.4240338803597</v>
      </c>
      <c r="W22" s="18"/>
      <c r="X22" s="66"/>
      <c r="Y22" s="18"/>
      <c r="Z22" s="66"/>
      <c r="AA22" s="66">
        <f>IF(AND(Tabelle589711143136[[#This Row],[Lastverschiebung]]=1,Tabelle589711143136[[#This Row],[Potenzial pos. min MW]]&lt;&gt;""),Tabelle589711143136[[#This Row],[Potenzial pos. min MW]],"")</f>
        <v>2550.4499735309687</v>
      </c>
      <c r="AB22" s="66">
        <f>IF(AND(Tabelle589711143136[[#This Row],[Lastverschiebung]]=1,Tabelle589711143136[[#This Row],[Potenzial pos. MW Durchschnitt]]&lt;&gt;""),Tabelle589711143136[[#This Row],[Potenzial pos. MW Durchschnitt]],"")</f>
        <v>3400</v>
      </c>
      <c r="AC22" s="66">
        <f>IF(AND(Tabelle589711143136[[#This Row],[Lastverschiebung]]=1,Tabelle589711143136[[#This Row],[Potenzial pos. max MW]]&lt;&gt;""),Tabelle589711143136[[#This Row],[Potenzial pos. max MW]],"")</f>
        <v>2991.4240338803597</v>
      </c>
      <c r="AD22" s="66"/>
      <c r="AE22" s="63"/>
      <c r="AF22" s="68"/>
      <c r="AG22" s="69"/>
      <c r="AH22" s="74"/>
      <c r="AI22" s="68" t="str">
        <f>IF(Tabelle589711143136[[#This Row],[Vollbenutzungsstunden h/a]]&lt;&gt;"",Tabelle589711143136[[#This Row],[Vollbenutzungsstunden h/a]]/8760,"")</f>
        <v/>
      </c>
      <c r="AJ22" s="67"/>
      <c r="AK22" s="66"/>
      <c r="AL22" s="69"/>
      <c r="AM22" s="66"/>
      <c r="AN22" s="70"/>
      <c r="AO22" s="70"/>
      <c r="AP22" s="70"/>
      <c r="AQ22" s="65">
        <v>12</v>
      </c>
      <c r="AR22" s="65"/>
      <c r="AS22" s="65"/>
      <c r="AT22" s="65"/>
      <c r="AU22" s="65"/>
      <c r="AV22" s="65"/>
      <c r="AW22" s="65">
        <v>12</v>
      </c>
      <c r="AX22" s="65"/>
      <c r="AY22" s="1"/>
      <c r="AZ22" s="65">
        <f t="shared" si="0"/>
        <v>84</v>
      </c>
      <c r="BA22" s="65"/>
      <c r="BB22" s="18"/>
      <c r="BC22" s="18"/>
      <c r="BD22" s="66"/>
      <c r="BE22" s="71"/>
      <c r="BF22" s="71"/>
      <c r="BG22" s="71"/>
      <c r="BH22" s="71"/>
      <c r="BI22" s="71"/>
      <c r="BJ22" s="65"/>
      <c r="BK22" s="65"/>
      <c r="BL22" s="1">
        <v>0</v>
      </c>
      <c r="BM22" s="1" t="s">
        <v>845</v>
      </c>
      <c r="BN22" s="1" t="s">
        <v>843</v>
      </c>
      <c r="BO22" s="65"/>
      <c r="BP22" s="65"/>
      <c r="BQ22" s="65"/>
      <c r="BR22" s="65"/>
      <c r="BS22" s="65">
        <v>203</v>
      </c>
      <c r="BT22" s="65">
        <v>203</v>
      </c>
      <c r="BU22" s="65"/>
      <c r="BV22" s="37">
        <v>206</v>
      </c>
      <c r="BW22" s="65"/>
      <c r="BX22" s="1"/>
      <c r="BY22" s="1"/>
      <c r="BZ22" s="72"/>
      <c r="CA22" s="72"/>
      <c r="CB22" s="65"/>
      <c r="CC22" s="72"/>
      <c r="CD22" s="72"/>
      <c r="CE22" s="32"/>
      <c r="CF22" s="32"/>
      <c r="CG22" s="65"/>
      <c r="CH22" s="32"/>
      <c r="CI22" s="32"/>
      <c r="CJ22" s="32"/>
      <c r="CK22" s="32"/>
      <c r="CL22" s="32"/>
      <c r="CM22" s="65"/>
      <c r="CN22" s="32">
        <v>117</v>
      </c>
      <c r="CO22" s="65">
        <v>204</v>
      </c>
      <c r="CP22" s="65"/>
    </row>
    <row r="23" spans="1:94" x14ac:dyDescent="0.25">
      <c r="A23" s="65" t="s">
        <v>138</v>
      </c>
      <c r="B23" s="65" t="s">
        <v>142</v>
      </c>
      <c r="C23" s="32">
        <v>2050</v>
      </c>
      <c r="D23" s="1">
        <v>1</v>
      </c>
      <c r="E23" s="1">
        <v>0</v>
      </c>
      <c r="F23" s="32">
        <v>0</v>
      </c>
      <c r="G23" s="32"/>
      <c r="H23" s="32"/>
      <c r="I23" s="32"/>
      <c r="J23" s="32"/>
      <c r="K23" s="32"/>
      <c r="L23" s="32"/>
      <c r="M23" s="32"/>
      <c r="N23">
        <v>0.5</v>
      </c>
      <c r="O23">
        <v>1</v>
      </c>
      <c r="P23">
        <v>0.75</v>
      </c>
      <c r="Q23">
        <v>9.44</v>
      </c>
      <c r="R23">
        <v>18.89</v>
      </c>
      <c r="S23">
        <v>14.17</v>
      </c>
      <c r="T23" s="18">
        <f>$U21*Tabelle589711143136[[#This Row],[Stromverbrauch in TWh MIN]]/$R21</f>
        <v>1699.1000529380624</v>
      </c>
      <c r="U23" s="18">
        <f>$U21*Tabelle589711143136[[#This Row],[Stromverbrauch in TWh REF]]/$R21</f>
        <v>3400</v>
      </c>
      <c r="V23" s="18">
        <f>$U21*Tabelle589711143136[[#This Row],[Stromverbrauch in TWh MAX]]/$R21</f>
        <v>2550.4499735309687</v>
      </c>
      <c r="W23" s="18"/>
      <c r="X23" s="66"/>
      <c r="Y23" s="18"/>
      <c r="Z23" s="66"/>
      <c r="AA23" s="66">
        <f>IF(AND(Tabelle589711143136[[#This Row],[Lastverschiebung]]=1,Tabelle589711143136[[#This Row],[Potenzial pos. min MW]]&lt;&gt;""),Tabelle589711143136[[#This Row],[Potenzial pos. min MW]],"")</f>
        <v>1699.1000529380624</v>
      </c>
      <c r="AB23" s="66">
        <f>IF(AND(Tabelle589711143136[[#This Row],[Lastverschiebung]]=1,Tabelle589711143136[[#This Row],[Potenzial pos. MW Durchschnitt]]&lt;&gt;""),Tabelle589711143136[[#This Row],[Potenzial pos. MW Durchschnitt]],"")</f>
        <v>3400</v>
      </c>
      <c r="AC23" s="66">
        <f>IF(AND(Tabelle589711143136[[#This Row],[Lastverschiebung]]=1,Tabelle589711143136[[#This Row],[Potenzial pos. max MW]]&lt;&gt;""),Tabelle589711143136[[#This Row],[Potenzial pos. max MW]],"")</f>
        <v>2550.4499735309687</v>
      </c>
      <c r="AD23" s="66"/>
      <c r="AE23" s="63"/>
      <c r="AF23" s="68"/>
      <c r="AG23" s="69"/>
      <c r="AH23" s="74"/>
      <c r="AI23" s="68" t="str">
        <f>IF(Tabelle589711143136[[#This Row],[Vollbenutzungsstunden h/a]]&lt;&gt;"",Tabelle589711143136[[#This Row],[Vollbenutzungsstunden h/a]]/8760,"")</f>
        <v/>
      </c>
      <c r="AJ23" s="67"/>
      <c r="AK23" s="66"/>
      <c r="AL23" s="69"/>
      <c r="AM23" s="66"/>
      <c r="AN23" s="70"/>
      <c r="AO23" s="70"/>
      <c r="AP23" s="70"/>
      <c r="AQ23" s="65">
        <v>12</v>
      </c>
      <c r="AR23" s="65"/>
      <c r="AS23" s="65"/>
      <c r="AT23" s="65"/>
      <c r="AU23" s="65"/>
      <c r="AV23" s="65"/>
      <c r="AW23" s="65">
        <v>12</v>
      </c>
      <c r="AX23" s="65"/>
      <c r="AY23" s="1"/>
      <c r="AZ23" s="65">
        <f t="shared" si="0"/>
        <v>84</v>
      </c>
      <c r="BA23" s="65"/>
      <c r="BB23" s="18"/>
      <c r="BC23" s="18"/>
      <c r="BD23" s="66"/>
      <c r="BE23" s="71"/>
      <c r="BF23" s="71"/>
      <c r="BG23" s="71"/>
      <c r="BH23" s="71"/>
      <c r="BI23" s="71"/>
      <c r="BJ23" s="65"/>
      <c r="BK23" s="65"/>
      <c r="BL23" s="1">
        <v>0</v>
      </c>
      <c r="BM23" s="1" t="s">
        <v>845</v>
      </c>
      <c r="BN23" s="1" t="s">
        <v>843</v>
      </c>
      <c r="BO23" s="65"/>
      <c r="BP23" s="65"/>
      <c r="BQ23" s="65"/>
      <c r="BR23" s="65"/>
      <c r="BS23" s="65">
        <v>203</v>
      </c>
      <c r="BT23" s="65">
        <v>203</v>
      </c>
      <c r="BU23" s="65"/>
      <c r="BV23" s="37">
        <v>206</v>
      </c>
      <c r="BW23" s="65"/>
      <c r="BX23" s="1"/>
      <c r="BY23" s="1"/>
      <c r="BZ23" s="72"/>
      <c r="CA23" s="72"/>
      <c r="CB23" s="65"/>
      <c r="CC23" s="72"/>
      <c r="CD23" s="72"/>
      <c r="CE23" s="32"/>
      <c r="CF23" s="32"/>
      <c r="CG23" s="65"/>
      <c r="CH23" s="32"/>
      <c r="CI23" s="32"/>
      <c r="CJ23" s="32"/>
      <c r="CK23" s="32"/>
      <c r="CL23" s="32"/>
      <c r="CM23" s="65"/>
      <c r="CN23" s="32">
        <v>117</v>
      </c>
      <c r="CO23" s="65">
        <v>204</v>
      </c>
      <c r="CP23" s="65"/>
    </row>
    <row r="24" spans="1:94" x14ac:dyDescent="0.25">
      <c r="A24" s="65" t="s">
        <v>140</v>
      </c>
      <c r="B24" s="65" t="s">
        <v>816</v>
      </c>
      <c r="C24" s="32">
        <v>2013</v>
      </c>
      <c r="D24" s="1">
        <v>1</v>
      </c>
      <c r="E24" s="1">
        <v>0</v>
      </c>
      <c r="F24" s="32">
        <v>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>
        <v>13.2</v>
      </c>
      <c r="S24" s="32"/>
      <c r="T24" s="18"/>
      <c r="U24" s="18">
        <v>11000</v>
      </c>
      <c r="V24" s="18"/>
      <c r="W24" s="18"/>
      <c r="X24" s="66"/>
      <c r="Y24" s="18"/>
      <c r="Z24" s="66">
        <f>Tabelle589711143136[[#This Row],[Stromverbrauch in TWh REF]]/Tabelle589711143136[[#This Row],[Vollbenutzungsstunden h/a]]*10^6</f>
        <v>11000</v>
      </c>
      <c r="AA24" s="66" t="str">
        <f>IF(AND(Tabelle589711143136[[#This Row],[Lastverschiebung]]=1,Tabelle589711143136[[#This Row],[Potenzial pos. min MW]]&lt;&gt;""),Tabelle589711143136[[#This Row],[Potenzial pos. min MW]],"")</f>
        <v/>
      </c>
      <c r="AB24" s="66">
        <f>IF(AND(Tabelle589711143136[[#This Row],[Lastverschiebung]]=1,Tabelle589711143136[[#This Row],[Potenzial pos. MW Durchschnitt]]&lt;&gt;""),Tabelle589711143136[[#This Row],[Potenzial pos. MW Durchschnitt]],"")</f>
        <v>11000</v>
      </c>
      <c r="AC24" s="66" t="str">
        <f>IF(AND(Tabelle589711143136[[#This Row],[Lastverschiebung]]=1,Tabelle589711143136[[#This Row],[Potenzial pos. max MW]]&lt;&gt;""),Tabelle589711143136[[#This Row],[Potenzial pos. max MW]],"")</f>
        <v/>
      </c>
      <c r="AD24" s="66"/>
      <c r="AE24" s="63">
        <f>1-Tabelle589711143136[[#This Row],[flexibilisierbarer Anteil]]</f>
        <v>0</v>
      </c>
      <c r="AF24" s="68">
        <v>1</v>
      </c>
      <c r="AG24" s="69"/>
      <c r="AH24" s="74">
        <v>1200</v>
      </c>
      <c r="AI24" s="68">
        <f>IF(Tabelle589711143136[[#This Row],[Vollbenutzungsstunden h/a]]&lt;&gt;"",Tabelle589711143136[[#This Row],[Vollbenutzungsstunden h/a]]/8760,"")</f>
        <v>0.13698630136986301</v>
      </c>
      <c r="AJ24" s="67"/>
      <c r="AK24" s="66"/>
      <c r="AL24" s="69"/>
      <c r="AM24" s="66"/>
      <c r="AN24" s="70"/>
      <c r="AO24" s="70"/>
      <c r="AP24" s="70"/>
      <c r="AQ24" s="65">
        <v>12</v>
      </c>
      <c r="AR24" s="65"/>
      <c r="AS24" s="65"/>
      <c r="AT24" s="65">
        <v>12</v>
      </c>
      <c r="AU24" s="65"/>
      <c r="AV24" s="65"/>
      <c r="AW24" s="65">
        <v>12</v>
      </c>
      <c r="AX24" s="65"/>
      <c r="AY24" s="1" t="s">
        <v>822</v>
      </c>
      <c r="AZ24" s="65">
        <f t="shared" si="0"/>
        <v>84</v>
      </c>
      <c r="BA24" s="65"/>
      <c r="BB24" s="18">
        <v>40</v>
      </c>
      <c r="BC24" s="18">
        <v>1200</v>
      </c>
      <c r="BD24" s="66"/>
      <c r="BE24" s="71"/>
      <c r="BF24" s="71"/>
      <c r="BG24" s="71"/>
      <c r="BH24" s="71">
        <v>25</v>
      </c>
      <c r="BI24" s="71">
        <v>90</v>
      </c>
      <c r="BJ24" s="65"/>
      <c r="BK24" s="65"/>
      <c r="BL24" s="1">
        <v>0</v>
      </c>
      <c r="BM24" s="1" t="s">
        <v>847</v>
      </c>
      <c r="BN24" s="1" t="s">
        <v>843</v>
      </c>
      <c r="BO24" s="65">
        <v>23</v>
      </c>
      <c r="BP24" s="65">
        <v>23</v>
      </c>
      <c r="BQ24" s="65"/>
      <c r="BR24" s="65"/>
      <c r="BS24" s="65"/>
      <c r="BT24" s="1" t="s">
        <v>829</v>
      </c>
      <c r="BU24" s="65">
        <v>197</v>
      </c>
      <c r="BV24" s="37">
        <v>206</v>
      </c>
      <c r="BW24" s="65"/>
      <c r="BX24" s="72">
        <v>197</v>
      </c>
      <c r="BY24" s="72">
        <v>197</v>
      </c>
      <c r="BZ24" s="72"/>
      <c r="CA24" s="72"/>
      <c r="CB24" s="65"/>
      <c r="CC24" s="72"/>
      <c r="CD24" s="72"/>
      <c r="CE24" s="32">
        <v>23</v>
      </c>
      <c r="CF24" s="32">
        <v>23</v>
      </c>
      <c r="CG24" s="65"/>
      <c r="CH24" s="32">
        <v>23</v>
      </c>
      <c r="CI24" s="32">
        <v>23</v>
      </c>
      <c r="CJ24" s="32">
        <v>30</v>
      </c>
      <c r="CK24" s="32">
        <v>30</v>
      </c>
      <c r="CL24" s="32">
        <v>30</v>
      </c>
      <c r="CM24" s="65"/>
      <c r="CN24" s="32">
        <v>117</v>
      </c>
      <c r="CO24" s="65">
        <v>66</v>
      </c>
      <c r="CP24" s="65"/>
    </row>
    <row r="25" spans="1:94" x14ac:dyDescent="0.25">
      <c r="A25" s="65" t="s">
        <v>140</v>
      </c>
      <c r="B25" s="65" t="s">
        <v>816</v>
      </c>
      <c r="C25" s="32">
        <v>2030</v>
      </c>
      <c r="D25" s="1">
        <v>1</v>
      </c>
      <c r="E25" s="1">
        <v>0</v>
      </c>
      <c r="F25" s="32">
        <v>0</v>
      </c>
      <c r="G25" s="32"/>
      <c r="H25" s="32"/>
      <c r="I25" s="32"/>
      <c r="J25" s="32"/>
      <c r="K25">
        <v>0</v>
      </c>
      <c r="L25">
        <v>206</v>
      </c>
      <c r="M25">
        <v>286</v>
      </c>
      <c r="N25" s="32"/>
      <c r="O25" s="32"/>
      <c r="P25" s="32"/>
      <c r="Q25">
        <v>0</v>
      </c>
      <c r="R25">
        <v>4.4000000000000004</v>
      </c>
      <c r="S25">
        <v>6.09</v>
      </c>
      <c r="T25" s="18">
        <f>$U24*Tabelle589711143136[[#This Row],[Stromverbrauch in TWh MIN]]/$R24</f>
        <v>0</v>
      </c>
      <c r="U25" s="18">
        <f>$U24*Tabelle589711143136[[#This Row],[Stromverbrauch in TWh REF]]/$R24</f>
        <v>3666.6666666666674</v>
      </c>
      <c r="V25" s="18">
        <f>$U24*Tabelle589711143136[[#This Row],[Stromverbrauch in TWh MAX]]/$R24</f>
        <v>5075</v>
      </c>
      <c r="W25" s="18"/>
      <c r="X25" s="66"/>
      <c r="Y25" s="18"/>
      <c r="Z25" s="66"/>
      <c r="AA25" s="66">
        <f>IF(AND(Tabelle589711143136[[#This Row],[Lastverschiebung]]=1,Tabelle589711143136[[#This Row],[Potenzial pos. min MW]]&lt;&gt;""),Tabelle589711143136[[#This Row],[Potenzial pos. min MW]],"")</f>
        <v>0</v>
      </c>
      <c r="AB25" s="66">
        <f>IF(AND(Tabelle589711143136[[#This Row],[Lastverschiebung]]=1,Tabelle589711143136[[#This Row],[Potenzial pos. MW Durchschnitt]]&lt;&gt;""),Tabelle589711143136[[#This Row],[Potenzial pos. MW Durchschnitt]],"")</f>
        <v>3666.6666666666674</v>
      </c>
      <c r="AC25" s="66">
        <f>IF(AND(Tabelle589711143136[[#This Row],[Lastverschiebung]]=1,Tabelle589711143136[[#This Row],[Potenzial pos. max MW]]&lt;&gt;""),Tabelle589711143136[[#This Row],[Potenzial pos. max MW]],"")</f>
        <v>5075</v>
      </c>
      <c r="AD25" s="66"/>
      <c r="AE25" s="63"/>
      <c r="AF25" s="68"/>
      <c r="AG25" s="69"/>
      <c r="AH25" s="74"/>
      <c r="AI25" s="68" t="str">
        <f>IF(Tabelle589711143136[[#This Row],[Vollbenutzungsstunden h/a]]&lt;&gt;"",Tabelle589711143136[[#This Row],[Vollbenutzungsstunden h/a]]/8760,"")</f>
        <v/>
      </c>
      <c r="AJ25" s="67"/>
      <c r="AK25" s="66"/>
      <c r="AL25" s="69"/>
      <c r="AM25" s="66"/>
      <c r="AN25" s="70"/>
      <c r="AO25" s="70"/>
      <c r="AP25" s="70"/>
      <c r="AQ25" s="65">
        <v>12</v>
      </c>
      <c r="AR25" s="65"/>
      <c r="AS25" s="65"/>
      <c r="AT25" s="65"/>
      <c r="AU25" s="65"/>
      <c r="AV25" s="65"/>
      <c r="AW25" s="65">
        <v>12</v>
      </c>
      <c r="AX25" s="65"/>
      <c r="AY25" s="1"/>
      <c r="AZ25" s="65">
        <f t="shared" si="0"/>
        <v>84</v>
      </c>
      <c r="BA25" s="65"/>
      <c r="BB25" s="18"/>
      <c r="BC25" s="18"/>
      <c r="BD25" s="66"/>
      <c r="BE25" s="71"/>
      <c r="BF25" s="71"/>
      <c r="BG25" s="71"/>
      <c r="BH25" s="71"/>
      <c r="BI25" s="71"/>
      <c r="BJ25" s="65"/>
      <c r="BK25" s="65"/>
      <c r="BL25" s="1">
        <v>0</v>
      </c>
      <c r="BM25" s="65"/>
      <c r="BN25" s="1" t="s">
        <v>843</v>
      </c>
      <c r="BO25" s="65"/>
      <c r="BP25" s="65"/>
      <c r="BQ25" s="65"/>
      <c r="BR25" s="65">
        <v>203</v>
      </c>
      <c r="BS25" s="65"/>
      <c r="BT25" s="65">
        <v>203</v>
      </c>
      <c r="BU25" s="65"/>
      <c r="BV25" s="37">
        <v>206</v>
      </c>
      <c r="BW25" s="65"/>
      <c r="BX25" s="72"/>
      <c r="BY25" s="72"/>
      <c r="BZ25" s="72"/>
      <c r="CA25" s="72"/>
      <c r="CB25" s="65"/>
      <c r="CC25" s="72"/>
      <c r="CD25" s="72"/>
      <c r="CE25" s="32"/>
      <c r="CF25" s="32"/>
      <c r="CG25" s="65"/>
      <c r="CH25" s="32"/>
      <c r="CI25" s="32"/>
      <c r="CJ25" s="32"/>
      <c r="CK25" s="32"/>
      <c r="CL25" s="32"/>
      <c r="CM25" s="65"/>
      <c r="CN25" s="32">
        <v>117</v>
      </c>
      <c r="CO25" s="65"/>
      <c r="CP25" s="65"/>
    </row>
    <row r="26" spans="1:94" x14ac:dyDescent="0.25">
      <c r="A26" s="65" t="s">
        <v>140</v>
      </c>
      <c r="B26" s="65" t="s">
        <v>816</v>
      </c>
      <c r="C26" s="32">
        <v>2050</v>
      </c>
      <c r="D26" s="1">
        <v>1</v>
      </c>
      <c r="E26" s="1">
        <v>0</v>
      </c>
      <c r="F26" s="32">
        <v>0</v>
      </c>
      <c r="G26" s="32"/>
      <c r="H26" s="32"/>
      <c r="I26" s="32"/>
      <c r="J26" s="32"/>
      <c r="K26">
        <v>0</v>
      </c>
      <c r="L26">
        <v>0</v>
      </c>
      <c r="M26">
        <v>0</v>
      </c>
      <c r="N26" s="32"/>
      <c r="O26" s="32"/>
      <c r="P26" s="32"/>
      <c r="Q26">
        <v>0</v>
      </c>
      <c r="R26">
        <v>0</v>
      </c>
      <c r="S26">
        <v>0</v>
      </c>
      <c r="T26" s="18">
        <f>$U24*Tabelle589711143136[[#This Row],[Stromverbrauch in TWh MIN]]/$R24</f>
        <v>0</v>
      </c>
      <c r="U26" s="18">
        <f>$U24*Tabelle589711143136[[#This Row],[Stromverbrauch in TWh REF]]/$R24</f>
        <v>0</v>
      </c>
      <c r="V26" s="18">
        <f>$U24*Tabelle589711143136[[#This Row],[Stromverbrauch in TWh MAX]]/$R24</f>
        <v>0</v>
      </c>
      <c r="W26" s="18"/>
      <c r="X26" s="66"/>
      <c r="Y26" s="18"/>
      <c r="Z26" s="66"/>
      <c r="AA26" s="66">
        <f>IF(AND(Tabelle589711143136[[#This Row],[Lastverschiebung]]=1,Tabelle589711143136[[#This Row],[Potenzial pos. min MW]]&lt;&gt;""),Tabelle589711143136[[#This Row],[Potenzial pos. min MW]],"")</f>
        <v>0</v>
      </c>
      <c r="AB26" s="66">
        <f>IF(AND(Tabelle589711143136[[#This Row],[Lastverschiebung]]=1,Tabelle589711143136[[#This Row],[Potenzial pos. MW Durchschnitt]]&lt;&gt;""),Tabelle589711143136[[#This Row],[Potenzial pos. MW Durchschnitt]],"")</f>
        <v>0</v>
      </c>
      <c r="AC26" s="66">
        <f>IF(AND(Tabelle589711143136[[#This Row],[Lastverschiebung]]=1,Tabelle589711143136[[#This Row],[Potenzial pos. max MW]]&lt;&gt;""),Tabelle589711143136[[#This Row],[Potenzial pos. max MW]],"")</f>
        <v>0</v>
      </c>
      <c r="AD26" s="66"/>
      <c r="AE26" s="63"/>
      <c r="AF26" s="68"/>
      <c r="AG26" s="69"/>
      <c r="AH26" s="74"/>
      <c r="AI26" s="68" t="str">
        <f>IF(Tabelle589711143136[[#This Row],[Vollbenutzungsstunden h/a]]&lt;&gt;"",Tabelle589711143136[[#This Row],[Vollbenutzungsstunden h/a]]/8760,"")</f>
        <v/>
      </c>
      <c r="AJ26" s="67"/>
      <c r="AK26" s="66"/>
      <c r="AL26" s="69"/>
      <c r="AM26" s="66"/>
      <c r="AN26" s="70"/>
      <c r="AO26" s="70"/>
      <c r="AP26" s="70"/>
      <c r="AQ26" s="65">
        <v>12</v>
      </c>
      <c r="AR26" s="65"/>
      <c r="AS26" s="65"/>
      <c r="AT26" s="65"/>
      <c r="AU26" s="65"/>
      <c r="AV26" s="65"/>
      <c r="AW26" s="65">
        <v>12</v>
      </c>
      <c r="AX26" s="65"/>
      <c r="AY26" s="1"/>
      <c r="AZ26" s="65">
        <f t="shared" si="0"/>
        <v>84</v>
      </c>
      <c r="BA26" s="65"/>
      <c r="BB26" s="18"/>
      <c r="BC26" s="18"/>
      <c r="BD26" s="66"/>
      <c r="BE26" s="71"/>
      <c r="BF26" s="71"/>
      <c r="BG26" s="71"/>
      <c r="BH26" s="71"/>
      <c r="BI26" s="71"/>
      <c r="BJ26" s="65"/>
      <c r="BK26" s="65"/>
      <c r="BL26" s="1">
        <v>0</v>
      </c>
      <c r="BM26" s="65"/>
      <c r="BN26" s="1" t="s">
        <v>843</v>
      </c>
      <c r="BO26" s="65"/>
      <c r="BP26" s="65"/>
      <c r="BQ26" s="65"/>
      <c r="BR26" s="65">
        <v>203</v>
      </c>
      <c r="BS26" s="65"/>
      <c r="BT26" s="65">
        <v>203</v>
      </c>
      <c r="BU26" s="65"/>
      <c r="BV26" s="37">
        <v>206</v>
      </c>
      <c r="BW26" s="65"/>
      <c r="BX26" s="72"/>
      <c r="BY26" s="72"/>
      <c r="BZ26" s="72"/>
      <c r="CA26" s="72"/>
      <c r="CB26" s="65"/>
      <c r="CC26" s="72"/>
      <c r="CD26" s="72"/>
      <c r="CE26" s="32"/>
      <c r="CF26" s="32"/>
      <c r="CG26" s="65"/>
      <c r="CH26" s="32"/>
      <c r="CI26" s="32"/>
      <c r="CJ26" s="32"/>
      <c r="CK26" s="32"/>
      <c r="CL26" s="32"/>
      <c r="CM26" s="65"/>
      <c r="CN26" s="32">
        <v>117</v>
      </c>
      <c r="CO26" s="65"/>
      <c r="CP26" s="65"/>
    </row>
    <row r="27" spans="1:94" x14ac:dyDescent="0.25">
      <c r="A27" s="65" t="s">
        <v>211</v>
      </c>
      <c r="B27" s="65" t="s">
        <v>130</v>
      </c>
      <c r="C27" s="32">
        <v>2013</v>
      </c>
      <c r="D27" s="1">
        <v>1</v>
      </c>
      <c r="E27" s="1">
        <v>0</v>
      </c>
      <c r="F27" s="32">
        <v>0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>
        <v>7.577</v>
      </c>
      <c r="S27" s="32"/>
      <c r="T27" s="18"/>
      <c r="U27" s="18">
        <v>870</v>
      </c>
      <c r="V27" s="18"/>
      <c r="W27" s="18"/>
      <c r="X27" s="66"/>
      <c r="Y27" s="18"/>
      <c r="Z27" s="66">
        <f>Tabelle589711143136[[#This Row],[Stromverbrauch in TWh REF]]/Tabelle589711143136[[#This Row],[Vollbenutzungsstunden h/a]]*10^6</f>
        <v>1722.0454545454545</v>
      </c>
      <c r="AA27" s="66" t="str">
        <f>IF(AND(Tabelle589711143136[[#This Row],[Lastverschiebung]]=1,Tabelle589711143136[[#This Row],[Potenzial pos. min MW]]&lt;&gt;""),Tabelle589711143136[[#This Row],[Potenzial pos. min MW]],"")</f>
        <v/>
      </c>
      <c r="AB27" s="66">
        <f>IF(AND(Tabelle589711143136[[#This Row],[Lastverschiebung]]=1,Tabelle589711143136[[#This Row],[Potenzial pos. MW Durchschnitt]]&lt;&gt;""),Tabelle589711143136[[#This Row],[Potenzial pos. MW Durchschnitt]],"")</f>
        <v>870</v>
      </c>
      <c r="AC27" s="66" t="str">
        <f>IF(AND(Tabelle589711143136[[#This Row],[Lastverschiebung]]=1,Tabelle589711143136[[#This Row],[Potenzial pos. max MW]]&lt;&gt;""),Tabelle589711143136[[#This Row],[Potenzial pos. max MW]],"")</f>
        <v/>
      </c>
      <c r="AD27" s="66"/>
      <c r="AE27" s="63"/>
      <c r="AF27" s="68">
        <v>0.5</v>
      </c>
      <c r="AG27" s="69"/>
      <c r="AH27" s="74">
        <v>4400</v>
      </c>
      <c r="AI27" s="68">
        <f>IF(Tabelle589711143136[[#This Row],[Vollbenutzungsstunden h/a]]&lt;&gt;"",Tabelle589711143136[[#This Row],[Vollbenutzungsstunden h/a]]/8760,"")</f>
        <v>0.50228310502283102</v>
      </c>
      <c r="AJ27" s="67"/>
      <c r="AK27" s="66"/>
      <c r="AL27" s="69"/>
      <c r="AM27" s="66"/>
      <c r="AN27" s="70"/>
      <c r="AO27" s="70"/>
      <c r="AP27" s="70"/>
      <c r="AQ27" s="65">
        <v>1</v>
      </c>
      <c r="AR27" s="65"/>
      <c r="AS27" s="65"/>
      <c r="AT27" s="65">
        <v>1</v>
      </c>
      <c r="AU27" s="65"/>
      <c r="AV27" s="65"/>
      <c r="AW27" s="65">
        <v>1</v>
      </c>
      <c r="AX27" s="65"/>
      <c r="AY27" s="1" t="s">
        <v>822</v>
      </c>
      <c r="AZ27" s="65">
        <f t="shared" ref="AZ27:AZ32" si="1">8*7</f>
        <v>56</v>
      </c>
      <c r="BA27" s="65"/>
      <c r="BB27" s="18">
        <v>40</v>
      </c>
      <c r="BC27" s="18">
        <v>1200</v>
      </c>
      <c r="BD27" s="66"/>
      <c r="BE27" s="71"/>
      <c r="BF27" s="71"/>
      <c r="BG27" s="71"/>
      <c r="BH27" s="71">
        <v>25</v>
      </c>
      <c r="BI27" s="71">
        <v>90</v>
      </c>
      <c r="BJ27" s="65"/>
      <c r="BK27" s="65"/>
      <c r="BL27" s="1">
        <v>0</v>
      </c>
      <c r="BM27" s="65"/>
      <c r="BN27" s="1" t="s">
        <v>843</v>
      </c>
      <c r="BO27" s="65">
        <v>23</v>
      </c>
      <c r="BP27" s="65">
        <v>23</v>
      </c>
      <c r="BQ27" s="65"/>
      <c r="BR27" s="65"/>
      <c r="BS27" s="65"/>
      <c r="BT27" s="1" t="s">
        <v>830</v>
      </c>
      <c r="BU27" s="65">
        <v>197</v>
      </c>
      <c r="BV27" s="37">
        <v>206</v>
      </c>
      <c r="BW27" s="65"/>
      <c r="BX27" s="72">
        <v>197</v>
      </c>
      <c r="BY27" s="72">
        <v>197</v>
      </c>
      <c r="BZ27" s="72"/>
      <c r="CA27" s="72"/>
      <c r="CB27" s="65"/>
      <c r="CC27" s="72"/>
      <c r="CD27" s="72"/>
      <c r="CE27" s="32">
        <v>23</v>
      </c>
      <c r="CF27" s="32">
        <v>23</v>
      </c>
      <c r="CG27" s="65"/>
      <c r="CH27" s="32">
        <v>23</v>
      </c>
      <c r="CI27" s="32">
        <v>23</v>
      </c>
      <c r="CJ27" s="32">
        <v>30</v>
      </c>
      <c r="CK27" s="32">
        <v>30</v>
      </c>
      <c r="CL27" s="32">
        <v>30</v>
      </c>
      <c r="CM27" s="65"/>
      <c r="CN27" s="32">
        <v>117</v>
      </c>
      <c r="CO27" s="65"/>
      <c r="CP27" s="65"/>
    </row>
    <row r="28" spans="1:94" x14ac:dyDescent="0.25">
      <c r="A28" s="65" t="s">
        <v>211</v>
      </c>
      <c r="B28" s="65" t="s">
        <v>130</v>
      </c>
      <c r="C28" s="32">
        <v>2030</v>
      </c>
      <c r="D28" s="1">
        <v>1</v>
      </c>
      <c r="E28" s="1">
        <v>0</v>
      </c>
      <c r="F28" s="32">
        <v>0</v>
      </c>
      <c r="G28" s="32"/>
      <c r="H28" s="32"/>
      <c r="I28" s="32"/>
      <c r="J28" s="32"/>
      <c r="K28" s="32"/>
      <c r="L28" s="32"/>
      <c r="M28" s="32"/>
      <c r="N28">
        <v>1</v>
      </c>
      <c r="O28">
        <v>1.05</v>
      </c>
      <c r="P28">
        <v>1.5</v>
      </c>
      <c r="Q28">
        <v>7.58</v>
      </c>
      <c r="R28">
        <v>7.96</v>
      </c>
      <c r="S28">
        <v>11.37</v>
      </c>
      <c r="T28" s="18">
        <f>$U27*Tabelle589711143136[[#This Row],[Stromverbrauch in TWh MIN]]/$R27</f>
        <v>870.34446350798476</v>
      </c>
      <c r="U28" s="18">
        <f>$U27*Tabelle589711143136[[#This Row],[Stromverbrauch in TWh REF]]/$R27</f>
        <v>913.97650785271219</v>
      </c>
      <c r="V28" s="18">
        <f>$U27*Tabelle589711143136[[#This Row],[Stromverbrauch in TWh MAX]]/$R27</f>
        <v>1305.516695261977</v>
      </c>
      <c r="W28" s="18"/>
      <c r="X28" s="66"/>
      <c r="Y28" s="18"/>
      <c r="Z28" s="66"/>
      <c r="AA28" s="66">
        <f>IF(AND(Tabelle589711143136[[#This Row],[Lastverschiebung]]=1,Tabelle589711143136[[#This Row],[Potenzial pos. min MW]]&lt;&gt;""),Tabelle589711143136[[#This Row],[Potenzial pos. min MW]],"")</f>
        <v>870.34446350798476</v>
      </c>
      <c r="AB28" s="66">
        <f>IF(AND(Tabelle589711143136[[#This Row],[Lastverschiebung]]=1,Tabelle589711143136[[#This Row],[Potenzial pos. MW Durchschnitt]]&lt;&gt;""),Tabelle589711143136[[#This Row],[Potenzial pos. MW Durchschnitt]],"")</f>
        <v>913.97650785271219</v>
      </c>
      <c r="AC28" s="66">
        <f>IF(AND(Tabelle589711143136[[#This Row],[Lastverschiebung]]=1,Tabelle589711143136[[#This Row],[Potenzial pos. max MW]]&lt;&gt;""),Tabelle589711143136[[#This Row],[Potenzial pos. max MW]],"")</f>
        <v>1305.516695261977</v>
      </c>
      <c r="AD28" s="66"/>
      <c r="AE28" s="63"/>
      <c r="AF28" s="68"/>
      <c r="AG28" s="69"/>
      <c r="AH28" s="74"/>
      <c r="AI28" s="68" t="str">
        <f>IF(Tabelle589711143136[[#This Row],[Vollbenutzungsstunden h/a]]&lt;&gt;"",Tabelle589711143136[[#This Row],[Vollbenutzungsstunden h/a]]/8760,"")</f>
        <v/>
      </c>
      <c r="AJ28" s="67"/>
      <c r="AK28" s="66"/>
      <c r="AL28" s="69"/>
      <c r="AM28" s="66"/>
      <c r="AN28" s="70"/>
      <c r="AO28" s="70"/>
      <c r="AP28" s="70"/>
      <c r="AQ28" s="65">
        <v>1</v>
      </c>
      <c r="AR28" s="65"/>
      <c r="AS28" s="65"/>
      <c r="AT28" s="65"/>
      <c r="AU28" s="65"/>
      <c r="AV28" s="65"/>
      <c r="AW28" s="65">
        <v>1</v>
      </c>
      <c r="AX28" s="65"/>
      <c r="AY28" s="1"/>
      <c r="AZ28" s="65">
        <f t="shared" si="1"/>
        <v>56</v>
      </c>
      <c r="BA28" s="65"/>
      <c r="BB28" s="18"/>
      <c r="BC28" s="18"/>
      <c r="BD28" s="66"/>
      <c r="BE28" s="71"/>
      <c r="BF28" s="71"/>
      <c r="BG28" s="71"/>
      <c r="BH28" s="71"/>
      <c r="BI28" s="71"/>
      <c r="BJ28" s="65"/>
      <c r="BK28" s="65"/>
      <c r="BL28" s="1">
        <v>0</v>
      </c>
      <c r="BM28" s="65"/>
      <c r="BN28" s="1" t="s">
        <v>843</v>
      </c>
      <c r="BO28" s="65"/>
      <c r="BP28" s="65"/>
      <c r="BQ28" s="65"/>
      <c r="BR28" s="65"/>
      <c r="BS28" s="65">
        <v>203</v>
      </c>
      <c r="BT28" s="65">
        <v>203</v>
      </c>
      <c r="BU28" s="65"/>
      <c r="BV28" s="37">
        <v>206</v>
      </c>
      <c r="BW28" s="65"/>
      <c r="BX28" s="72"/>
      <c r="BY28" s="72"/>
      <c r="BZ28" s="72"/>
      <c r="CA28" s="72"/>
      <c r="CB28" s="65"/>
      <c r="CC28" s="72"/>
      <c r="CD28" s="72"/>
      <c r="CE28" s="32"/>
      <c r="CF28" s="32"/>
      <c r="CG28" s="65"/>
      <c r="CH28" s="32"/>
      <c r="CI28" s="32"/>
      <c r="CJ28" s="32"/>
      <c r="CK28" s="32"/>
      <c r="CL28" s="32"/>
      <c r="CM28" s="65"/>
      <c r="CN28" s="32">
        <v>117</v>
      </c>
      <c r="CO28" s="65"/>
      <c r="CP28" s="65"/>
    </row>
    <row r="29" spans="1:94" x14ac:dyDescent="0.25">
      <c r="A29" s="65" t="s">
        <v>211</v>
      </c>
      <c r="B29" s="65" t="s">
        <v>130</v>
      </c>
      <c r="C29" s="32">
        <v>2050</v>
      </c>
      <c r="D29" s="1">
        <v>1</v>
      </c>
      <c r="E29" s="1">
        <v>0</v>
      </c>
      <c r="F29" s="32">
        <v>0</v>
      </c>
      <c r="G29" s="32"/>
      <c r="H29" s="32"/>
      <c r="I29" s="32"/>
      <c r="J29" s="32"/>
      <c r="K29" s="32"/>
      <c r="L29" s="32"/>
      <c r="M29" s="32"/>
      <c r="N29">
        <v>1</v>
      </c>
      <c r="O29">
        <v>1.1000000000000001</v>
      </c>
      <c r="P29">
        <v>2</v>
      </c>
      <c r="Q29">
        <v>7.58</v>
      </c>
      <c r="R29">
        <v>8.33</v>
      </c>
      <c r="S29">
        <v>15.15</v>
      </c>
      <c r="T29" s="18">
        <f>$U27*Tabelle589711143136[[#This Row],[Stromverbrauch in TWh MIN]]/$R27</f>
        <v>870.34446350798476</v>
      </c>
      <c r="U29" s="18">
        <f>$U27*Tabelle589711143136[[#This Row],[Stromverbrauch in TWh REF]]/$R27</f>
        <v>956.46034050415733</v>
      </c>
      <c r="V29" s="18">
        <f>$U27*Tabelle589711143136[[#This Row],[Stromverbrauch in TWh MAX]]/$R27</f>
        <v>1739.540715322687</v>
      </c>
      <c r="W29" s="18"/>
      <c r="X29" s="66"/>
      <c r="Y29" s="18"/>
      <c r="Z29" s="66"/>
      <c r="AA29" s="66">
        <f>IF(AND(Tabelle589711143136[[#This Row],[Lastverschiebung]]=1,Tabelle589711143136[[#This Row],[Potenzial pos. min MW]]&lt;&gt;""),Tabelle589711143136[[#This Row],[Potenzial pos. min MW]],"")</f>
        <v>870.34446350798476</v>
      </c>
      <c r="AB29" s="66">
        <f>IF(AND(Tabelle589711143136[[#This Row],[Lastverschiebung]]=1,Tabelle589711143136[[#This Row],[Potenzial pos. MW Durchschnitt]]&lt;&gt;""),Tabelle589711143136[[#This Row],[Potenzial pos. MW Durchschnitt]],"")</f>
        <v>956.46034050415733</v>
      </c>
      <c r="AC29" s="66">
        <f>IF(AND(Tabelle589711143136[[#This Row],[Lastverschiebung]]=1,Tabelle589711143136[[#This Row],[Potenzial pos. max MW]]&lt;&gt;""),Tabelle589711143136[[#This Row],[Potenzial pos. max MW]],"")</f>
        <v>1739.540715322687</v>
      </c>
      <c r="AD29" s="66"/>
      <c r="AE29" s="63"/>
      <c r="AF29" s="68"/>
      <c r="AG29" s="69"/>
      <c r="AH29" s="74"/>
      <c r="AI29" s="68" t="str">
        <f>IF(Tabelle589711143136[[#This Row],[Vollbenutzungsstunden h/a]]&lt;&gt;"",Tabelle589711143136[[#This Row],[Vollbenutzungsstunden h/a]]/8760,"")</f>
        <v/>
      </c>
      <c r="AJ29" s="67"/>
      <c r="AK29" s="66"/>
      <c r="AL29" s="69"/>
      <c r="AM29" s="66"/>
      <c r="AN29" s="70"/>
      <c r="AO29" s="70"/>
      <c r="AP29" s="70"/>
      <c r="AQ29" s="65">
        <v>1</v>
      </c>
      <c r="AR29" s="65"/>
      <c r="AS29" s="65"/>
      <c r="AT29" s="65"/>
      <c r="AU29" s="65"/>
      <c r="AV29" s="65"/>
      <c r="AW29" s="65">
        <v>1</v>
      </c>
      <c r="AX29" s="65"/>
      <c r="AY29" s="1"/>
      <c r="AZ29" s="65">
        <f t="shared" si="1"/>
        <v>56</v>
      </c>
      <c r="BA29" s="65"/>
      <c r="BB29" s="18"/>
      <c r="BC29" s="18"/>
      <c r="BD29" s="66"/>
      <c r="BE29" s="71"/>
      <c r="BF29" s="71"/>
      <c r="BG29" s="71"/>
      <c r="BH29" s="71"/>
      <c r="BI29" s="71"/>
      <c r="BJ29" s="65"/>
      <c r="BK29" s="65"/>
      <c r="BL29" s="1">
        <v>0</v>
      </c>
      <c r="BM29" s="65"/>
      <c r="BN29" s="1" t="s">
        <v>843</v>
      </c>
      <c r="BO29" s="65"/>
      <c r="BP29" s="65"/>
      <c r="BQ29" s="65"/>
      <c r="BR29" s="65"/>
      <c r="BS29" s="65">
        <v>203</v>
      </c>
      <c r="BT29" s="65">
        <v>203</v>
      </c>
      <c r="BU29" s="65"/>
      <c r="BV29" s="37">
        <v>206</v>
      </c>
      <c r="BW29" s="65"/>
      <c r="BX29" s="72"/>
      <c r="BY29" s="72"/>
      <c r="BZ29" s="72"/>
      <c r="CA29" s="72"/>
      <c r="CB29" s="65"/>
      <c r="CC29" s="72"/>
      <c r="CD29" s="72"/>
      <c r="CE29" s="32"/>
      <c r="CF29" s="32"/>
      <c r="CG29" s="65"/>
      <c r="CH29" s="32"/>
      <c r="CI29" s="32"/>
      <c r="CJ29" s="32"/>
      <c r="CK29" s="32"/>
      <c r="CL29" s="32"/>
      <c r="CM29" s="65"/>
      <c r="CN29" s="32">
        <v>117</v>
      </c>
      <c r="CO29" s="65"/>
      <c r="CP29" s="65"/>
    </row>
    <row r="30" spans="1:94" x14ac:dyDescent="0.25">
      <c r="A30" s="65" t="s">
        <v>365</v>
      </c>
      <c r="B30" s="65" t="s">
        <v>130</v>
      </c>
      <c r="C30" s="32">
        <v>2013</v>
      </c>
      <c r="D30" s="1">
        <v>1</v>
      </c>
      <c r="E30" s="1">
        <v>0</v>
      </c>
      <c r="F30" s="32">
        <v>0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>
        <v>3.1162999999999998</v>
      </c>
      <c r="S30" s="32"/>
      <c r="T30" s="18"/>
      <c r="U30" s="18">
        <v>4600</v>
      </c>
      <c r="V30" s="18"/>
      <c r="W30" s="18"/>
      <c r="X30" s="66"/>
      <c r="Y30" s="18"/>
      <c r="Z30" s="66">
        <f>Tabelle589711143136[[#This Row],[Stromverbrauch in TWh REF]]/Tabelle589711143136[[#This Row],[Vollbenutzungsstunden h/a]]*10^6</f>
        <v>6110.3921568627447</v>
      </c>
      <c r="AA30" s="66" t="str">
        <f>IF(AND(Tabelle589711143136[[#This Row],[Lastverschiebung]]=1,Tabelle589711143136[[#This Row],[Potenzial pos. min MW]]&lt;&gt;""),Tabelle589711143136[[#This Row],[Potenzial pos. min MW]],"")</f>
        <v/>
      </c>
      <c r="AB30" s="66">
        <f>IF(AND(Tabelle589711143136[[#This Row],[Lastverschiebung]]=1,Tabelle589711143136[[#This Row],[Potenzial pos. MW Durchschnitt]]&lt;&gt;""),Tabelle589711143136[[#This Row],[Potenzial pos. MW Durchschnitt]],"")</f>
        <v>4600</v>
      </c>
      <c r="AC30" s="66" t="str">
        <f>IF(AND(Tabelle589711143136[[#This Row],[Lastverschiebung]]=1,Tabelle589711143136[[#This Row],[Potenzial pos. max MW]]&lt;&gt;""),Tabelle589711143136[[#This Row],[Potenzial pos. max MW]],"")</f>
        <v/>
      </c>
      <c r="AD30" s="66"/>
      <c r="AE30" s="63"/>
      <c r="AF30" s="68">
        <v>0.75</v>
      </c>
      <c r="AG30" s="69"/>
      <c r="AH30" s="74">
        <v>510</v>
      </c>
      <c r="AI30" s="68">
        <f>IF(Tabelle589711143136[[#This Row],[Vollbenutzungsstunden h/a]]&lt;&gt;"",Tabelle589711143136[[#This Row],[Vollbenutzungsstunden h/a]]/8760,"")</f>
        <v>5.8219178082191778E-2</v>
      </c>
      <c r="AJ30" s="67"/>
      <c r="AK30" s="66"/>
      <c r="AL30" s="69"/>
      <c r="AM30" s="66"/>
      <c r="AN30" s="70"/>
      <c r="AO30" s="70"/>
      <c r="AP30" s="70"/>
      <c r="AQ30" s="65">
        <v>1</v>
      </c>
      <c r="AR30" s="65"/>
      <c r="AS30" s="65"/>
      <c r="AT30" s="65">
        <v>1</v>
      </c>
      <c r="AU30" s="65"/>
      <c r="AV30" s="65"/>
      <c r="AW30" s="65">
        <v>1</v>
      </c>
      <c r="AX30" s="65"/>
      <c r="AY30" s="1" t="s">
        <v>822</v>
      </c>
      <c r="AZ30" s="65">
        <f t="shared" si="1"/>
        <v>56</v>
      </c>
      <c r="BA30" s="65"/>
      <c r="BB30" s="18">
        <v>40</v>
      </c>
      <c r="BC30" s="18">
        <v>1200</v>
      </c>
      <c r="BD30" s="66"/>
      <c r="BE30" s="71"/>
      <c r="BF30" s="71"/>
      <c r="BG30" s="71"/>
      <c r="BH30" s="71">
        <v>25</v>
      </c>
      <c r="BI30" s="71">
        <v>90</v>
      </c>
      <c r="BJ30" s="65"/>
      <c r="BK30" s="65"/>
      <c r="BL30" s="1">
        <v>0</v>
      </c>
      <c r="BM30" s="65"/>
      <c r="BN30" s="1" t="s">
        <v>843</v>
      </c>
      <c r="BO30" s="65">
        <v>23</v>
      </c>
      <c r="BP30" s="65">
        <v>23</v>
      </c>
      <c r="BQ30" s="65"/>
      <c r="BR30" s="65"/>
      <c r="BS30" s="65"/>
      <c r="BT30" s="65">
        <v>197</v>
      </c>
      <c r="BU30" s="65">
        <v>197</v>
      </c>
      <c r="BV30" s="37">
        <v>206</v>
      </c>
      <c r="BW30" s="65"/>
      <c r="BX30" s="72">
        <v>197</v>
      </c>
      <c r="BY30" s="72">
        <v>197</v>
      </c>
      <c r="BZ30" s="72"/>
      <c r="CA30" s="72"/>
      <c r="CB30" s="65"/>
      <c r="CC30" s="72"/>
      <c r="CD30" s="72"/>
      <c r="CE30" s="32">
        <v>23</v>
      </c>
      <c r="CF30" s="32">
        <v>23</v>
      </c>
      <c r="CG30" s="65"/>
      <c r="CH30" s="32">
        <v>23</v>
      </c>
      <c r="CI30" s="32">
        <v>23</v>
      </c>
      <c r="CJ30" s="32">
        <v>30</v>
      </c>
      <c r="CK30" s="32">
        <v>30</v>
      </c>
      <c r="CL30" s="32">
        <v>30</v>
      </c>
      <c r="CM30" s="65"/>
      <c r="CN30" s="32">
        <v>117</v>
      </c>
      <c r="CO30" s="65"/>
      <c r="CP30" s="65"/>
    </row>
    <row r="31" spans="1:94" x14ac:dyDescent="0.25">
      <c r="A31" s="65" t="s">
        <v>365</v>
      </c>
      <c r="B31" s="65" t="s">
        <v>130</v>
      </c>
      <c r="C31" s="32">
        <v>2030</v>
      </c>
      <c r="D31" s="1">
        <v>1</v>
      </c>
      <c r="E31" s="1">
        <v>0</v>
      </c>
      <c r="F31" s="32">
        <v>0</v>
      </c>
      <c r="G31" s="32"/>
      <c r="H31" s="32"/>
      <c r="I31" s="32"/>
      <c r="J31" s="32"/>
      <c r="K31" s="32"/>
      <c r="L31" s="32"/>
      <c r="M31" s="32"/>
      <c r="N31">
        <v>1</v>
      </c>
      <c r="O31">
        <v>1.3</v>
      </c>
      <c r="P31">
        <v>2</v>
      </c>
      <c r="Q31">
        <v>3.12</v>
      </c>
      <c r="R31">
        <v>4.05</v>
      </c>
      <c r="S31">
        <v>6.23</v>
      </c>
      <c r="T31" s="18">
        <f>$U30*Tabelle589711143136[[#This Row],[Stromverbrauch in TWh MIN]]/$R30</f>
        <v>4605.4616051086223</v>
      </c>
      <c r="U31" s="18">
        <f>$U30*Tabelle589711143136[[#This Row],[Stromverbrauch in TWh REF]]/$R30</f>
        <v>5978.2434297083082</v>
      </c>
      <c r="V31" s="18">
        <f>$U30*Tabelle589711143136[[#This Row],[Stromverbrauch in TWh MAX]]/$R30</f>
        <v>9196.162115329078</v>
      </c>
      <c r="W31" s="18"/>
      <c r="X31" s="66"/>
      <c r="Y31" s="18"/>
      <c r="Z31" s="66"/>
      <c r="AA31" s="66">
        <f>IF(AND(Tabelle589711143136[[#This Row],[Lastverschiebung]]=1,Tabelle589711143136[[#This Row],[Potenzial pos. min MW]]&lt;&gt;""),Tabelle589711143136[[#This Row],[Potenzial pos. min MW]],"")</f>
        <v>4605.4616051086223</v>
      </c>
      <c r="AB31" s="66">
        <f>IF(AND(Tabelle589711143136[[#This Row],[Lastverschiebung]]=1,Tabelle589711143136[[#This Row],[Potenzial pos. MW Durchschnitt]]&lt;&gt;""),Tabelle589711143136[[#This Row],[Potenzial pos. MW Durchschnitt]],"")</f>
        <v>5978.2434297083082</v>
      </c>
      <c r="AC31" s="66">
        <f>IF(AND(Tabelle589711143136[[#This Row],[Lastverschiebung]]=1,Tabelle589711143136[[#This Row],[Potenzial pos. max MW]]&lt;&gt;""),Tabelle589711143136[[#This Row],[Potenzial pos. max MW]],"")</f>
        <v>9196.162115329078</v>
      </c>
      <c r="AD31" s="66"/>
      <c r="AE31" s="63"/>
      <c r="AF31" s="68"/>
      <c r="AG31" s="69"/>
      <c r="AH31" s="74"/>
      <c r="AI31" s="68" t="str">
        <f>IF(Tabelle589711143136[[#This Row],[Vollbenutzungsstunden h/a]]&lt;&gt;"",Tabelle589711143136[[#This Row],[Vollbenutzungsstunden h/a]]/8760,"")</f>
        <v/>
      </c>
      <c r="AJ31" s="67"/>
      <c r="AK31" s="66"/>
      <c r="AL31" s="69"/>
      <c r="AM31" s="66"/>
      <c r="AN31" s="70"/>
      <c r="AO31" s="70"/>
      <c r="AP31" s="70"/>
      <c r="AQ31" s="65">
        <v>1</v>
      </c>
      <c r="AR31" s="65"/>
      <c r="AS31" s="65"/>
      <c r="AT31" s="65"/>
      <c r="AU31" s="65"/>
      <c r="AV31" s="65"/>
      <c r="AW31" s="65">
        <v>1</v>
      </c>
      <c r="AX31" s="65"/>
      <c r="AY31" s="1"/>
      <c r="AZ31" s="65">
        <f t="shared" si="1"/>
        <v>56</v>
      </c>
      <c r="BA31" s="65"/>
      <c r="BB31" s="18"/>
      <c r="BC31" s="18"/>
      <c r="BD31" s="66"/>
      <c r="BE31" s="71"/>
      <c r="BF31" s="71"/>
      <c r="BG31" s="71"/>
      <c r="BH31" s="71"/>
      <c r="BI31" s="71"/>
      <c r="BJ31" s="65"/>
      <c r="BK31" s="65"/>
      <c r="BL31" s="1">
        <v>0</v>
      </c>
      <c r="BM31" s="65"/>
      <c r="BN31" s="1" t="s">
        <v>843</v>
      </c>
      <c r="BO31" s="65"/>
      <c r="BP31" s="65"/>
      <c r="BQ31" s="65"/>
      <c r="BR31" s="65"/>
      <c r="BS31" s="65">
        <v>203</v>
      </c>
      <c r="BT31" s="65">
        <v>203</v>
      </c>
      <c r="BU31" s="65"/>
      <c r="BV31" s="37">
        <v>206</v>
      </c>
      <c r="BW31" s="65"/>
      <c r="BX31" s="72"/>
      <c r="BY31" s="72"/>
      <c r="BZ31" s="72"/>
      <c r="CA31" s="72"/>
      <c r="CB31" s="65"/>
      <c r="CC31" s="72"/>
      <c r="CD31" s="72"/>
      <c r="CE31" s="32"/>
      <c r="CF31" s="32"/>
      <c r="CG31" s="65"/>
      <c r="CH31" s="32"/>
      <c r="CI31" s="32"/>
      <c r="CJ31" s="32"/>
      <c r="CK31" s="32"/>
      <c r="CL31" s="32"/>
      <c r="CM31" s="65"/>
      <c r="CN31" s="32">
        <v>117</v>
      </c>
      <c r="CO31" s="65"/>
      <c r="CP31" s="65"/>
    </row>
    <row r="32" spans="1:94" x14ac:dyDescent="0.25">
      <c r="A32" s="65" t="s">
        <v>365</v>
      </c>
      <c r="B32" s="65" t="s">
        <v>130</v>
      </c>
      <c r="C32" s="32">
        <v>2050</v>
      </c>
      <c r="D32" s="1">
        <v>1</v>
      </c>
      <c r="E32" s="1">
        <v>0</v>
      </c>
      <c r="F32" s="32">
        <v>0</v>
      </c>
      <c r="G32" s="32"/>
      <c r="H32" s="32"/>
      <c r="I32" s="32"/>
      <c r="J32" s="32"/>
      <c r="K32" s="32"/>
      <c r="L32" s="32"/>
      <c r="M32" s="32"/>
      <c r="N32">
        <v>1</v>
      </c>
      <c r="O32">
        <v>1.5</v>
      </c>
      <c r="P32">
        <v>3</v>
      </c>
      <c r="Q32">
        <v>3.12</v>
      </c>
      <c r="R32">
        <v>4.67</v>
      </c>
      <c r="S32">
        <v>9.35</v>
      </c>
      <c r="T32" s="18">
        <f>$U30*Tabelle589711143136[[#This Row],[Stromverbrauch in TWh MIN]]/$R30</f>
        <v>4605.4616051086223</v>
      </c>
      <c r="U32" s="18">
        <f>$U30*Tabelle589711143136[[#This Row],[Stromverbrauch in TWh REF]]/$R30</f>
        <v>6893.4313127747655</v>
      </c>
      <c r="V32" s="18">
        <f>$U30*Tabelle589711143136[[#This Row],[Stromverbrauch in TWh MAX]]/$R30</f>
        <v>13801.623720437699</v>
      </c>
      <c r="W32" s="18"/>
      <c r="X32" s="66"/>
      <c r="Y32" s="18"/>
      <c r="Z32" s="66"/>
      <c r="AA32" s="66">
        <f>IF(AND(Tabelle589711143136[[#This Row],[Lastverschiebung]]=1,Tabelle589711143136[[#This Row],[Potenzial pos. min MW]]&lt;&gt;""),Tabelle589711143136[[#This Row],[Potenzial pos. min MW]],"")</f>
        <v>4605.4616051086223</v>
      </c>
      <c r="AB32" s="66">
        <f>IF(AND(Tabelle589711143136[[#This Row],[Lastverschiebung]]=1,Tabelle589711143136[[#This Row],[Potenzial pos. MW Durchschnitt]]&lt;&gt;""),Tabelle589711143136[[#This Row],[Potenzial pos. MW Durchschnitt]],"")</f>
        <v>6893.4313127747655</v>
      </c>
      <c r="AC32" s="66">
        <f>IF(AND(Tabelle589711143136[[#This Row],[Lastverschiebung]]=1,Tabelle589711143136[[#This Row],[Potenzial pos. max MW]]&lt;&gt;""),Tabelle589711143136[[#This Row],[Potenzial pos. max MW]],"")</f>
        <v>13801.623720437699</v>
      </c>
      <c r="AD32" s="66"/>
      <c r="AE32" s="63"/>
      <c r="AF32" s="68"/>
      <c r="AG32" s="69"/>
      <c r="AH32" s="74"/>
      <c r="AI32" s="68" t="str">
        <f>IF(Tabelle589711143136[[#This Row],[Vollbenutzungsstunden h/a]]&lt;&gt;"",Tabelle589711143136[[#This Row],[Vollbenutzungsstunden h/a]]/8760,"")</f>
        <v/>
      </c>
      <c r="AJ32" s="67"/>
      <c r="AK32" s="66"/>
      <c r="AL32" s="69"/>
      <c r="AM32" s="66"/>
      <c r="AN32" s="70"/>
      <c r="AO32" s="70"/>
      <c r="AP32" s="70"/>
      <c r="AQ32" s="65">
        <v>1</v>
      </c>
      <c r="AR32" s="65"/>
      <c r="AS32" s="65"/>
      <c r="AT32" s="65"/>
      <c r="AU32" s="65"/>
      <c r="AV32" s="65"/>
      <c r="AW32" s="65">
        <v>1</v>
      </c>
      <c r="AX32" s="65"/>
      <c r="AY32" s="1"/>
      <c r="AZ32" s="65">
        <f t="shared" si="1"/>
        <v>56</v>
      </c>
      <c r="BA32" s="65"/>
      <c r="BB32" s="18"/>
      <c r="BC32" s="18"/>
      <c r="BD32" s="66"/>
      <c r="BE32" s="71"/>
      <c r="BF32" s="71"/>
      <c r="BG32" s="71"/>
      <c r="BH32" s="71"/>
      <c r="BI32" s="71"/>
      <c r="BJ32" s="65"/>
      <c r="BK32" s="65"/>
      <c r="BL32" s="1">
        <v>0</v>
      </c>
      <c r="BM32" s="65"/>
      <c r="BN32" s="1" t="s">
        <v>843</v>
      </c>
      <c r="BO32" s="65"/>
      <c r="BP32" s="65"/>
      <c r="BQ32" s="65"/>
      <c r="BR32" s="65"/>
      <c r="BS32" s="65">
        <v>203</v>
      </c>
      <c r="BT32" s="65">
        <v>203</v>
      </c>
      <c r="BU32" s="65"/>
      <c r="BV32" s="37">
        <v>206</v>
      </c>
      <c r="BW32" s="65"/>
      <c r="BX32" s="72"/>
      <c r="BY32" s="72"/>
      <c r="BZ32" s="72"/>
      <c r="CA32" s="72"/>
      <c r="CB32" s="65"/>
      <c r="CC32" s="72"/>
      <c r="CD32" s="72"/>
      <c r="CE32" s="32"/>
      <c r="CF32" s="32"/>
      <c r="CG32" s="65"/>
      <c r="CH32" s="32"/>
      <c r="CI32" s="32"/>
      <c r="CJ32" s="32"/>
      <c r="CK32" s="32"/>
      <c r="CL32" s="32"/>
      <c r="CM32" s="65"/>
      <c r="CN32" s="32">
        <v>117</v>
      </c>
      <c r="CO32" s="65"/>
      <c r="CP32" s="65"/>
    </row>
    <row r="33" spans="1:94" x14ac:dyDescent="0.25">
      <c r="A33" s="65" t="s">
        <v>137</v>
      </c>
      <c r="B33" s="65" t="s">
        <v>816</v>
      </c>
      <c r="C33" s="32">
        <v>2013</v>
      </c>
      <c r="D33" s="1">
        <v>1</v>
      </c>
      <c r="E33" s="1">
        <v>0</v>
      </c>
      <c r="F33" s="32">
        <v>0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>
        <f>ROUND(Tabelle589711143136[[#This Row],[Vollbenutzungsstunden h/a]]*Tabelle589711143136[[#This Row],[installierte Leistung MW]]/10^6,3)</f>
        <v>3.1859999999999999</v>
      </c>
      <c r="S33" s="32"/>
      <c r="T33" s="18"/>
      <c r="U33" s="18">
        <v>2000</v>
      </c>
      <c r="V33" s="18"/>
      <c r="W33" s="18"/>
      <c r="X33" s="66"/>
      <c r="Y33" s="18"/>
      <c r="Z33" s="66">
        <f>Tabelle589711143136[[#This Row],[Stromverbrauch in TWh REF]]/Tabelle589711143136[[#This Row],[Vollbenutzungsstunden h/a]]*10^6</f>
        <v>1769.9999999999998</v>
      </c>
      <c r="AA33" s="66" t="str">
        <f>IF(AND(Tabelle589711143136[[#This Row],[Lastverschiebung]]=1,Tabelle589711143136[[#This Row],[Potenzial pos. min MW]]&lt;&gt;""),Tabelle589711143136[[#This Row],[Potenzial pos. min MW]],"")</f>
        <v/>
      </c>
      <c r="AB33" s="66">
        <f>IF(AND(Tabelle589711143136[[#This Row],[Lastverschiebung]]=1,Tabelle589711143136[[#This Row],[Potenzial pos. MW Durchschnitt]]&lt;&gt;""),Tabelle589711143136[[#This Row],[Potenzial pos. MW Durchschnitt]],"")</f>
        <v>2000</v>
      </c>
      <c r="AC33" s="66" t="str">
        <f>IF(AND(Tabelle589711143136[[#This Row],[Lastverschiebung]]=1,Tabelle589711143136[[#This Row],[Potenzial pos. max MW]]&lt;&gt;""),Tabelle589711143136[[#This Row],[Potenzial pos. max MW]],"")</f>
        <v/>
      </c>
      <c r="AD33" s="66">
        <v>0</v>
      </c>
      <c r="AE33" s="63">
        <f>1-Tabelle589711143136[[#This Row],[flexibilisierbarer Anteil]]</f>
        <v>0</v>
      </c>
      <c r="AF33" s="68">
        <v>1</v>
      </c>
      <c r="AG33" s="69"/>
      <c r="AH33" s="74">
        <v>1800</v>
      </c>
      <c r="AI33" s="68">
        <f>IF(Tabelle589711143136[[#This Row],[Vollbenutzungsstunden h/a]]&lt;&gt;"",Tabelle589711143136[[#This Row],[Vollbenutzungsstunden h/a]]/8760,"")</f>
        <v>0.20547945205479451</v>
      </c>
      <c r="AJ33" s="67">
        <f>Tabelle589711143136[[#This Row],[Durchschnittsauslastung]]*Tabelle589711143136[[#This Row],[installierte Leistung MW]]</f>
        <v>363.69863013698625</v>
      </c>
      <c r="AK33" s="66"/>
      <c r="AL33" s="69"/>
      <c r="AM33" s="66">
        <v>1770</v>
      </c>
      <c r="AN33" s="70"/>
      <c r="AO33" s="70"/>
      <c r="AP33" s="70"/>
      <c r="AQ33" s="65">
        <v>12</v>
      </c>
      <c r="AR33" s="65"/>
      <c r="AS33" s="65"/>
      <c r="AT33" s="65">
        <v>12</v>
      </c>
      <c r="AU33" s="65"/>
      <c r="AV33" s="65"/>
      <c r="AW33" s="65">
        <v>12</v>
      </c>
      <c r="AX33" s="65"/>
      <c r="AY33" s="1" t="s">
        <v>822</v>
      </c>
      <c r="AZ33" s="65">
        <f>12*7</f>
        <v>84</v>
      </c>
      <c r="BA33" s="65"/>
      <c r="BB33" s="18">
        <v>40</v>
      </c>
      <c r="BC33" s="18">
        <v>1200</v>
      </c>
      <c r="BD33" s="66"/>
      <c r="BE33" s="71"/>
      <c r="BF33" s="71"/>
      <c r="BG33" s="71"/>
      <c r="BH33" s="71">
        <v>25</v>
      </c>
      <c r="BI33" s="71">
        <v>90</v>
      </c>
      <c r="BJ33" s="65"/>
      <c r="BK33" s="65"/>
      <c r="BL33" s="1">
        <v>0</v>
      </c>
      <c r="BM33" s="65"/>
      <c r="BN33" s="1" t="s">
        <v>843</v>
      </c>
      <c r="BO33" s="65">
        <v>23</v>
      </c>
      <c r="BP33" s="65">
        <v>23</v>
      </c>
      <c r="BQ33" s="65"/>
      <c r="BR33" s="65"/>
      <c r="BS33" s="65"/>
      <c r="BT33" s="1" t="s">
        <v>831</v>
      </c>
      <c r="BU33" s="1" t="s">
        <v>831</v>
      </c>
      <c r="BV33" s="37">
        <v>206</v>
      </c>
      <c r="BW33" s="65"/>
      <c r="BX33" s="72">
        <v>197</v>
      </c>
      <c r="BY33" s="72">
        <v>197</v>
      </c>
      <c r="BZ33" s="72"/>
      <c r="CA33" s="72"/>
      <c r="CB33" s="65"/>
      <c r="CC33" s="1" t="s">
        <v>827</v>
      </c>
      <c r="CD33" s="72"/>
      <c r="CE33" s="32">
        <v>23</v>
      </c>
      <c r="CF33" s="32">
        <v>23</v>
      </c>
      <c r="CG33" s="65"/>
      <c r="CH33" s="32">
        <v>23</v>
      </c>
      <c r="CI33" s="32">
        <v>23</v>
      </c>
      <c r="CJ33" s="32">
        <v>30</v>
      </c>
      <c r="CK33" s="32">
        <v>30</v>
      </c>
      <c r="CL33" s="32">
        <v>30</v>
      </c>
      <c r="CM33" s="65"/>
      <c r="CN33" s="32">
        <v>117</v>
      </c>
      <c r="CO33" s="65"/>
      <c r="CP33" s="65"/>
    </row>
    <row r="34" spans="1:94" x14ac:dyDescent="0.25">
      <c r="A34" s="65" t="s">
        <v>137</v>
      </c>
      <c r="B34" s="65" t="s">
        <v>816</v>
      </c>
      <c r="C34" s="32">
        <v>2030</v>
      </c>
      <c r="D34" s="1">
        <v>1</v>
      </c>
      <c r="E34" s="1">
        <v>0</v>
      </c>
      <c r="F34" s="32">
        <v>0</v>
      </c>
      <c r="G34" s="32"/>
      <c r="H34" s="32"/>
      <c r="I34" s="32"/>
      <c r="J34" s="32"/>
      <c r="K34">
        <v>1420</v>
      </c>
      <c r="L34">
        <v>1750</v>
      </c>
      <c r="M34">
        <v>3000</v>
      </c>
      <c r="N34" s="32"/>
      <c r="O34" s="32"/>
      <c r="P34" s="32"/>
      <c r="Q34">
        <v>12.07</v>
      </c>
      <c r="R34">
        <v>14.87</v>
      </c>
      <c r="S34">
        <v>25.49</v>
      </c>
      <c r="T34" s="18">
        <f>$U33*Tabelle589711143136[[#This Row],[Stromverbrauch in TWh MIN]]/$R33</f>
        <v>7576.8989328311363</v>
      </c>
      <c r="U34" s="18">
        <f>$U33*Tabelle589711143136[[#This Row],[Stromverbrauch in TWh REF]]/$R33</f>
        <v>9334.58882611425</v>
      </c>
      <c r="V34" s="18">
        <f>$U33*Tabelle589711143136[[#This Row],[Stromverbrauch in TWh MAX]]/$R33</f>
        <v>16001.255492780916</v>
      </c>
      <c r="W34" s="18"/>
      <c r="X34" s="66"/>
      <c r="Y34" s="18"/>
      <c r="Z34" s="66"/>
      <c r="AA34" s="66">
        <f>IF(AND(Tabelle589711143136[[#This Row],[Lastverschiebung]]=1,Tabelle589711143136[[#This Row],[Potenzial pos. min MW]]&lt;&gt;""),Tabelle589711143136[[#This Row],[Potenzial pos. min MW]],"")</f>
        <v>7576.8989328311363</v>
      </c>
      <c r="AB34" s="66">
        <f>IF(AND(Tabelle589711143136[[#This Row],[Lastverschiebung]]=1,Tabelle589711143136[[#This Row],[Potenzial pos. MW Durchschnitt]]&lt;&gt;""),Tabelle589711143136[[#This Row],[Potenzial pos. MW Durchschnitt]],"")</f>
        <v>9334.58882611425</v>
      </c>
      <c r="AC34" s="66">
        <f>IF(AND(Tabelle589711143136[[#This Row],[Lastverschiebung]]=1,Tabelle589711143136[[#This Row],[Potenzial pos. max MW]]&lt;&gt;""),Tabelle589711143136[[#This Row],[Potenzial pos. max MW]],"")</f>
        <v>16001.255492780916</v>
      </c>
      <c r="AD34" s="66"/>
      <c r="AE34" s="63"/>
      <c r="AF34" s="68"/>
      <c r="AG34" s="69"/>
      <c r="AH34" s="74"/>
      <c r="AI34" s="68" t="str">
        <f>IF(Tabelle589711143136[[#This Row],[Vollbenutzungsstunden h/a]]&lt;&gt;"",Tabelle589711143136[[#This Row],[Vollbenutzungsstunden h/a]]/8760,"")</f>
        <v/>
      </c>
      <c r="AJ34" s="67"/>
      <c r="AK34" s="66"/>
      <c r="AL34" s="69"/>
      <c r="AM34" s="66"/>
      <c r="AN34" s="70"/>
      <c r="AO34" s="70"/>
      <c r="AP34" s="70"/>
      <c r="AQ34" s="65">
        <v>12</v>
      </c>
      <c r="AR34" s="65"/>
      <c r="AS34" s="65"/>
      <c r="AT34" s="65"/>
      <c r="AU34" s="65"/>
      <c r="AV34" s="65"/>
      <c r="AW34" s="65">
        <v>12</v>
      </c>
      <c r="AX34" s="65"/>
      <c r="AY34" s="1"/>
      <c r="AZ34" s="65">
        <f>12*7</f>
        <v>84</v>
      </c>
      <c r="BA34" s="65"/>
      <c r="BB34" s="18"/>
      <c r="BC34" s="18"/>
      <c r="BD34" s="66"/>
      <c r="BE34" s="71"/>
      <c r="BF34" s="71"/>
      <c r="BG34" s="71"/>
      <c r="BH34" s="71"/>
      <c r="BI34" s="71"/>
      <c r="BJ34" s="65"/>
      <c r="BK34" s="65"/>
      <c r="BL34" s="1">
        <v>0</v>
      </c>
      <c r="BM34" s="65"/>
      <c r="BN34" s="1" t="s">
        <v>843</v>
      </c>
      <c r="BO34" s="65"/>
      <c r="BP34" s="65"/>
      <c r="BQ34" s="65"/>
      <c r="BR34" s="65">
        <v>203</v>
      </c>
      <c r="BS34" s="65"/>
      <c r="BT34" s="65">
        <v>203</v>
      </c>
      <c r="BU34" s="1"/>
      <c r="BV34" s="37">
        <v>206</v>
      </c>
      <c r="BW34" s="65"/>
      <c r="BX34" s="72"/>
      <c r="BY34" s="72"/>
      <c r="BZ34" s="72"/>
      <c r="CA34" s="72"/>
      <c r="CB34" s="65"/>
      <c r="CC34" s="1"/>
      <c r="CD34" s="72"/>
      <c r="CE34" s="32"/>
      <c r="CF34" s="32"/>
      <c r="CG34" s="65"/>
      <c r="CH34" s="32"/>
      <c r="CI34" s="32"/>
      <c r="CJ34" s="32"/>
      <c r="CK34" s="32"/>
      <c r="CL34" s="32"/>
      <c r="CM34" s="65"/>
      <c r="CN34" s="32">
        <v>117</v>
      </c>
      <c r="CO34" s="65"/>
      <c r="CP34" s="65"/>
    </row>
    <row r="35" spans="1:94" x14ac:dyDescent="0.25">
      <c r="A35" s="65" t="s">
        <v>137</v>
      </c>
      <c r="B35" s="65" t="s">
        <v>816</v>
      </c>
      <c r="C35" s="32">
        <v>2050</v>
      </c>
      <c r="D35" s="1">
        <v>1</v>
      </c>
      <c r="E35" s="1">
        <v>0</v>
      </c>
      <c r="F35" s="32">
        <v>0</v>
      </c>
      <c r="G35" s="32"/>
      <c r="H35" s="32"/>
      <c r="I35" s="32"/>
      <c r="J35" s="32"/>
      <c r="K35">
        <v>2400</v>
      </c>
      <c r="L35">
        <v>3188</v>
      </c>
      <c r="M35">
        <v>5000</v>
      </c>
      <c r="N35" s="32"/>
      <c r="O35" s="32"/>
      <c r="P35" s="32"/>
      <c r="Q35">
        <v>20.39</v>
      </c>
      <c r="R35">
        <v>27.08</v>
      </c>
      <c r="S35">
        <v>42.48</v>
      </c>
      <c r="T35" s="18">
        <f>$U33*Tabelle589711143136[[#This Row],[Stromverbrauch in TWh MIN]]/$R33</f>
        <v>12799.748901443816</v>
      </c>
      <c r="U35" s="18">
        <f>$U33*Tabelle589711143136[[#This Row],[Stromverbrauch in TWh REF]]/$R33</f>
        <v>16999.372253609541</v>
      </c>
      <c r="V35" s="18">
        <f>$U33*Tabelle589711143136[[#This Row],[Stromverbrauch in TWh MAX]]/$R33</f>
        <v>26666.666666666668</v>
      </c>
      <c r="W35" s="18"/>
      <c r="X35" s="66"/>
      <c r="Y35" s="18"/>
      <c r="Z35" s="66"/>
      <c r="AA35" s="66">
        <f>IF(AND(Tabelle589711143136[[#This Row],[Lastverschiebung]]=1,Tabelle589711143136[[#This Row],[Potenzial pos. min MW]]&lt;&gt;""),Tabelle589711143136[[#This Row],[Potenzial pos. min MW]],"")</f>
        <v>12799.748901443816</v>
      </c>
      <c r="AB35" s="66">
        <f>IF(AND(Tabelle589711143136[[#This Row],[Lastverschiebung]]=1,Tabelle589711143136[[#This Row],[Potenzial pos. MW Durchschnitt]]&lt;&gt;""),Tabelle589711143136[[#This Row],[Potenzial pos. MW Durchschnitt]],"")</f>
        <v>16999.372253609541</v>
      </c>
      <c r="AC35" s="66">
        <f>IF(AND(Tabelle589711143136[[#This Row],[Lastverschiebung]]=1,Tabelle589711143136[[#This Row],[Potenzial pos. max MW]]&lt;&gt;""),Tabelle589711143136[[#This Row],[Potenzial pos. max MW]],"")</f>
        <v>26666.666666666668</v>
      </c>
      <c r="AD35" s="66"/>
      <c r="AE35" s="63"/>
      <c r="AF35" s="68"/>
      <c r="AG35" s="69"/>
      <c r="AH35" s="74"/>
      <c r="AI35" s="68" t="str">
        <f>IF(Tabelle589711143136[[#This Row],[Vollbenutzungsstunden h/a]]&lt;&gt;"",Tabelle589711143136[[#This Row],[Vollbenutzungsstunden h/a]]/8760,"")</f>
        <v/>
      </c>
      <c r="AJ35" s="67"/>
      <c r="AK35" s="66"/>
      <c r="AL35" s="69"/>
      <c r="AM35" s="66"/>
      <c r="AN35" s="70"/>
      <c r="AO35" s="70"/>
      <c r="AP35" s="70"/>
      <c r="AQ35" s="65">
        <v>12</v>
      </c>
      <c r="AR35" s="65"/>
      <c r="AS35" s="65"/>
      <c r="AT35" s="65"/>
      <c r="AU35" s="65"/>
      <c r="AV35" s="65"/>
      <c r="AW35" s="65">
        <v>12</v>
      </c>
      <c r="AX35" s="65"/>
      <c r="AY35" s="1"/>
      <c r="AZ35" s="65">
        <f>12*7</f>
        <v>84</v>
      </c>
      <c r="BA35" s="65"/>
      <c r="BB35" s="18"/>
      <c r="BC35" s="18"/>
      <c r="BD35" s="66"/>
      <c r="BE35" s="71"/>
      <c r="BF35" s="71"/>
      <c r="BG35" s="71"/>
      <c r="BH35" s="71"/>
      <c r="BI35" s="71"/>
      <c r="BJ35" s="65"/>
      <c r="BK35" s="65"/>
      <c r="BL35" s="1">
        <v>0</v>
      </c>
      <c r="BM35" s="65"/>
      <c r="BN35" s="1" t="s">
        <v>843</v>
      </c>
      <c r="BO35" s="65"/>
      <c r="BP35" s="65"/>
      <c r="BQ35" s="65"/>
      <c r="BR35" s="65">
        <v>203</v>
      </c>
      <c r="BS35" s="65"/>
      <c r="BT35" s="65">
        <v>203</v>
      </c>
      <c r="BU35" s="1"/>
      <c r="BV35" s="37">
        <v>206</v>
      </c>
      <c r="BW35" s="65"/>
      <c r="BX35" s="72"/>
      <c r="BY35" s="72"/>
      <c r="BZ35" s="72"/>
      <c r="CA35" s="72"/>
      <c r="CB35" s="65"/>
      <c r="CC35" s="1"/>
      <c r="CD35" s="72"/>
      <c r="CE35" s="32"/>
      <c r="CF35" s="32"/>
      <c r="CG35" s="65"/>
      <c r="CH35" s="32"/>
      <c r="CI35" s="32"/>
      <c r="CJ35" s="32"/>
      <c r="CK35" s="32"/>
      <c r="CL35" s="32"/>
      <c r="CM35" s="65"/>
      <c r="CN35" s="32">
        <v>117</v>
      </c>
      <c r="CO35" s="65"/>
      <c r="CP35" s="65"/>
    </row>
    <row r="36" spans="1:94" x14ac:dyDescent="0.25">
      <c r="A36" s="65" t="s">
        <v>767</v>
      </c>
      <c r="B36" s="65" t="s">
        <v>817</v>
      </c>
      <c r="C36" s="32">
        <v>2013</v>
      </c>
      <c r="D36" s="1">
        <v>1</v>
      </c>
      <c r="E36" s="1">
        <v>0</v>
      </c>
      <c r="F36" s="32">
        <v>0</v>
      </c>
      <c r="G36" s="32"/>
      <c r="H36" s="32"/>
      <c r="I36" s="32"/>
      <c r="J36" s="32"/>
      <c r="K36" s="1"/>
      <c r="L36" s="1"/>
      <c r="M36" s="32"/>
      <c r="N36" s="32"/>
      <c r="O36" s="32"/>
      <c r="P36" s="32"/>
      <c r="Q36" s="32"/>
      <c r="R36" s="32"/>
      <c r="S36" s="32"/>
      <c r="T36" s="66"/>
      <c r="U36" s="66"/>
      <c r="V36" s="66"/>
      <c r="W36" s="18"/>
      <c r="X36" s="66"/>
      <c r="Y36" s="18"/>
      <c r="Z36" s="66"/>
      <c r="AA36" s="66" t="str">
        <f>IF(AND(Tabelle589711143136[[#This Row],[Lastverschiebung]]=1,Tabelle589711143136[[#This Row],[Potenzial pos. min MW]]&lt;&gt;""),Tabelle589711143136[[#This Row],[Potenzial pos. min MW]],"")</f>
        <v/>
      </c>
      <c r="AB36" s="66" t="str">
        <f>IF(AND(Tabelle589711143136[[#This Row],[Lastverschiebung]]=1,Tabelle589711143136[[#This Row],[Potenzial pos. MW Durchschnitt]]&lt;&gt;""),Tabelle589711143136[[#This Row],[Potenzial pos. MW Durchschnitt]],"")</f>
        <v/>
      </c>
      <c r="AC36" s="66" t="str">
        <f>IF(AND(Tabelle589711143136[[#This Row],[Lastverschiebung]]=1,Tabelle589711143136[[#This Row],[Potenzial pos. max MW]]&lt;&gt;""),Tabelle589711143136[[#This Row],[Potenzial pos. max MW]],"")</f>
        <v/>
      </c>
      <c r="AD36" s="66"/>
      <c r="AE36" s="68"/>
      <c r="AF36" s="68"/>
      <c r="AG36" s="69"/>
      <c r="AH36" s="74"/>
      <c r="AI36" s="68" t="str">
        <f>IF(Tabelle589711143136[[#This Row],[Vollbenutzungsstunden h/a]]&lt;&gt;"",Tabelle589711143136[[#This Row],[Vollbenutzungsstunden h/a]]/8760,"")</f>
        <v/>
      </c>
      <c r="AJ36" s="67"/>
      <c r="AK36" s="66"/>
      <c r="AL36" s="69"/>
      <c r="AM36" s="66"/>
      <c r="AN36" s="70"/>
      <c r="AO36" s="70"/>
      <c r="AP36" s="70"/>
      <c r="AQ36" s="65">
        <v>24</v>
      </c>
      <c r="AR36" s="65"/>
      <c r="AS36" s="65"/>
      <c r="AT36" s="65">
        <v>24</v>
      </c>
      <c r="AU36" s="65"/>
      <c r="AV36" s="65"/>
      <c r="AW36" s="65">
        <v>24</v>
      </c>
      <c r="AX36" s="65"/>
      <c r="AY36" s="1" t="s">
        <v>820</v>
      </c>
      <c r="AZ36" s="65">
        <f>12*7</f>
        <v>84</v>
      </c>
      <c r="BA36" s="65"/>
      <c r="BB36" s="18">
        <v>40</v>
      </c>
      <c r="BC36" s="18">
        <v>1200</v>
      </c>
      <c r="BD36" s="66"/>
      <c r="BE36" s="71"/>
      <c r="BF36" s="71"/>
      <c r="BG36" s="71"/>
      <c r="BH36" s="71">
        <v>25</v>
      </c>
      <c r="BI36" s="71">
        <v>90</v>
      </c>
      <c r="BJ36" s="65"/>
      <c r="BK36" s="65"/>
      <c r="BL36" s="1">
        <v>0</v>
      </c>
      <c r="BM36" s="65"/>
      <c r="BN36" s="1" t="s">
        <v>843</v>
      </c>
      <c r="BO36" s="65">
        <v>23</v>
      </c>
      <c r="BP36" s="65">
        <v>23</v>
      </c>
      <c r="BQ36" s="65"/>
      <c r="BR36" s="65"/>
      <c r="BS36" s="65"/>
      <c r="BT36" s="65"/>
      <c r="BU36" s="65"/>
      <c r="BV36" s="37"/>
      <c r="BW36" s="65"/>
      <c r="BX36" s="72"/>
      <c r="BY36" s="72"/>
      <c r="BZ36" s="72"/>
      <c r="CA36" s="72"/>
      <c r="CB36" s="65"/>
      <c r="CC36" s="72"/>
      <c r="CD36" s="72"/>
      <c r="CE36" s="32">
        <v>23</v>
      </c>
      <c r="CF36" s="32">
        <v>23</v>
      </c>
      <c r="CG36" s="65"/>
      <c r="CH36" s="32">
        <v>23</v>
      </c>
      <c r="CI36" s="32">
        <v>23</v>
      </c>
      <c r="CJ36" s="32">
        <v>30</v>
      </c>
      <c r="CK36" s="32">
        <v>30</v>
      </c>
      <c r="CL36" s="32">
        <v>30</v>
      </c>
      <c r="CM36" s="65"/>
      <c r="CN36" s="32">
        <v>117</v>
      </c>
      <c r="CO36" s="65"/>
      <c r="CP36" s="65"/>
    </row>
    <row r="37" spans="1:94" x14ac:dyDescent="0.25">
      <c r="A37" s="65" t="s">
        <v>767</v>
      </c>
      <c r="B37" s="65" t="s">
        <v>817</v>
      </c>
      <c r="C37" s="32">
        <v>2030</v>
      </c>
      <c r="D37" s="1">
        <v>1</v>
      </c>
      <c r="E37" s="1">
        <v>0</v>
      </c>
      <c r="F37" s="32">
        <v>0</v>
      </c>
      <c r="G37" s="32"/>
      <c r="H37" s="32"/>
      <c r="I37" s="32"/>
      <c r="J37" s="32"/>
      <c r="K37" s="32">
        <v>1700</v>
      </c>
      <c r="L37" s="32">
        <v>5100</v>
      </c>
      <c r="M37" s="32">
        <v>9000</v>
      </c>
      <c r="N37" s="32"/>
      <c r="O37" s="32"/>
      <c r="P37" s="32"/>
      <c r="Q37" s="32">
        <v>4.4000000000000004</v>
      </c>
      <c r="R37" s="32">
        <v>13.6</v>
      </c>
      <c r="S37" s="32">
        <v>35.4</v>
      </c>
      <c r="T37" s="66"/>
      <c r="U37" s="66"/>
      <c r="V37" s="66"/>
      <c r="W37" s="18"/>
      <c r="X37" s="66"/>
      <c r="Y37" s="18"/>
      <c r="Z37" s="66"/>
      <c r="AA37" s="66" t="str">
        <f>IF(AND(Tabelle589711143136[[#This Row],[Lastverschiebung]]=1,Tabelle589711143136[[#This Row],[Potenzial pos. min MW]]&lt;&gt;""),Tabelle589711143136[[#This Row],[Potenzial pos. min MW]],"")</f>
        <v/>
      </c>
      <c r="AB37" s="66" t="str">
        <f>IF(AND(Tabelle589711143136[[#This Row],[Lastverschiebung]]=1,Tabelle589711143136[[#This Row],[Potenzial pos. MW Durchschnitt]]&lt;&gt;""),Tabelle589711143136[[#This Row],[Potenzial pos. MW Durchschnitt]],"")</f>
        <v/>
      </c>
      <c r="AC37" s="66" t="str">
        <f>IF(AND(Tabelle589711143136[[#This Row],[Lastverschiebung]]=1,Tabelle589711143136[[#This Row],[Potenzial pos. max MW]]&lt;&gt;""),Tabelle589711143136[[#This Row],[Potenzial pos. max MW]],"")</f>
        <v/>
      </c>
      <c r="AD37" s="66"/>
      <c r="AE37" s="68"/>
      <c r="AF37" s="68"/>
      <c r="AG37" s="69"/>
      <c r="AH37" s="74"/>
      <c r="AI37" s="68" t="str">
        <f>IF(Tabelle589711143136[[#This Row],[Vollbenutzungsstunden h/a]]&lt;&gt;"",Tabelle589711143136[[#This Row],[Vollbenutzungsstunden h/a]]/8760,"")</f>
        <v/>
      </c>
      <c r="AJ37" s="67"/>
      <c r="AK37" s="66"/>
      <c r="AL37" s="69"/>
      <c r="AM37" s="66"/>
      <c r="AN37" s="70"/>
      <c r="AO37" s="70"/>
      <c r="AP37" s="70"/>
      <c r="AQ37" s="65">
        <v>24</v>
      </c>
      <c r="AR37" s="65"/>
      <c r="AS37" s="65"/>
      <c r="AT37" s="65"/>
      <c r="AU37" s="65"/>
      <c r="AV37" s="65"/>
      <c r="AW37" s="65">
        <v>24</v>
      </c>
      <c r="AX37" s="65"/>
      <c r="AY37" s="1"/>
      <c r="AZ37" s="65">
        <f>8*7</f>
        <v>56</v>
      </c>
      <c r="BA37" s="65"/>
      <c r="BB37" s="18"/>
      <c r="BC37" s="18"/>
      <c r="BD37" s="66"/>
      <c r="BE37" s="71"/>
      <c r="BF37" s="71"/>
      <c r="BG37" s="71"/>
      <c r="BH37" s="71"/>
      <c r="BI37" s="71"/>
      <c r="BJ37" s="65"/>
      <c r="BK37" s="65"/>
      <c r="BL37" s="1">
        <v>0</v>
      </c>
      <c r="BM37" s="65"/>
      <c r="BN37" s="1" t="s">
        <v>843</v>
      </c>
      <c r="BO37" s="65"/>
      <c r="BP37" s="65"/>
      <c r="BQ37" s="65"/>
      <c r="BR37" s="65">
        <v>204</v>
      </c>
      <c r="BS37" s="65"/>
      <c r="BT37" s="65">
        <v>204</v>
      </c>
      <c r="BU37" s="65"/>
      <c r="BV37" s="37"/>
      <c r="BW37" s="65"/>
      <c r="BX37" s="72"/>
      <c r="BY37" s="72"/>
      <c r="BZ37" s="72"/>
      <c r="CA37" s="72"/>
      <c r="CB37" s="65"/>
      <c r="CC37" s="72"/>
      <c r="CD37" s="72"/>
      <c r="CE37" s="32"/>
      <c r="CF37" s="32"/>
      <c r="CG37" s="65"/>
      <c r="CH37" s="32"/>
      <c r="CI37" s="32"/>
      <c r="CJ37" s="32"/>
      <c r="CK37" s="32"/>
      <c r="CL37" s="32"/>
      <c r="CM37" s="65"/>
      <c r="CN37" s="32">
        <v>117</v>
      </c>
      <c r="CO37" s="65"/>
      <c r="CP37" s="65"/>
    </row>
    <row r="38" spans="1:94" x14ac:dyDescent="0.25">
      <c r="A38" s="65" t="s">
        <v>767</v>
      </c>
      <c r="B38" s="65" t="s">
        <v>817</v>
      </c>
      <c r="C38" s="32">
        <v>2050</v>
      </c>
      <c r="D38" s="1">
        <v>1</v>
      </c>
      <c r="E38" s="1">
        <v>0</v>
      </c>
      <c r="F38" s="32">
        <v>0</v>
      </c>
      <c r="G38" s="32"/>
      <c r="H38" s="32"/>
      <c r="I38" s="32"/>
      <c r="J38" s="32"/>
      <c r="K38" s="32">
        <v>4400</v>
      </c>
      <c r="L38" s="32">
        <v>13200</v>
      </c>
      <c r="M38" s="32">
        <v>22000</v>
      </c>
      <c r="N38" s="32"/>
      <c r="O38" s="32"/>
      <c r="P38" s="32"/>
      <c r="Q38" s="1">
        <v>11.8</v>
      </c>
      <c r="R38" s="32">
        <v>24.3</v>
      </c>
      <c r="S38" s="32">
        <v>59</v>
      </c>
      <c r="T38" s="66"/>
      <c r="U38" s="66"/>
      <c r="V38" s="66"/>
      <c r="W38" s="18"/>
      <c r="X38" s="66"/>
      <c r="Y38" s="18"/>
      <c r="Z38" s="66"/>
      <c r="AA38" s="66" t="str">
        <f>IF(AND(Tabelle589711143136[[#This Row],[Lastverschiebung]]=1,Tabelle589711143136[[#This Row],[Potenzial pos. min MW]]&lt;&gt;""),Tabelle589711143136[[#This Row],[Potenzial pos. min MW]],"")</f>
        <v/>
      </c>
      <c r="AB38" s="66" t="str">
        <f>IF(AND(Tabelle589711143136[[#This Row],[Lastverschiebung]]=1,Tabelle589711143136[[#This Row],[Potenzial pos. MW Durchschnitt]]&lt;&gt;""),Tabelle589711143136[[#This Row],[Potenzial pos. MW Durchschnitt]],"")</f>
        <v/>
      </c>
      <c r="AC38" s="66" t="str">
        <f>IF(AND(Tabelle589711143136[[#This Row],[Lastverschiebung]]=1,Tabelle589711143136[[#This Row],[Potenzial pos. max MW]]&lt;&gt;""),Tabelle589711143136[[#This Row],[Potenzial pos. max MW]],"")</f>
        <v/>
      </c>
      <c r="AD38" s="66"/>
      <c r="AE38" s="68"/>
      <c r="AF38" s="68"/>
      <c r="AG38" s="69"/>
      <c r="AH38" s="74"/>
      <c r="AI38" s="68" t="str">
        <f>IF(Tabelle589711143136[[#This Row],[Vollbenutzungsstunden h/a]]&lt;&gt;"",Tabelle589711143136[[#This Row],[Vollbenutzungsstunden h/a]]/8760,"")</f>
        <v/>
      </c>
      <c r="AJ38" s="67"/>
      <c r="AK38" s="66"/>
      <c r="AL38" s="69"/>
      <c r="AM38" s="66"/>
      <c r="AN38" s="70"/>
      <c r="AO38" s="70"/>
      <c r="AP38" s="70"/>
      <c r="AQ38" s="65">
        <v>24</v>
      </c>
      <c r="AR38" s="65"/>
      <c r="AS38" s="65"/>
      <c r="AT38" s="65"/>
      <c r="AU38" s="65"/>
      <c r="AV38" s="65"/>
      <c r="AW38" s="65">
        <v>24</v>
      </c>
      <c r="AX38" s="65"/>
      <c r="AY38" s="1"/>
      <c r="AZ38" s="65">
        <f>8*7</f>
        <v>56</v>
      </c>
      <c r="BA38" s="65"/>
      <c r="BB38" s="18"/>
      <c r="BC38" s="18"/>
      <c r="BD38" s="66"/>
      <c r="BE38" s="71"/>
      <c r="BF38" s="71"/>
      <c r="BG38" s="71"/>
      <c r="BH38" s="71"/>
      <c r="BI38" s="71"/>
      <c r="BJ38" s="65"/>
      <c r="BK38" s="65"/>
      <c r="BL38" s="1">
        <v>0</v>
      </c>
      <c r="BM38" s="65"/>
      <c r="BN38" s="1" t="s">
        <v>843</v>
      </c>
      <c r="BO38" s="65"/>
      <c r="BP38" s="65"/>
      <c r="BQ38" s="65"/>
      <c r="BR38" s="65">
        <v>204</v>
      </c>
      <c r="BS38" s="65"/>
      <c r="BT38" s="65">
        <v>204</v>
      </c>
      <c r="BU38" s="65"/>
      <c r="BV38" s="37"/>
      <c r="BW38" s="65"/>
      <c r="BX38" s="72"/>
      <c r="BY38" s="72"/>
      <c r="BZ38" s="72"/>
      <c r="CA38" s="72"/>
      <c r="CB38" s="65"/>
      <c r="CC38" s="72"/>
      <c r="CD38" s="72"/>
      <c r="CE38" s="32"/>
      <c r="CF38" s="32"/>
      <c r="CG38" s="65"/>
      <c r="CH38" s="32"/>
      <c r="CI38" s="32"/>
      <c r="CJ38" s="32"/>
      <c r="CK38" s="32"/>
      <c r="CL38" s="32"/>
      <c r="CM38" s="65"/>
      <c r="CN38" s="32">
        <v>117</v>
      </c>
      <c r="CO38" s="65"/>
      <c r="CP38" s="65"/>
    </row>
    <row r="39" spans="1:94" x14ac:dyDescent="0.25">
      <c r="A39" s="65" t="s">
        <v>818</v>
      </c>
      <c r="B39" s="65" t="s">
        <v>817</v>
      </c>
      <c r="C39" s="32">
        <v>2013</v>
      </c>
      <c r="D39" s="1">
        <v>0</v>
      </c>
      <c r="E39" s="1">
        <v>0</v>
      </c>
      <c r="F39" s="32">
        <v>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66"/>
      <c r="U39" s="66"/>
      <c r="V39" s="66"/>
      <c r="W39" s="18"/>
      <c r="X39" s="66"/>
      <c r="Y39" s="18"/>
      <c r="Z39" s="66"/>
      <c r="AA39" s="66" t="str">
        <f>IF(AND(Tabelle589711143136[[#This Row],[Lastverschiebung]]=1,Tabelle589711143136[[#This Row],[Potenzial pos. min MW]]&lt;&gt;""),Tabelle589711143136[[#This Row],[Potenzial pos. min MW]],"")</f>
        <v/>
      </c>
      <c r="AB39" s="66" t="str">
        <f>IF(AND(Tabelle589711143136[[#This Row],[Lastverschiebung]]=1,Tabelle589711143136[[#This Row],[Potenzial pos. MW Durchschnitt]]&lt;&gt;""),Tabelle589711143136[[#This Row],[Potenzial pos. MW Durchschnitt]],"")</f>
        <v/>
      </c>
      <c r="AC39" s="66" t="str">
        <f>IF(AND(Tabelle589711143136[[#This Row],[Lastverschiebung]]=1,Tabelle589711143136[[#This Row],[Potenzial pos. max MW]]&lt;&gt;""),Tabelle589711143136[[#This Row],[Potenzial pos. max MW]],"")</f>
        <v/>
      </c>
      <c r="AD39" s="66"/>
      <c r="AE39" s="68"/>
      <c r="AF39" s="68"/>
      <c r="AG39" s="69"/>
      <c r="AH39" s="74"/>
      <c r="AI39" s="68" t="str">
        <f>IF(Tabelle589711143136[[#This Row],[Vollbenutzungsstunden h/a]]&lt;&gt;"",Tabelle589711143136[[#This Row],[Vollbenutzungsstunden h/a]]/8760,"")</f>
        <v/>
      </c>
      <c r="AJ39" s="67"/>
      <c r="AK39" s="66"/>
      <c r="AL39" s="69"/>
      <c r="AM39" s="66"/>
      <c r="AN39" s="70"/>
      <c r="AO39" s="70"/>
      <c r="AP39" s="70"/>
      <c r="AQ39" s="65"/>
      <c r="AR39" s="65"/>
      <c r="AS39" s="65"/>
      <c r="AT39" s="65"/>
      <c r="AU39" s="65"/>
      <c r="AV39" s="65"/>
      <c r="AW39" s="65"/>
      <c r="AX39" s="65"/>
      <c r="AY39" s="1"/>
      <c r="AZ39" s="65">
        <v>8760</v>
      </c>
      <c r="BA39" s="65"/>
      <c r="BB39" s="18">
        <v>500</v>
      </c>
      <c r="BC39" s="18">
        <v>1000</v>
      </c>
      <c r="BD39" s="66"/>
      <c r="BE39" s="71">
        <v>-16.53</v>
      </c>
      <c r="BF39" s="71">
        <v>-44.9</v>
      </c>
      <c r="BG39" s="7"/>
      <c r="BH39" s="71">
        <v>20</v>
      </c>
      <c r="BI39" s="71">
        <v>40</v>
      </c>
      <c r="BJ39" s="65"/>
      <c r="BK39" s="65"/>
      <c r="BL39" s="1"/>
      <c r="BM39" s="1" t="s">
        <v>852</v>
      </c>
      <c r="BN39" s="1" t="s">
        <v>843</v>
      </c>
      <c r="BO39" s="65">
        <v>23</v>
      </c>
      <c r="BP39" s="65">
        <v>23</v>
      </c>
      <c r="BQ39" s="65"/>
      <c r="BR39" s="65"/>
      <c r="BS39" s="65"/>
      <c r="BT39" s="65"/>
      <c r="BU39" s="65"/>
      <c r="BV39" s="37"/>
      <c r="BW39" s="65"/>
      <c r="BX39" s="72"/>
      <c r="BY39" s="72"/>
      <c r="BZ39" s="72"/>
      <c r="CA39" s="72"/>
      <c r="CB39" s="65"/>
      <c r="CC39" s="72"/>
      <c r="CD39" s="72"/>
      <c r="CE39" s="32">
        <v>23</v>
      </c>
      <c r="CF39" s="32">
        <v>23</v>
      </c>
      <c r="CG39" s="65"/>
      <c r="CH39" s="32">
        <v>23</v>
      </c>
      <c r="CI39" s="32">
        <v>23</v>
      </c>
      <c r="CJ39" s="32">
        <v>30</v>
      </c>
      <c r="CK39" s="32">
        <v>30</v>
      </c>
      <c r="CL39" s="32">
        <v>30</v>
      </c>
      <c r="CM39" s="65"/>
      <c r="CN39" s="32"/>
      <c r="CO39" s="65">
        <v>31</v>
      </c>
      <c r="CP39" s="65"/>
    </row>
    <row r="40" spans="1:94" x14ac:dyDescent="0.25">
      <c r="A40" s="65" t="s">
        <v>819</v>
      </c>
      <c r="B40" s="65" t="s">
        <v>817</v>
      </c>
      <c r="C40" s="32">
        <v>2013</v>
      </c>
      <c r="D40" s="1">
        <v>0</v>
      </c>
      <c r="E40" s="1">
        <v>0</v>
      </c>
      <c r="F40" s="32">
        <v>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66"/>
      <c r="U40" s="66"/>
      <c r="V40" s="66"/>
      <c r="W40" s="18"/>
      <c r="X40" s="66"/>
      <c r="Y40" s="18"/>
      <c r="Z40" s="66"/>
      <c r="AA40" s="66" t="str">
        <f>IF(AND(Tabelle589711143136[[#This Row],[Lastverschiebung]]=1,Tabelle589711143136[[#This Row],[Potenzial pos. min MW]]&lt;&gt;""),Tabelle589711143136[[#This Row],[Potenzial pos. min MW]],"")</f>
        <v/>
      </c>
      <c r="AB40" s="66" t="str">
        <f>IF(AND(Tabelle589711143136[[#This Row],[Lastverschiebung]]=1,Tabelle589711143136[[#This Row],[Potenzial pos. MW Durchschnitt]]&lt;&gt;""),Tabelle589711143136[[#This Row],[Potenzial pos. MW Durchschnitt]],"")</f>
        <v/>
      </c>
      <c r="AC40" s="66" t="str">
        <f>IF(AND(Tabelle589711143136[[#This Row],[Lastverschiebung]]=1,Tabelle589711143136[[#This Row],[Potenzial pos. max MW]]&lt;&gt;""),Tabelle589711143136[[#This Row],[Potenzial pos. max MW]],"")</f>
        <v/>
      </c>
      <c r="AD40" s="66"/>
      <c r="AE40" s="68"/>
      <c r="AF40" s="68"/>
      <c r="AG40" s="69"/>
      <c r="AH40" s="74"/>
      <c r="AI40" s="68" t="str">
        <f>IF(Tabelle589711143136[[#This Row],[Vollbenutzungsstunden h/a]]&lt;&gt;"",Tabelle589711143136[[#This Row],[Vollbenutzungsstunden h/a]]/8760,"")</f>
        <v/>
      </c>
      <c r="AJ40" s="67"/>
      <c r="AK40" s="66"/>
      <c r="AL40" s="69"/>
      <c r="AM40" s="66"/>
      <c r="AN40" s="70"/>
      <c r="AO40" s="70"/>
      <c r="AP40" s="70"/>
      <c r="AQ40" s="65"/>
      <c r="AR40" s="65"/>
      <c r="AS40" s="65"/>
      <c r="AT40" s="65"/>
      <c r="AU40" s="65"/>
      <c r="AV40" s="65"/>
      <c r="AW40" s="65"/>
      <c r="AX40" s="65"/>
      <c r="AY40" s="1"/>
      <c r="AZ40" s="65">
        <v>8760</v>
      </c>
      <c r="BA40" s="65"/>
      <c r="BB40" s="18">
        <v>100</v>
      </c>
      <c r="BC40" s="18">
        <v>200</v>
      </c>
      <c r="BD40" s="66"/>
      <c r="BE40" s="71">
        <v>-30.31</v>
      </c>
      <c r="BF40" s="71">
        <v>-82.4</v>
      </c>
      <c r="BG40" s="7"/>
      <c r="BH40" s="71">
        <v>4</v>
      </c>
      <c r="BI40" s="71">
        <v>8</v>
      </c>
      <c r="BJ40" s="65"/>
      <c r="BK40" s="65"/>
      <c r="BL40" s="1"/>
      <c r="BM40" s="1" t="s">
        <v>851</v>
      </c>
      <c r="BN40" s="1" t="s">
        <v>843</v>
      </c>
      <c r="BO40" s="65">
        <v>23</v>
      </c>
      <c r="BP40" s="65">
        <v>23</v>
      </c>
      <c r="BQ40" s="65"/>
      <c r="BR40" s="65"/>
      <c r="BS40" s="65"/>
      <c r="BT40" s="65"/>
      <c r="BU40" s="65"/>
      <c r="BV40" s="37"/>
      <c r="BW40" s="65"/>
      <c r="BX40" s="72"/>
      <c r="BY40" s="72"/>
      <c r="BZ40" s="72"/>
      <c r="CA40" s="72"/>
      <c r="CB40" s="65"/>
      <c r="CC40" s="72"/>
      <c r="CD40" s="72"/>
      <c r="CE40" s="32">
        <v>23</v>
      </c>
      <c r="CF40" s="32">
        <v>23</v>
      </c>
      <c r="CG40" s="65"/>
      <c r="CH40" s="32">
        <v>23</v>
      </c>
      <c r="CI40" s="32">
        <v>23</v>
      </c>
      <c r="CJ40" s="32">
        <v>30</v>
      </c>
      <c r="CK40" s="32">
        <v>30</v>
      </c>
      <c r="CL40" s="32">
        <v>30</v>
      </c>
      <c r="CM40" s="65"/>
      <c r="CN40" s="32"/>
      <c r="CO40" s="1" t="s">
        <v>849</v>
      </c>
      <c r="CP40" s="65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6D5339-A27A-4F4B-91C9-F3BE6D89EB3B}">
          <x14:formula1>
            <xm:f>Dropdown!$C$2:$C$7</xm:f>
          </x14:formula1>
          <xm:sqref>B2:B40</xm:sqref>
        </x14:dataValidation>
        <x14:dataValidation type="list" allowBlank="1" showInputMessage="1" showErrorMessage="1" xr:uid="{B7F2651A-797C-47D6-B27A-633B9A81BCA8}">
          <x14:formula1>
            <xm:f>Dropdown!$A$2:$A$99</xm:f>
          </x14:formula1>
          <xm:sqref>A2:A40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CB8"/>
  <sheetViews>
    <sheetView zoomScale="85" zoomScaleNormal="85"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AS1" sqref="AS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8" width="17.7109375" style="1" customWidth="1"/>
    <col min="9" max="9" width="28.85546875" style="1" bestFit="1" customWidth="1"/>
    <col min="10" max="10" width="38.85546875" style="1" bestFit="1" customWidth="1"/>
    <col min="11" max="11" width="29.28515625" style="1" bestFit="1" customWidth="1"/>
    <col min="12" max="17" width="24.5703125" style="1" customWidth="1"/>
    <col min="18" max="18" width="24.42578125" style="1" bestFit="1" customWidth="1"/>
    <col min="19" max="25" width="24.42578125" style="1" customWidth="1"/>
    <col min="26" max="26" width="37.7109375" style="1" bestFit="1" customWidth="1"/>
    <col min="27" max="28" width="24.7109375" style="1" customWidth="1"/>
    <col min="29" max="31" width="28.42578125" style="1" customWidth="1"/>
    <col min="32" max="32" width="27.42578125" style="1" bestFit="1" customWidth="1"/>
    <col min="33" max="34" width="27.42578125" style="1" customWidth="1"/>
    <col min="35" max="35" width="20.7109375" style="1" bestFit="1" customWidth="1"/>
    <col min="36" max="40" width="20.7109375" style="1" customWidth="1"/>
    <col min="41" max="41" width="25.85546875" style="1" bestFit="1" customWidth="1"/>
    <col min="42" max="42" width="29.7109375" style="1" bestFit="1" customWidth="1"/>
    <col min="43" max="43" width="24" style="1" bestFit="1" customWidth="1"/>
    <col min="44" max="44" width="38.28515625" style="1" bestFit="1" customWidth="1"/>
    <col min="45" max="47" width="38.28515625" style="1" customWidth="1"/>
    <col min="48" max="48" width="38.28515625" style="1" bestFit="1" customWidth="1"/>
    <col min="49" max="50" width="38.28515625" style="1" customWidth="1"/>
    <col min="51" max="51" width="33.42578125" style="1" bestFit="1" customWidth="1"/>
    <col min="52" max="53" width="33.42578125" style="1" customWidth="1"/>
    <col min="54" max="54" width="25.7109375" style="1" bestFit="1" customWidth="1"/>
    <col min="55" max="55" width="25.7109375" style="1" customWidth="1"/>
    <col min="56" max="56" width="56.7109375" style="1" bestFit="1" customWidth="1"/>
    <col min="57" max="57" width="56.7109375" style="1" customWidth="1"/>
    <col min="58" max="59" width="35.5703125" style="1" customWidth="1"/>
    <col min="60" max="60" width="31.7109375" style="1" bestFit="1" customWidth="1"/>
    <col min="61" max="61" width="31.5703125" style="1" bestFit="1" customWidth="1"/>
    <col min="62" max="66" width="31.5703125" style="1" customWidth="1"/>
    <col min="67" max="67" width="37.42578125" style="1" bestFit="1" customWidth="1"/>
    <col min="68" max="68" width="35.7109375" style="1" bestFit="1" customWidth="1"/>
    <col min="69" max="69" width="28.85546875" style="1" bestFit="1" customWidth="1"/>
    <col min="70" max="70" width="34" style="1" bestFit="1" customWidth="1"/>
    <col min="71" max="71" width="37.85546875" style="1" bestFit="1" customWidth="1"/>
    <col min="72" max="72" width="34.42578125" style="1" bestFit="1" customWidth="1"/>
    <col min="73" max="73" width="38.140625" style="1" bestFit="1" customWidth="1"/>
    <col min="74" max="74" width="22.85546875" style="1" bestFit="1" customWidth="1"/>
    <col min="75" max="75" width="28.5703125" style="1" bestFit="1" customWidth="1"/>
    <col min="76" max="76" width="28.28515625" style="1" bestFit="1" customWidth="1"/>
    <col min="77" max="77" width="28.28515625" style="1" customWidth="1"/>
    <col min="78" max="78" width="31" style="1" bestFit="1" customWidth="1"/>
    <col min="79" max="79" width="31" style="1" customWidth="1"/>
    <col min="80" max="80" width="28.85546875" style="1" bestFit="1" customWidth="1"/>
    <col min="81" max="16384" width="11.42578125" style="1"/>
  </cols>
  <sheetData>
    <row r="1" spans="1:80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416</v>
      </c>
      <c r="H1" s="2" t="s">
        <v>931</v>
      </c>
      <c r="I1" s="2" t="s">
        <v>49</v>
      </c>
      <c r="J1" s="2" t="s">
        <v>149</v>
      </c>
      <c r="K1" s="2" t="s">
        <v>50</v>
      </c>
      <c r="L1" s="2" t="s">
        <v>97</v>
      </c>
      <c r="M1" s="2" t="s">
        <v>154</v>
      </c>
      <c r="N1" s="2" t="s">
        <v>417</v>
      </c>
      <c r="O1" s="2" t="s">
        <v>418</v>
      </c>
      <c r="P1" s="2" t="s">
        <v>419</v>
      </c>
      <c r="Q1" s="2" t="s">
        <v>156</v>
      </c>
      <c r="R1" s="2" t="s">
        <v>155</v>
      </c>
      <c r="S1" s="2" t="s">
        <v>56</v>
      </c>
      <c r="T1" s="2" t="s">
        <v>55</v>
      </c>
      <c r="U1" s="2" t="s">
        <v>87</v>
      </c>
      <c r="V1" s="2" t="s">
        <v>792</v>
      </c>
      <c r="W1" s="2" t="s">
        <v>552</v>
      </c>
      <c r="X1" s="2" t="s">
        <v>1078</v>
      </c>
      <c r="Y1" s="2" t="s">
        <v>235</v>
      </c>
      <c r="Z1" s="2" t="s">
        <v>116</v>
      </c>
      <c r="AA1" s="2" t="s">
        <v>57</v>
      </c>
      <c r="AB1" s="2" t="s">
        <v>123</v>
      </c>
      <c r="AC1" s="2" t="s">
        <v>58</v>
      </c>
      <c r="AD1" s="2" t="s">
        <v>926</v>
      </c>
      <c r="AE1" s="2" t="s">
        <v>414</v>
      </c>
      <c r="AF1" s="2" t="s">
        <v>9</v>
      </c>
      <c r="AG1" s="2" t="s">
        <v>423</v>
      </c>
      <c r="AH1" s="2" t="s">
        <v>225</v>
      </c>
      <c r="AI1" s="2" t="s">
        <v>157</v>
      </c>
      <c r="AJ1" s="2" t="s">
        <v>227</v>
      </c>
      <c r="AK1" s="2" t="s">
        <v>228</v>
      </c>
      <c r="AL1" s="2" t="s">
        <v>158</v>
      </c>
      <c r="AM1" s="2" t="s">
        <v>214</v>
      </c>
      <c r="AN1" s="2" t="s">
        <v>215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99</v>
      </c>
      <c r="AT1" s="2" t="s">
        <v>183</v>
      </c>
      <c r="AU1" s="2" t="s">
        <v>182</v>
      </c>
      <c r="AV1" s="2" t="s">
        <v>12</v>
      </c>
      <c r="AW1" s="2" t="s">
        <v>231</v>
      </c>
      <c r="AX1" s="2" t="s">
        <v>232</v>
      </c>
      <c r="AY1" s="2" t="s">
        <v>230</v>
      </c>
      <c r="AZ1" s="2" t="s">
        <v>332</v>
      </c>
      <c r="BA1" s="2" t="s">
        <v>425</v>
      </c>
      <c r="BB1" s="2" t="s">
        <v>333</v>
      </c>
      <c r="BC1" s="2" t="s">
        <v>147</v>
      </c>
      <c r="BD1" s="2" t="s">
        <v>22</v>
      </c>
      <c r="BE1" s="2" t="s">
        <v>444</v>
      </c>
      <c r="BF1" s="2" t="s">
        <v>162</v>
      </c>
      <c r="BG1" s="2" t="s">
        <v>163</v>
      </c>
      <c r="BH1" s="2" t="s">
        <v>1</v>
      </c>
      <c r="BI1" s="2" t="s">
        <v>2</v>
      </c>
      <c r="BJ1" s="2" t="s">
        <v>59</v>
      </c>
      <c r="BK1" s="2" t="s">
        <v>1089</v>
      </c>
      <c r="BL1" s="2" t="s">
        <v>236</v>
      </c>
      <c r="BM1" s="2" t="s">
        <v>117</v>
      </c>
      <c r="BN1" s="2" t="s">
        <v>60</v>
      </c>
      <c r="BO1" s="2" t="s">
        <v>61</v>
      </c>
      <c r="BP1" s="2" t="s">
        <v>98</v>
      </c>
      <c r="BQ1" s="2" t="s">
        <v>5</v>
      </c>
      <c r="BR1" s="2" t="s">
        <v>6</v>
      </c>
      <c r="BS1" s="2" t="s">
        <v>17</v>
      </c>
      <c r="BT1" s="2" t="s">
        <v>18</v>
      </c>
      <c r="BU1" s="2" t="s">
        <v>7</v>
      </c>
      <c r="BV1" s="2" t="s">
        <v>19</v>
      </c>
      <c r="BW1" s="2" t="s">
        <v>20</v>
      </c>
      <c r="BX1" s="2" t="s">
        <v>21</v>
      </c>
      <c r="BY1" s="2" t="s">
        <v>148</v>
      </c>
      <c r="BZ1" s="2" t="s">
        <v>23</v>
      </c>
      <c r="CA1" s="2" t="s">
        <v>445</v>
      </c>
      <c r="CB1" s="2" t="s">
        <v>51</v>
      </c>
    </row>
    <row r="2" spans="1:80" x14ac:dyDescent="0.2">
      <c r="A2" s="1" t="s">
        <v>412</v>
      </c>
      <c r="B2" s="1" t="s">
        <v>129</v>
      </c>
      <c r="C2" s="1">
        <v>2013</v>
      </c>
      <c r="D2" s="1">
        <v>1</v>
      </c>
      <c r="E2" s="1">
        <v>1</v>
      </c>
      <c r="F2" s="1">
        <v>0</v>
      </c>
      <c r="G2" s="1">
        <v>25</v>
      </c>
      <c r="H2" s="1">
        <v>1060</v>
      </c>
      <c r="K2" s="1">
        <v>1400</v>
      </c>
      <c r="N2" s="1">
        <v>29</v>
      </c>
      <c r="S2" s="18"/>
      <c r="V2" s="10">
        <v>7790</v>
      </c>
      <c r="W2" s="10">
        <v>8760</v>
      </c>
      <c r="X2" s="8">
        <f>Tabelle58971116[[#This Row],[Vollbenutzungsstunden h/a]]/8760</f>
        <v>0.88926940639269403</v>
      </c>
      <c r="Y2" s="8">
        <f>Tabelle58971116[[#This Row],[Vollbenutzungsstunden h/a]]/Tabelle58971116[[#This Row],[Betriebsstunden p.a.]]</f>
        <v>0.88926940639269403</v>
      </c>
      <c r="Z2" s="18"/>
      <c r="AD2" s="1">
        <f>5/3600</f>
        <v>1.3888888888888889E-3</v>
      </c>
      <c r="AE2" s="1">
        <v>1</v>
      </c>
      <c r="AF2" s="1">
        <f>30/3600</f>
        <v>8.3333333333333332E-3</v>
      </c>
      <c r="AG2" s="1">
        <f>20/60</f>
        <v>0.33333333333333331</v>
      </c>
      <c r="AH2" s="1">
        <v>16</v>
      </c>
      <c r="AI2" s="1">
        <v>3</v>
      </c>
      <c r="AS2" s="1">
        <f>AVERAGE(119, 354)</f>
        <v>236.5</v>
      </c>
      <c r="AT2" s="7">
        <f>370/10^3*Umrechnungsfaktoren!$B$15/Umrechnungsfaktoren!$B$12</f>
        <v>0.38406000000000001</v>
      </c>
      <c r="AU2" s="7">
        <f>20833/10^3*Umrechnungsfaktoren!$B$15/Umrechnungsfaktoren!$B$12</f>
        <v>21.624654</v>
      </c>
      <c r="AV2" s="7">
        <f>7697/10^3*Umrechnungsfaktoren!$B$15/Umrechnungsfaktoren!$B$12</f>
        <v>7.9894860000000003</v>
      </c>
      <c r="AW2" s="7">
        <f>0*Umrechnungsfaktoren!$B$15/Umrechnungsfaktoren!$B$12</f>
        <v>0</v>
      </c>
      <c r="AX2" s="7">
        <f>350*Umrechnungsfaktoren!$B$15/Umrechnungsfaktoren!$B$12</f>
        <v>363.3</v>
      </c>
      <c r="AY2" s="7"/>
      <c r="AZ2" s="7">
        <f>0/10^3*Umrechnungsfaktoren!$B$15/Umrechnungsfaktoren!$B$12</f>
        <v>0</v>
      </c>
      <c r="BA2" s="7">
        <f>6250/10^3*Umrechnungsfaktoren!$B$15/Umrechnungsfaktoren!$B$12</f>
        <v>6.4874999999999998</v>
      </c>
      <c r="BB2" s="7">
        <f>2025/10^3*Umrechnungsfaktoren!$B$15/Umrechnungsfaktoren!$B$12</f>
        <v>2.10195</v>
      </c>
      <c r="BD2" s="1" t="s">
        <v>439</v>
      </c>
      <c r="BF2" s="1">
        <v>100</v>
      </c>
      <c r="BG2" s="1">
        <v>100</v>
      </c>
      <c r="BH2" s="1" t="s">
        <v>443</v>
      </c>
      <c r="BI2" s="1" t="s">
        <v>443</v>
      </c>
      <c r="BL2" s="1" t="s">
        <v>413</v>
      </c>
      <c r="BP2" s="1">
        <v>146</v>
      </c>
      <c r="BQ2" s="1" t="s">
        <v>440</v>
      </c>
      <c r="BU2" s="1" t="s">
        <v>441</v>
      </c>
      <c r="BW2" s="1" t="s">
        <v>442</v>
      </c>
      <c r="BX2" s="1">
        <v>148</v>
      </c>
      <c r="BY2" s="1">
        <v>148</v>
      </c>
      <c r="BZ2" s="1">
        <v>145</v>
      </c>
    </row>
    <row r="3" spans="1:80" x14ac:dyDescent="0.2">
      <c r="A3" s="1" t="s">
        <v>29</v>
      </c>
      <c r="B3" s="1" t="s">
        <v>129</v>
      </c>
      <c r="C3" s="1">
        <v>2013</v>
      </c>
      <c r="D3" s="1">
        <v>1</v>
      </c>
      <c r="E3" s="1">
        <v>1</v>
      </c>
      <c r="F3" s="1">
        <v>0</v>
      </c>
      <c r="G3" s="1">
        <v>100</v>
      </c>
      <c r="H3" s="1">
        <v>500</v>
      </c>
      <c r="I3" s="18"/>
      <c r="J3" s="18"/>
      <c r="K3" s="18">
        <v>530</v>
      </c>
      <c r="L3" s="18"/>
      <c r="M3" s="18"/>
      <c r="N3" s="18"/>
      <c r="O3" s="18"/>
      <c r="P3" s="18">
        <v>100</v>
      </c>
      <c r="Q3" s="18"/>
      <c r="R3" s="18"/>
      <c r="S3" s="18">
        <f>Tabelle58971116[[#This Row],[Mindestauslastung]]*Tabelle58971116[[#This Row],[installierte Leistung MW]]</f>
        <v>513.75</v>
      </c>
      <c r="T3" s="8">
        <f>(25%+50%)/2</f>
        <v>0.375</v>
      </c>
      <c r="U3" s="8"/>
      <c r="V3" s="48">
        <v>7520</v>
      </c>
      <c r="W3" s="48">
        <v>8580</v>
      </c>
      <c r="X3" s="8">
        <f>Tabelle58971116[[#This Row],[Vollbenutzungsstunden h/a]]/8760</f>
        <v>0.85844748858447484</v>
      </c>
      <c r="Y3" s="8">
        <f>Tabelle58971116[[#This Row],[Vollbenutzungsstunden h/a]]/Tabelle58971116[[#This Row],[Betriebsstunden p.a.]]</f>
        <v>0.87645687645687642</v>
      </c>
      <c r="Z3" s="19">
        <f>Tabelle58971116[[#This Row],[Durchschnittsauslastung]]*Tabelle58971116[[#This Row],[installierte Leistung MW]]</f>
        <v>1200.7459207459208</v>
      </c>
      <c r="AA3" s="18"/>
      <c r="AB3" s="8"/>
      <c r="AC3" s="18">
        <v>1370</v>
      </c>
      <c r="AD3" s="18">
        <f>5/3600</f>
        <v>1.3888888888888889E-3</v>
      </c>
      <c r="AE3" s="18">
        <v>1</v>
      </c>
      <c r="AF3" s="1">
        <v>0.25</v>
      </c>
      <c r="AG3" s="1">
        <v>1</v>
      </c>
      <c r="AH3" s="1">
        <v>5</v>
      </c>
      <c r="AS3" s="1">
        <v>3361</v>
      </c>
      <c r="AT3" s="7">
        <f>50/10^3*Umrechnungsfaktoren!$B$15/Umrechnungsfaktoren!$B$12</f>
        <v>5.1900000000000002E-2</v>
      </c>
      <c r="AU3" s="7">
        <f>769/10^3*Umrechnungsfaktoren!$B$15/Umrechnungsfaktoren!$B$12</f>
        <v>0.79822199999999999</v>
      </c>
      <c r="AV3" s="18">
        <f>232/10^3*Umrechnungsfaktoren!$B$15/Umrechnungsfaktoren!$B$12</f>
        <v>0.240816</v>
      </c>
      <c r="AW3" s="7">
        <f>48*Umrechnungsfaktoren!$B$15/Umrechnungsfaktoren!$B$12</f>
        <v>49.823999999999998</v>
      </c>
      <c r="AX3" s="7">
        <f>316*Umrechnungsfaktoren!$B$15/Umrechnungsfaktoren!$B$12</f>
        <v>328.00799999999998</v>
      </c>
      <c r="AY3" s="7"/>
      <c r="AZ3" s="7">
        <f>0/10^3*Umrechnungsfaktoren!$B$15/Umrechnungsfaktoren!$B$12</f>
        <v>0</v>
      </c>
      <c r="BA3" s="7">
        <f>625/10^3*Umrechnungsfaktoren!$B$15/Umrechnungsfaktoren!$B$12</f>
        <v>0.64875000000000005</v>
      </c>
      <c r="BB3" s="7">
        <f>104/10^3*Umrechnungsfaktoren!$B$15/Umrechnungsfaktoren!$B$12</f>
        <v>0.10795199999999999</v>
      </c>
      <c r="BD3" s="1" t="s">
        <v>427</v>
      </c>
      <c r="BE3" s="1" t="s">
        <v>447</v>
      </c>
      <c r="BF3" s="1">
        <v>100</v>
      </c>
      <c r="BG3" s="1">
        <v>100</v>
      </c>
      <c r="BH3" s="12">
        <v>123</v>
      </c>
      <c r="BI3" s="1">
        <v>123</v>
      </c>
      <c r="BJ3" s="12" t="s">
        <v>421</v>
      </c>
      <c r="BK3" s="12"/>
      <c r="BL3" s="1" t="s">
        <v>413</v>
      </c>
      <c r="BM3" s="12" t="s">
        <v>428</v>
      </c>
      <c r="BO3" s="12">
        <v>124</v>
      </c>
      <c r="BP3" s="12"/>
      <c r="BQ3" s="1">
        <v>120</v>
      </c>
      <c r="BU3" s="1" t="s">
        <v>426</v>
      </c>
      <c r="BV3" s="1" t="s">
        <v>424</v>
      </c>
      <c r="BW3" s="1" t="s">
        <v>424</v>
      </c>
      <c r="BX3" s="1" t="s">
        <v>424</v>
      </c>
      <c r="CA3" s="1" t="s">
        <v>449</v>
      </c>
    </row>
    <row r="4" spans="1:80" x14ac:dyDescent="0.2">
      <c r="A4" s="1" t="s">
        <v>188</v>
      </c>
      <c r="B4" s="1" t="s">
        <v>129</v>
      </c>
      <c r="C4" s="1">
        <v>2013</v>
      </c>
      <c r="D4" s="1">
        <v>1</v>
      </c>
      <c r="E4" s="1">
        <v>1</v>
      </c>
      <c r="F4" s="1">
        <v>0</v>
      </c>
      <c r="G4" s="1">
        <v>200</v>
      </c>
      <c r="H4" s="1">
        <v>1100</v>
      </c>
      <c r="I4" s="18"/>
      <c r="J4" s="18"/>
      <c r="K4" s="18">
        <v>2600</v>
      </c>
      <c r="L4" s="18"/>
      <c r="M4" s="18"/>
      <c r="N4" s="18"/>
      <c r="O4" s="18"/>
      <c r="P4" s="18">
        <v>200</v>
      </c>
      <c r="Q4" s="18"/>
      <c r="R4" s="18"/>
      <c r="S4" s="18"/>
      <c r="T4" s="8">
        <v>0.7</v>
      </c>
      <c r="U4" s="8"/>
      <c r="V4" s="48">
        <v>7110</v>
      </c>
      <c r="W4" s="48">
        <v>8510</v>
      </c>
      <c r="X4" s="8">
        <f>Tabelle58971116[[#This Row],[Vollbenutzungsstunden h/a]]/8760</f>
        <v>0.81164383561643838</v>
      </c>
      <c r="Y4" s="8">
        <f>Tabelle58971116[[#This Row],[Vollbenutzungsstunden h/a]]/Tabelle58971116[[#This Row],[Betriebsstunden p.a.]]</f>
        <v>0.83548766157461807</v>
      </c>
      <c r="Z4" s="19"/>
      <c r="AA4" s="18"/>
      <c r="AB4" s="8"/>
      <c r="AC4" s="18"/>
      <c r="AD4" s="29">
        <v>0.25</v>
      </c>
      <c r="AE4" s="18">
        <v>1</v>
      </c>
      <c r="AF4" s="1">
        <v>0.5</v>
      </c>
      <c r="AI4" s="1">
        <v>5</v>
      </c>
      <c r="AJ4" s="1">
        <v>4</v>
      </c>
      <c r="AK4" s="1">
        <v>8</v>
      </c>
      <c r="AL4" s="1">
        <v>6</v>
      </c>
      <c r="AS4" s="1">
        <v>513</v>
      </c>
      <c r="AT4" s="18">
        <v>0</v>
      </c>
      <c r="AU4" s="18">
        <f>10101/10^3*Umrechnungsfaktoren!$B$15/Umrechnungsfaktoren!$B$12</f>
        <v>10.484838000000002</v>
      </c>
      <c r="AV4" s="18">
        <f>4387/10^3*Umrechnungsfaktoren!$B$15/Umrechnungsfaktoren!$B$12</f>
        <v>4.5537059999999991</v>
      </c>
      <c r="AW4" s="7">
        <v>0</v>
      </c>
      <c r="AX4" s="7">
        <f>2000*Umrechnungsfaktoren!$B$15/Umrechnungsfaktoren!$B$12</f>
        <v>2076</v>
      </c>
      <c r="AY4" s="7"/>
      <c r="AZ4" s="7">
        <f>0/10^3*Umrechnungsfaktoren!$B$15/Umrechnungsfaktoren!$B$12</f>
        <v>0</v>
      </c>
      <c r="BA4" s="7">
        <f>869/10^3*Umrechnungsfaktoren!$B$15/Umrechnungsfaktoren!$B$12</f>
        <v>0.90202199999999999</v>
      </c>
      <c r="BB4" s="7"/>
      <c r="BD4" s="1" t="s">
        <v>422</v>
      </c>
      <c r="BE4" s="1" t="s">
        <v>446</v>
      </c>
      <c r="BF4" s="1">
        <v>100</v>
      </c>
      <c r="BG4" s="1">
        <v>100</v>
      </c>
      <c r="BH4" s="12" t="s">
        <v>420</v>
      </c>
      <c r="BI4" s="1">
        <v>112</v>
      </c>
      <c r="BJ4" s="12">
        <v>104</v>
      </c>
      <c r="BK4" s="12"/>
      <c r="BL4" s="1" t="s">
        <v>413</v>
      </c>
      <c r="BM4" s="12"/>
      <c r="BO4" s="12"/>
      <c r="BP4" s="12">
        <v>106</v>
      </c>
      <c r="BQ4" s="1" t="s">
        <v>415</v>
      </c>
      <c r="BU4" s="1">
        <v>107</v>
      </c>
      <c r="BV4" s="1">
        <v>107</v>
      </c>
      <c r="BW4" s="1">
        <v>108</v>
      </c>
      <c r="BX4" s="1">
        <v>108</v>
      </c>
      <c r="BZ4" s="1">
        <v>109</v>
      </c>
      <c r="CA4" s="1">
        <v>175</v>
      </c>
    </row>
    <row r="5" spans="1:80" x14ac:dyDescent="0.2">
      <c r="A5" s="1" t="s">
        <v>84</v>
      </c>
      <c r="B5" s="1" t="s">
        <v>129</v>
      </c>
      <c r="C5" s="1">
        <v>2013</v>
      </c>
      <c r="D5" s="23">
        <v>1</v>
      </c>
      <c r="E5" s="23">
        <v>1</v>
      </c>
      <c r="F5" s="1">
        <v>0</v>
      </c>
      <c r="G5" s="23">
        <v>344</v>
      </c>
      <c r="H5" s="23">
        <v>589</v>
      </c>
      <c r="I5" s="24"/>
      <c r="J5" s="24"/>
      <c r="K5" s="24">
        <v>1450</v>
      </c>
      <c r="L5" s="24"/>
      <c r="M5" s="24"/>
      <c r="N5" s="24"/>
      <c r="O5" s="24"/>
      <c r="P5" s="24">
        <v>25</v>
      </c>
      <c r="Q5" s="24"/>
      <c r="R5" s="24"/>
      <c r="S5" s="24"/>
      <c r="T5" s="25"/>
      <c r="U5" s="26"/>
      <c r="V5" s="49">
        <v>4120</v>
      </c>
      <c r="W5" s="49">
        <v>6080</v>
      </c>
      <c r="X5" s="8">
        <f>Tabelle58971116[[#This Row],[Vollbenutzungsstunden h/a]]/8760</f>
        <v>0.47031963470319632</v>
      </c>
      <c r="Y5" s="8">
        <f>Tabelle58971116[[#This Row],[Vollbenutzungsstunden h/a]]/Tabelle58971116[[#This Row],[Betriebsstunden p.a.]]</f>
        <v>0.67763157894736847</v>
      </c>
      <c r="Z5" s="18"/>
      <c r="AD5" s="1">
        <f>0.5/3600</f>
        <v>1.3888888888888889E-4</v>
      </c>
      <c r="AE5" s="1">
        <v>1</v>
      </c>
      <c r="AG5" s="1">
        <v>0</v>
      </c>
      <c r="AH5" s="1">
        <v>7</v>
      </c>
      <c r="AI5" s="1">
        <v>3</v>
      </c>
      <c r="AS5" s="1">
        <v>156</v>
      </c>
      <c r="AT5" s="18">
        <f>167/10^3*Umrechnungsfaktoren!$B$15/Umrechnungsfaktoren!$B$12</f>
        <v>0.173346</v>
      </c>
      <c r="AU5" s="18">
        <f>1071/10^3*Umrechnungsfaktoren!$B$15/Umrechnungsfaktoren!$B$12</f>
        <v>1.1116979999999999</v>
      </c>
      <c r="AV5" s="18">
        <f>619/10^3*Umrechnungsfaktoren!$B$15/Umrechnungsfaktoren!$B$12</f>
        <v>0.64252200000000004</v>
      </c>
      <c r="AW5" s="1">
        <v>0</v>
      </c>
      <c r="AX5" s="7"/>
      <c r="AY5" s="7"/>
      <c r="AZ5" s="7">
        <f>0/10^3*Umrechnungsfaktoren!$B$15/Umrechnungsfaktoren!$B$12</f>
        <v>0</v>
      </c>
      <c r="BA5" s="7">
        <f>5500/10^3*Umrechnungsfaktoren!$B$15/Umrechnungsfaktoren!$B$12</f>
        <v>5.7089999999999996</v>
      </c>
      <c r="BB5" s="7">
        <f>2750/10^3*Umrechnungsfaktoren!$B$15/Umrechnungsfaktoren!$B$12</f>
        <v>2.8544999999999998</v>
      </c>
      <c r="BD5" s="1" t="s">
        <v>430</v>
      </c>
      <c r="BE5" s="1" t="s">
        <v>448</v>
      </c>
      <c r="BF5" s="1">
        <v>100</v>
      </c>
      <c r="BG5" s="1">
        <v>100</v>
      </c>
      <c r="BH5" s="1" t="s">
        <v>431</v>
      </c>
      <c r="BI5" s="1" t="s">
        <v>431</v>
      </c>
      <c r="BL5" s="1" t="s">
        <v>413</v>
      </c>
      <c r="BQ5" s="1" t="s">
        <v>429</v>
      </c>
      <c r="BR5" s="23"/>
      <c r="BS5" s="23"/>
      <c r="BT5" s="23"/>
      <c r="BU5" s="23">
        <v>129</v>
      </c>
      <c r="BV5" s="23">
        <v>130</v>
      </c>
      <c r="BW5" s="23">
        <v>130</v>
      </c>
      <c r="BX5" s="23">
        <v>130</v>
      </c>
      <c r="BY5" s="23"/>
      <c r="BZ5" s="23"/>
      <c r="CA5" s="23">
        <v>176</v>
      </c>
      <c r="CB5" s="23"/>
    </row>
    <row r="6" spans="1:80" x14ac:dyDescent="0.2">
      <c r="A6" s="1" t="s">
        <v>411</v>
      </c>
      <c r="B6" s="1" t="s">
        <v>129</v>
      </c>
      <c r="C6" s="1">
        <v>2013</v>
      </c>
      <c r="D6" s="23">
        <v>1</v>
      </c>
      <c r="E6" s="23">
        <v>1</v>
      </c>
      <c r="F6" s="1">
        <v>0</v>
      </c>
      <c r="G6" s="23">
        <v>1.4</v>
      </c>
      <c r="H6" s="23">
        <v>22</v>
      </c>
      <c r="I6" s="24"/>
      <c r="J6" s="24"/>
      <c r="K6" s="24">
        <v>419</v>
      </c>
      <c r="L6" s="24"/>
      <c r="M6" s="24"/>
      <c r="N6" s="24">
        <v>0</v>
      </c>
      <c r="O6" s="24">
        <v>11</v>
      </c>
      <c r="P6" s="24"/>
      <c r="Q6" s="24"/>
      <c r="R6" s="24"/>
      <c r="S6" s="24"/>
      <c r="T6" s="25"/>
      <c r="U6" s="26"/>
      <c r="V6" s="49">
        <v>6490</v>
      </c>
      <c r="W6" s="49">
        <v>7850</v>
      </c>
      <c r="X6" s="8">
        <f>Tabelle58971116[[#This Row],[Vollbenutzungsstunden h/a]]/8760</f>
        <v>0.7408675799086758</v>
      </c>
      <c r="Y6" s="8">
        <f>Tabelle58971116[[#This Row],[Vollbenutzungsstunden h/a]]/Tabelle58971116[[#This Row],[Betriebsstunden p.a.]]</f>
        <v>0.82675159235668794</v>
      </c>
      <c r="Z6" s="25">
        <f>Tabelle58971116[[#This Row],[Durchschnittsauslastung]]*Tabelle58971116[[#This Row],[installierte Leistung MW]]</f>
        <v>636.59872611464971</v>
      </c>
      <c r="AA6" s="24"/>
      <c r="AB6" s="26"/>
      <c r="AC6" s="24">
        <v>770</v>
      </c>
      <c r="AD6" s="24">
        <f>5/60</f>
        <v>8.3333333333333329E-2</v>
      </c>
      <c r="AE6" s="24">
        <f>0.25</f>
        <v>0.25</v>
      </c>
      <c r="AF6" s="23"/>
      <c r="AG6" s="23"/>
      <c r="AH6" s="23"/>
      <c r="AI6" s="23">
        <v>6</v>
      </c>
      <c r="AJ6" s="23">
        <v>12</v>
      </c>
      <c r="AK6" s="23">
        <v>20</v>
      </c>
      <c r="AL6" s="23"/>
      <c r="AM6" s="23"/>
      <c r="AN6" s="23"/>
      <c r="AO6" s="23"/>
      <c r="AP6" s="23"/>
      <c r="AQ6" s="1" t="s">
        <v>435</v>
      </c>
      <c r="AR6" s="23"/>
      <c r="AS6" s="23">
        <f>AVERAGE(1492,580,91)</f>
        <v>721</v>
      </c>
      <c r="AT6" s="18">
        <f>0/10^3*Umrechnungsfaktoren!$B$15/Umrechnungsfaktoren!$B$12</f>
        <v>0</v>
      </c>
      <c r="AU6" s="18">
        <f>12500/10^3*Umrechnungsfaktoren!$B$15/Umrechnungsfaktoren!$B$12</f>
        <v>12.975</v>
      </c>
      <c r="AV6" s="18">
        <f>1505/10^3*Umrechnungsfaktoren!$B$15/Umrechnungsfaktoren!$B$12</f>
        <v>1.56219</v>
      </c>
      <c r="AW6" s="7">
        <f>6*Umrechnungsfaktoren!$B$15/Umrechnungsfaktoren!$B$12</f>
        <v>6.2279999999999998</v>
      </c>
      <c r="AX6" s="27"/>
      <c r="AY6" s="27"/>
      <c r="AZ6" s="18">
        <f>0/10^3*Umrechnungsfaktoren!$B$15/Umrechnungsfaktoren!$B$12</f>
        <v>0</v>
      </c>
      <c r="BA6" s="18">
        <f>22989/10^3*Umrechnungsfaktoren!$B$15/Umrechnungsfaktoren!$B$12</f>
        <v>23.862582</v>
      </c>
      <c r="BB6" s="18">
        <f>19157/10^3*Umrechnungsfaktoren!$B$15/Umrechnungsfaktoren!$B$12</f>
        <v>19.884965999999999</v>
      </c>
      <c r="BC6" s="23"/>
      <c r="BD6" s="1" t="s">
        <v>436</v>
      </c>
      <c r="BE6" s="1" t="s">
        <v>450</v>
      </c>
      <c r="BF6" s="1">
        <v>100</v>
      </c>
      <c r="BG6" s="1">
        <v>100</v>
      </c>
      <c r="BH6" s="12" t="s">
        <v>434</v>
      </c>
      <c r="BI6" s="23">
        <v>143</v>
      </c>
      <c r="BJ6" s="28"/>
      <c r="BK6" s="28"/>
      <c r="BL6" s="1" t="s">
        <v>413</v>
      </c>
      <c r="BM6" s="28"/>
      <c r="BN6" s="23"/>
      <c r="BO6" s="28"/>
      <c r="BP6" s="28">
        <v>137</v>
      </c>
      <c r="BQ6" s="1" t="s">
        <v>432</v>
      </c>
      <c r="BR6" s="23"/>
      <c r="BS6" s="23"/>
      <c r="BT6" s="1" t="s">
        <v>433</v>
      </c>
      <c r="BU6" s="23">
        <v>138</v>
      </c>
      <c r="BV6" s="23">
        <v>139</v>
      </c>
      <c r="BW6" s="23">
        <v>139</v>
      </c>
      <c r="BX6" s="23">
        <v>139</v>
      </c>
      <c r="BY6" s="23"/>
      <c r="BZ6" s="1" t="s">
        <v>437</v>
      </c>
      <c r="CA6" s="1">
        <v>176</v>
      </c>
      <c r="CB6" s="1" t="s">
        <v>438</v>
      </c>
    </row>
    <row r="7" spans="1:80" x14ac:dyDescent="0.2"/>
    <row r="8" spans="1:80" x14ac:dyDescent="0.2">
      <c r="A8" s="3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D00-000001000000}">
          <x14:formula1>
            <xm:f>Dropdown!$A$2:$A$91</xm:f>
          </x14:formula1>
          <xm:sqref>A2:A6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8"/>
  <dimension ref="A1:BQ7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3" width="24.5703125" style="1" customWidth="1"/>
    <col min="14" max="14" width="24.42578125" style="1" bestFit="1" customWidth="1"/>
    <col min="15" max="19" width="24.42578125" style="1" customWidth="1"/>
    <col min="20" max="20" width="37.7109375" style="1" bestFit="1" customWidth="1"/>
    <col min="21" max="22" width="24.7109375" style="1" customWidth="1"/>
    <col min="23" max="23" width="28.42578125" style="1" customWidth="1"/>
    <col min="24" max="24" width="27.42578125" style="1" bestFit="1" customWidth="1"/>
    <col min="25" max="26" width="27.42578125" style="1" customWidth="1"/>
    <col min="27" max="27" width="20.7109375" style="1" bestFit="1" customWidth="1"/>
    <col min="28" max="32" width="20.7109375" style="1" customWidth="1"/>
    <col min="33" max="33" width="25.85546875" style="1" bestFit="1" customWidth="1"/>
    <col min="34" max="34" width="29.7109375" style="1" bestFit="1" customWidth="1"/>
    <col min="35" max="35" width="24" style="1" bestFit="1" customWidth="1"/>
    <col min="36" max="36" width="38.28515625" style="1" bestFit="1" customWidth="1"/>
    <col min="37" max="39" width="38.28515625" style="1" customWidth="1"/>
    <col min="40" max="40" width="38.28515625" style="1" bestFit="1" customWidth="1"/>
    <col min="41" max="42" width="38.28515625" style="1" customWidth="1"/>
    <col min="43" max="43" width="33.42578125" style="1" bestFit="1" customWidth="1"/>
    <col min="44" max="44" width="33.42578125" style="1" customWidth="1"/>
    <col min="45" max="45" width="25.7109375" style="1" bestFit="1" customWidth="1"/>
    <col min="46" max="46" width="25.7109375" style="1" customWidth="1"/>
    <col min="47" max="47" width="56.7109375" style="1" bestFit="1" customWidth="1"/>
    <col min="48" max="49" width="35.5703125" style="1" customWidth="1"/>
    <col min="50" max="50" width="31.7109375" style="1" bestFit="1" customWidth="1"/>
    <col min="51" max="51" width="31.5703125" style="1" bestFit="1" customWidth="1"/>
    <col min="52" max="56" width="31.5703125" style="1" customWidth="1"/>
    <col min="57" max="57" width="37.42578125" style="1" bestFit="1" customWidth="1"/>
    <col min="58" max="58" width="35.7109375" style="1" bestFit="1" customWidth="1"/>
    <col min="59" max="59" width="28.85546875" style="1" bestFit="1" customWidth="1"/>
    <col min="60" max="60" width="34" style="1" bestFit="1" customWidth="1"/>
    <col min="61" max="61" width="37.85546875" style="1" bestFit="1" customWidth="1"/>
    <col min="62" max="62" width="34.42578125" style="1" bestFit="1" customWidth="1"/>
    <col min="63" max="63" width="38.140625" style="1" bestFit="1" customWidth="1"/>
    <col min="64" max="64" width="22.85546875" style="1" bestFit="1" customWidth="1"/>
    <col min="65" max="65" width="28.5703125" style="1" bestFit="1" customWidth="1"/>
    <col min="66" max="66" width="28.28515625" style="1" bestFit="1" customWidth="1"/>
    <col min="67" max="67" width="28.28515625" style="1" customWidth="1"/>
    <col min="68" max="68" width="31" style="1" bestFit="1" customWidth="1"/>
    <col min="69" max="69" width="28.85546875" style="1" bestFit="1" customWidth="1"/>
    <col min="70" max="16384" width="11.42578125" style="1"/>
  </cols>
  <sheetData>
    <row r="1" spans="1:69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771</v>
      </c>
      <c r="H1" s="2" t="s">
        <v>49</v>
      </c>
      <c r="I1" s="2" t="s">
        <v>149</v>
      </c>
      <c r="J1" s="2" t="s">
        <v>50</v>
      </c>
      <c r="K1" s="2" t="s">
        <v>97</v>
      </c>
      <c r="L1" s="2" t="s">
        <v>154</v>
      </c>
      <c r="M1" s="2" t="s">
        <v>156</v>
      </c>
      <c r="N1" s="2" t="s">
        <v>155</v>
      </c>
      <c r="O1" s="2" t="s">
        <v>56</v>
      </c>
      <c r="P1" s="2" t="s">
        <v>55</v>
      </c>
      <c r="Q1" s="2" t="s">
        <v>87</v>
      </c>
      <c r="R1" s="2" t="s">
        <v>330</v>
      </c>
      <c r="S1" s="2" t="s">
        <v>235</v>
      </c>
      <c r="T1" s="2" t="s">
        <v>116</v>
      </c>
      <c r="U1" s="2" t="s">
        <v>57</v>
      </c>
      <c r="V1" s="2" t="s">
        <v>123</v>
      </c>
      <c r="W1" s="2" t="s">
        <v>58</v>
      </c>
      <c r="X1" s="2" t="s">
        <v>9</v>
      </c>
      <c r="Y1" s="2" t="s">
        <v>423</v>
      </c>
      <c r="Z1" s="2" t="s">
        <v>225</v>
      </c>
      <c r="AA1" s="2" t="s">
        <v>157</v>
      </c>
      <c r="AB1" s="2" t="s">
        <v>227</v>
      </c>
      <c r="AC1" s="2" t="s">
        <v>228</v>
      </c>
      <c r="AD1" s="2" t="s">
        <v>158</v>
      </c>
      <c r="AE1" s="2" t="s">
        <v>214</v>
      </c>
      <c r="AF1" s="2" t="s">
        <v>215</v>
      </c>
      <c r="AG1" s="2" t="s">
        <v>3</v>
      </c>
      <c r="AH1" s="2" t="s">
        <v>10</v>
      </c>
      <c r="AI1" s="2" t="s">
        <v>16</v>
      </c>
      <c r="AJ1" s="2" t="s">
        <v>4</v>
      </c>
      <c r="AK1" s="2" t="s">
        <v>99</v>
      </c>
      <c r="AL1" s="2" t="s">
        <v>183</v>
      </c>
      <c r="AM1" s="2" t="s">
        <v>182</v>
      </c>
      <c r="AN1" s="2" t="s">
        <v>12</v>
      </c>
      <c r="AO1" s="2" t="s">
        <v>231</v>
      </c>
      <c r="AP1" s="2" t="s">
        <v>232</v>
      </c>
      <c r="AQ1" s="2" t="s">
        <v>230</v>
      </c>
      <c r="AR1" s="2" t="s">
        <v>332</v>
      </c>
      <c r="AS1" s="2" t="s">
        <v>333</v>
      </c>
      <c r="AT1" s="2" t="s">
        <v>147</v>
      </c>
      <c r="AU1" s="2" t="s">
        <v>22</v>
      </c>
      <c r="AV1" s="2" t="s">
        <v>162</v>
      </c>
      <c r="AW1" s="2" t="s">
        <v>163</v>
      </c>
      <c r="AX1" s="2" t="s">
        <v>1</v>
      </c>
      <c r="AY1" s="2" t="s">
        <v>2</v>
      </c>
      <c r="AZ1" s="2" t="s">
        <v>59</v>
      </c>
      <c r="BA1" s="2" t="s">
        <v>1089</v>
      </c>
      <c r="BB1" s="2" t="s">
        <v>236</v>
      </c>
      <c r="BC1" s="2" t="s">
        <v>117</v>
      </c>
      <c r="BD1" s="2" t="s">
        <v>60</v>
      </c>
      <c r="BE1" s="2" t="s">
        <v>61</v>
      </c>
      <c r="BF1" s="2" t="s">
        <v>98</v>
      </c>
      <c r="BG1" s="2" t="s">
        <v>5</v>
      </c>
      <c r="BH1" s="2" t="s">
        <v>6</v>
      </c>
      <c r="BI1" s="2" t="s">
        <v>17</v>
      </c>
      <c r="BJ1" s="2" t="s">
        <v>18</v>
      </c>
      <c r="BK1" s="2" t="s">
        <v>7</v>
      </c>
      <c r="BL1" s="2" t="s">
        <v>19</v>
      </c>
      <c r="BM1" s="2" t="s">
        <v>20</v>
      </c>
      <c r="BN1" s="2" t="s">
        <v>21</v>
      </c>
      <c r="BO1" s="2" t="s">
        <v>148</v>
      </c>
      <c r="BP1" s="2" t="s">
        <v>23</v>
      </c>
      <c r="BQ1" s="2" t="s">
        <v>51</v>
      </c>
    </row>
    <row r="2" spans="1:69" x14ac:dyDescent="0.2">
      <c r="A2" s="1" t="s">
        <v>767</v>
      </c>
      <c r="B2" s="1" t="s">
        <v>142</v>
      </c>
      <c r="C2" s="1">
        <v>2020</v>
      </c>
      <c r="D2" s="1">
        <v>1</v>
      </c>
      <c r="E2" s="1">
        <v>0</v>
      </c>
      <c r="F2" s="1">
        <v>0</v>
      </c>
      <c r="H2" s="1">
        <v>0</v>
      </c>
      <c r="J2" s="1">
        <f>75+43</f>
        <v>118</v>
      </c>
      <c r="L2" s="1">
        <f>44+29</f>
        <v>73</v>
      </c>
      <c r="N2" s="1">
        <f>197+190</f>
        <v>387</v>
      </c>
      <c r="AV2" s="1">
        <v>15</v>
      </c>
      <c r="AX2" s="1">
        <v>19</v>
      </c>
      <c r="AY2" s="1">
        <v>19</v>
      </c>
    </row>
    <row r="3" spans="1:69" x14ac:dyDescent="0.2">
      <c r="A3" s="1" t="s">
        <v>767</v>
      </c>
      <c r="B3" s="1" t="s">
        <v>142</v>
      </c>
      <c r="C3" s="1">
        <v>2030</v>
      </c>
      <c r="D3" s="1">
        <v>1</v>
      </c>
      <c r="E3" s="1">
        <v>0</v>
      </c>
      <c r="F3" s="1">
        <v>0</v>
      </c>
      <c r="H3" s="1">
        <v>5</v>
      </c>
      <c r="J3" s="1">
        <f>316+551</f>
        <v>867</v>
      </c>
      <c r="L3" s="1">
        <f>109+44</f>
        <v>153</v>
      </c>
      <c r="N3" s="1">
        <f>205+195</f>
        <v>400</v>
      </c>
      <c r="AV3" s="1">
        <v>15</v>
      </c>
      <c r="AX3" s="1">
        <v>19</v>
      </c>
      <c r="AY3" s="1">
        <v>19</v>
      </c>
    </row>
    <row r="4" spans="1:69" x14ac:dyDescent="0.2">
      <c r="A4" s="1" t="s">
        <v>137</v>
      </c>
      <c r="B4" s="32" t="s">
        <v>142</v>
      </c>
      <c r="C4" s="32">
        <v>2015</v>
      </c>
      <c r="D4" s="1">
        <v>1</v>
      </c>
      <c r="E4" s="1">
        <v>0</v>
      </c>
      <c r="F4" s="1">
        <v>0</v>
      </c>
      <c r="H4" s="33">
        <v>47</v>
      </c>
      <c r="I4" s="33"/>
      <c r="J4" s="33"/>
      <c r="K4" s="33"/>
      <c r="L4" s="59"/>
      <c r="M4" s="55"/>
      <c r="N4" s="59"/>
      <c r="O4" s="55"/>
      <c r="P4" s="56"/>
      <c r="Q4" s="57"/>
      <c r="R4" s="58"/>
      <c r="S4" s="57"/>
      <c r="T4" s="56"/>
      <c r="U4" s="55"/>
      <c r="V4" s="58"/>
      <c r="W4" s="55"/>
      <c r="X4" s="59"/>
      <c r="Y4" s="59">
        <v>1</v>
      </c>
      <c r="Z4" s="59">
        <v>2</v>
      </c>
      <c r="AA4" s="54"/>
      <c r="AB4" s="54"/>
      <c r="AC4" s="54"/>
      <c r="AD4" s="32"/>
      <c r="AE4" s="32"/>
      <c r="AF4" s="32"/>
      <c r="AG4" s="32"/>
      <c r="AH4" s="32"/>
      <c r="AI4" s="1" t="s">
        <v>768</v>
      </c>
      <c r="AJ4" s="32"/>
      <c r="AK4" s="32"/>
      <c r="AL4" s="33"/>
      <c r="AM4" s="33"/>
      <c r="AN4" s="33"/>
      <c r="AO4" s="36"/>
      <c r="AP4" s="36"/>
      <c r="AQ4" s="36"/>
      <c r="AR4" s="36"/>
      <c r="AS4" s="36"/>
      <c r="AT4" s="32"/>
      <c r="AU4" s="32"/>
      <c r="AV4" s="1" t="s">
        <v>769</v>
      </c>
      <c r="AW4" s="32"/>
      <c r="AX4" s="37">
        <v>22</v>
      </c>
      <c r="AY4" s="32">
        <v>22</v>
      </c>
      <c r="AZ4" s="37"/>
      <c r="BA4" s="37"/>
      <c r="BB4" s="37"/>
      <c r="BC4" s="37"/>
      <c r="BD4" s="32"/>
      <c r="BE4" s="37"/>
      <c r="BF4" s="37"/>
      <c r="BG4" s="1" t="s">
        <v>456</v>
      </c>
      <c r="BH4" s="32"/>
      <c r="BI4" s="32"/>
      <c r="BJ4" s="1" t="s">
        <v>456</v>
      </c>
      <c r="BK4" s="32"/>
      <c r="BL4" s="32"/>
      <c r="BM4" s="32"/>
      <c r="BN4" s="32"/>
      <c r="BO4" s="32"/>
      <c r="BP4" s="32"/>
      <c r="BQ4" s="32"/>
    </row>
    <row r="5" spans="1:69" x14ac:dyDescent="0.2">
      <c r="A5" s="54" t="s">
        <v>151</v>
      </c>
      <c r="B5" s="54" t="s">
        <v>142</v>
      </c>
      <c r="C5" s="54">
        <v>2015</v>
      </c>
      <c r="D5" s="1">
        <v>1</v>
      </c>
      <c r="E5" s="1">
        <v>0</v>
      </c>
      <c r="F5" s="1">
        <v>0</v>
      </c>
      <c r="H5" s="55"/>
      <c r="I5" s="55"/>
      <c r="J5" s="55">
        <v>2316</v>
      </c>
      <c r="K5" s="55"/>
      <c r="L5" s="59"/>
      <c r="M5" s="55"/>
      <c r="N5" s="59"/>
      <c r="O5" s="55"/>
      <c r="P5" s="56"/>
      <c r="Q5" s="57"/>
      <c r="R5" s="58"/>
      <c r="S5" s="57"/>
      <c r="T5" s="56"/>
      <c r="U5" s="55"/>
      <c r="V5" s="58"/>
      <c r="W5" s="55"/>
      <c r="X5" s="59"/>
      <c r="Y5" s="59"/>
      <c r="Z5" s="59"/>
      <c r="AA5" s="54"/>
      <c r="AB5" s="54"/>
      <c r="AC5" s="54"/>
      <c r="AD5" s="54"/>
      <c r="AE5" s="54"/>
      <c r="AF5" s="54"/>
      <c r="AG5" s="54"/>
      <c r="AH5" s="54"/>
      <c r="AI5" s="54" t="s">
        <v>770</v>
      </c>
      <c r="AJ5" s="54"/>
      <c r="AK5" s="54"/>
      <c r="AL5" s="55"/>
      <c r="AM5" s="55"/>
      <c r="AN5" s="55"/>
      <c r="AO5" s="60"/>
      <c r="AP5" s="60"/>
      <c r="AQ5" s="60"/>
      <c r="AR5" s="60"/>
      <c r="AS5" s="60"/>
      <c r="AT5" s="54"/>
      <c r="AU5" s="54"/>
      <c r="AV5" s="54">
        <v>15</v>
      </c>
      <c r="AW5" s="54"/>
      <c r="AX5" s="61">
        <v>23</v>
      </c>
      <c r="AY5" s="54"/>
      <c r="AZ5" s="61"/>
      <c r="BA5" s="61"/>
      <c r="BB5" s="61"/>
      <c r="BC5" s="61"/>
      <c r="BD5" s="54"/>
      <c r="BE5" s="61"/>
      <c r="BF5" s="61"/>
      <c r="BG5" s="54"/>
      <c r="BH5" s="54"/>
      <c r="BI5" s="54"/>
      <c r="BJ5" s="54">
        <v>23</v>
      </c>
      <c r="BK5" s="54"/>
      <c r="BL5" s="54"/>
      <c r="BM5" s="54"/>
      <c r="BN5" s="54"/>
      <c r="BO5" s="54"/>
      <c r="BP5" s="54"/>
      <c r="BQ5" s="54"/>
    </row>
    <row r="6" spans="1:69" x14ac:dyDescent="0.2">
      <c r="A6" s="54" t="s">
        <v>365</v>
      </c>
      <c r="B6" s="54" t="s">
        <v>142</v>
      </c>
      <c r="C6" s="54">
        <v>2015</v>
      </c>
      <c r="D6" s="1">
        <v>1</v>
      </c>
      <c r="E6" s="1">
        <v>0</v>
      </c>
      <c r="F6" s="1">
        <v>0</v>
      </c>
      <c r="H6" s="55"/>
      <c r="I6" s="55"/>
      <c r="J6" s="55"/>
      <c r="K6" s="55"/>
      <c r="L6" s="59"/>
      <c r="M6" s="55"/>
      <c r="N6" s="59"/>
      <c r="O6" s="55"/>
      <c r="P6" s="56"/>
      <c r="Q6" s="57"/>
      <c r="R6" s="58"/>
      <c r="S6" s="57"/>
      <c r="T6" s="56"/>
      <c r="U6" s="55"/>
      <c r="V6" s="58"/>
      <c r="W6" s="55"/>
      <c r="X6" s="59"/>
      <c r="Y6" s="59"/>
      <c r="Z6" s="59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  <c r="AM6" s="55"/>
      <c r="AN6" s="55"/>
      <c r="AO6" s="60"/>
      <c r="AP6" s="60"/>
      <c r="AQ6" s="60"/>
      <c r="AR6" s="60"/>
      <c r="AS6" s="60"/>
      <c r="AT6" s="54"/>
      <c r="AU6" s="54"/>
      <c r="AV6" s="54"/>
      <c r="AW6" s="54"/>
      <c r="AX6" s="61"/>
      <c r="AY6" s="54"/>
      <c r="AZ6" s="61"/>
      <c r="BA6" s="61"/>
      <c r="BB6" s="61"/>
      <c r="BC6" s="61"/>
      <c r="BD6" s="54"/>
      <c r="BE6" s="61"/>
      <c r="BF6" s="61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</row>
    <row r="7" spans="1:69" x14ac:dyDescent="0.2">
      <c r="A7" s="54" t="s">
        <v>141</v>
      </c>
      <c r="B7" s="54" t="s">
        <v>142</v>
      </c>
      <c r="C7" s="54">
        <v>2015</v>
      </c>
      <c r="D7" s="54">
        <v>1</v>
      </c>
      <c r="E7" s="54">
        <v>0</v>
      </c>
      <c r="F7" s="1">
        <v>0</v>
      </c>
      <c r="G7" s="54">
        <v>13.2</v>
      </c>
      <c r="H7" s="55"/>
      <c r="I7" s="55"/>
      <c r="J7" s="55">
        <v>6000</v>
      </c>
      <c r="K7" s="55"/>
      <c r="L7" s="59"/>
      <c r="M7" s="55"/>
      <c r="N7" s="59">
        <v>26000</v>
      </c>
      <c r="O7" s="55"/>
      <c r="P7" s="56"/>
      <c r="Q7" s="57"/>
      <c r="R7" s="58"/>
      <c r="S7" s="57"/>
      <c r="T7" s="56"/>
      <c r="U7" s="55"/>
      <c r="V7" s="58"/>
      <c r="W7" s="55"/>
      <c r="X7" s="59"/>
      <c r="Y7" s="59"/>
      <c r="Z7" s="59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5"/>
      <c r="AM7" s="55"/>
      <c r="AN7" s="55"/>
      <c r="AO7" s="60"/>
      <c r="AP7" s="60"/>
      <c r="AQ7" s="60"/>
      <c r="AR7" s="60"/>
      <c r="AS7" s="60"/>
      <c r="AT7" s="54"/>
      <c r="AU7" s="54"/>
      <c r="AV7" s="54"/>
      <c r="AW7" s="54"/>
      <c r="AX7" s="61">
        <v>27</v>
      </c>
      <c r="AY7" s="54">
        <v>27</v>
      </c>
      <c r="AZ7" s="61"/>
      <c r="BA7" s="61"/>
      <c r="BB7" s="61"/>
      <c r="BC7" s="61"/>
      <c r="BD7" s="54"/>
      <c r="BE7" s="61"/>
      <c r="BF7" s="61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1000000}">
          <x14:formula1>
            <xm:f>Dropdown!$C$2:$C$4</xm:f>
          </x14:formula1>
          <xm:sqref>B2:B7</xm:sqref>
        </x14:dataValidation>
        <x14:dataValidation type="list" allowBlank="1" showInputMessage="1" showErrorMessage="1" xr:uid="{0FCCB5EC-ABF0-4008-B3B6-3741A1E3359C}">
          <x14:formula1>
            <xm:f>Dropdown!$A$2:$A$92</xm:f>
          </x14:formula1>
          <xm:sqref>A2:A7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9"/>
  <dimension ref="A1:BN4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22" sqref="Q2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3" width="31.5703125" style="1" customWidth="1"/>
    <col min="54" max="54" width="37.42578125" style="1" bestFit="1" customWidth="1"/>
    <col min="55" max="55" width="35.7109375" style="1" bestFit="1" customWidth="1"/>
    <col min="56" max="56" width="28.85546875" style="1" bestFit="1" customWidth="1"/>
    <col min="57" max="57" width="34" style="1" bestFit="1" customWidth="1"/>
    <col min="58" max="58" width="37.85546875" style="1" bestFit="1" customWidth="1"/>
    <col min="59" max="59" width="34.42578125" style="1" bestFit="1" customWidth="1"/>
    <col min="60" max="60" width="38.140625" style="1" bestFit="1" customWidth="1"/>
    <col min="61" max="61" width="22.85546875" style="1" bestFit="1" customWidth="1"/>
    <col min="62" max="62" width="28.5703125" style="1" bestFit="1" customWidth="1"/>
    <col min="63" max="63" width="28.28515625" style="1" bestFit="1" customWidth="1"/>
    <col min="64" max="64" width="28.28515625" style="1" customWidth="1"/>
    <col min="65" max="65" width="31" style="1" bestFit="1" customWidth="1"/>
    <col min="66" max="66" width="28.85546875" style="1" bestFit="1" customWidth="1"/>
    <col min="67" max="16384" width="11.42578125" style="1"/>
  </cols>
  <sheetData>
    <row r="1" spans="1:66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1080</v>
      </c>
      <c r="Q1" s="2" t="s">
        <v>550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423</v>
      </c>
      <c r="X1" s="2" t="s">
        <v>225</v>
      </c>
      <c r="Y1" s="2" t="s">
        <v>157</v>
      </c>
      <c r="Z1" s="2" t="s">
        <v>227</v>
      </c>
      <c r="AA1" s="2" t="s">
        <v>228</v>
      </c>
      <c r="AB1" s="2" t="s">
        <v>158</v>
      </c>
      <c r="AC1" s="2" t="s">
        <v>214</v>
      </c>
      <c r="AD1" s="2" t="s">
        <v>215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183</v>
      </c>
      <c r="AK1" s="2" t="s">
        <v>182</v>
      </c>
      <c r="AL1" s="2" t="s">
        <v>12</v>
      </c>
      <c r="AM1" s="2" t="s">
        <v>231</v>
      </c>
      <c r="AN1" s="2" t="s">
        <v>232</v>
      </c>
      <c r="AO1" s="2" t="s">
        <v>230</v>
      </c>
      <c r="AP1" s="2" t="s">
        <v>332</v>
      </c>
      <c r="AQ1" s="2" t="s">
        <v>333</v>
      </c>
      <c r="AR1" s="2" t="s">
        <v>147</v>
      </c>
      <c r="AS1" s="2" t="s">
        <v>22</v>
      </c>
      <c r="AT1" s="2" t="s">
        <v>162</v>
      </c>
      <c r="AU1" s="2" t="s">
        <v>163</v>
      </c>
      <c r="AV1" s="2" t="s">
        <v>1</v>
      </c>
      <c r="AW1" s="2" t="s">
        <v>2</v>
      </c>
      <c r="AX1" s="2" t="s">
        <v>59</v>
      </c>
      <c r="AY1" s="2" t="s">
        <v>1089</v>
      </c>
      <c r="AZ1" s="2" t="s">
        <v>117</v>
      </c>
      <c r="BA1" s="2" t="s">
        <v>60</v>
      </c>
      <c r="BB1" s="2" t="s">
        <v>61</v>
      </c>
      <c r="BC1" s="2" t="s">
        <v>98</v>
      </c>
      <c r="BD1" s="2" t="s">
        <v>5</v>
      </c>
      <c r="BE1" s="2" t="s">
        <v>6</v>
      </c>
      <c r="BF1" s="2" t="s">
        <v>17</v>
      </c>
      <c r="BG1" s="2" t="s">
        <v>18</v>
      </c>
      <c r="BH1" s="2" t="s">
        <v>7</v>
      </c>
      <c r="BI1" s="2" t="s">
        <v>19</v>
      </c>
      <c r="BJ1" s="2" t="s">
        <v>20</v>
      </c>
      <c r="BK1" s="2" t="s">
        <v>21</v>
      </c>
      <c r="BL1" s="2" t="s">
        <v>148</v>
      </c>
      <c r="BM1" s="2" t="s">
        <v>23</v>
      </c>
      <c r="BN1" s="2" t="s">
        <v>51</v>
      </c>
    </row>
    <row r="2" spans="1:66" x14ac:dyDescent="0.2">
      <c r="A2" s="5" t="s">
        <v>141</v>
      </c>
      <c r="B2" s="1" t="s">
        <v>142</v>
      </c>
      <c r="C2" s="1">
        <v>2010</v>
      </c>
      <c r="D2" s="1">
        <v>1</v>
      </c>
      <c r="E2" s="1">
        <v>0</v>
      </c>
      <c r="F2" s="1">
        <v>0</v>
      </c>
      <c r="G2" s="18"/>
      <c r="H2" s="18">
        <v>2000</v>
      </c>
      <c r="I2" s="18">
        <v>5864</v>
      </c>
      <c r="J2" s="18"/>
      <c r="K2" s="18"/>
      <c r="L2" s="18">
        <v>21000</v>
      </c>
      <c r="M2" s="18">
        <v>25692</v>
      </c>
      <c r="N2" s="18"/>
      <c r="O2" s="19"/>
      <c r="P2" s="19"/>
      <c r="Q2" s="8"/>
      <c r="R2" s="19"/>
      <c r="S2" s="18"/>
      <c r="T2" s="8"/>
      <c r="U2" s="18">
        <v>35000</v>
      </c>
      <c r="AJ2" s="18">
        <f>2*Umrechnungsfaktoren!$B$15/Umrechnungsfaktoren!$B$7</f>
        <v>2.2274678111587982</v>
      </c>
      <c r="AK2" s="18">
        <f>42*Umrechnungsfaktoren!$B$15/Umrechnungsfaktoren!$B$7</f>
        <v>46.776824034334759</v>
      </c>
      <c r="AL2" s="7">
        <f>38*Umrechnungsfaktoren!$B$15/Umrechnungsfaktoren!$B$7</f>
        <v>42.321888412017167</v>
      </c>
      <c r="AM2" s="7"/>
      <c r="AN2" s="7"/>
      <c r="AO2" s="7">
        <f>1*Umrechnungsfaktoren!$B$15/Umrechnungsfaktoren!$B$7</f>
        <v>1.1137339055793991</v>
      </c>
      <c r="AP2" s="7">
        <v>0</v>
      </c>
      <c r="AQ2" s="7">
        <f>25.4*Umrechnungsfaktoren!$B$15/Umrechnungsfaktoren!$B$7</f>
        <v>28.288841201716735</v>
      </c>
      <c r="AS2" s="1" t="s">
        <v>150</v>
      </c>
      <c r="AT2" s="1">
        <v>427</v>
      </c>
      <c r="AU2" s="1">
        <v>427</v>
      </c>
      <c r="AV2" s="12">
        <v>414</v>
      </c>
      <c r="AW2" s="12">
        <v>414</v>
      </c>
      <c r="AX2" s="12"/>
      <c r="AY2" s="12"/>
      <c r="AZ2" s="12"/>
      <c r="BA2" s="12"/>
      <c r="BB2" s="12">
        <v>414</v>
      </c>
      <c r="BC2" s="12"/>
      <c r="BD2" s="12"/>
      <c r="BH2" s="12"/>
      <c r="BI2" s="1" t="s">
        <v>233</v>
      </c>
      <c r="BJ2" s="1" t="s">
        <v>229</v>
      </c>
      <c r="BK2" s="12" t="s">
        <v>229</v>
      </c>
    </row>
    <row r="3" spans="1:66" x14ac:dyDescent="0.2">
      <c r="A3" s="1" t="s">
        <v>141</v>
      </c>
      <c r="B3" s="1" t="s">
        <v>142</v>
      </c>
      <c r="C3" s="1">
        <v>2020</v>
      </c>
      <c r="D3" s="1">
        <v>1</v>
      </c>
      <c r="E3" s="1">
        <v>0</v>
      </c>
      <c r="F3" s="1">
        <v>0</v>
      </c>
      <c r="G3" s="18"/>
      <c r="H3" s="18">
        <v>2000</v>
      </c>
      <c r="I3" s="18">
        <v>5864</v>
      </c>
      <c r="J3" s="18"/>
      <c r="K3" s="18"/>
      <c r="L3" s="18">
        <v>21000</v>
      </c>
      <c r="M3" s="18">
        <v>25692</v>
      </c>
      <c r="N3" s="18"/>
      <c r="O3" s="19"/>
      <c r="P3" s="19"/>
      <c r="Q3" s="8"/>
      <c r="R3" s="19"/>
      <c r="S3" s="18"/>
      <c r="T3" s="8"/>
      <c r="U3" s="18">
        <v>35000</v>
      </c>
      <c r="AJ3" s="18"/>
      <c r="AK3" s="18">
        <f>1*Umrechnungsfaktoren!$B$15/Umrechnungsfaktoren!$B$7</f>
        <v>1.1137339055793991</v>
      </c>
      <c r="AL3" s="7">
        <f>13*Umrechnungsfaktoren!$B$15/Umrechnungsfaktoren!$B$7</f>
        <v>14.478540772532188</v>
      </c>
      <c r="AM3" s="7"/>
      <c r="AN3" s="7"/>
      <c r="AO3" s="7">
        <f>1*Umrechnungsfaktoren!$B$15/Umrechnungsfaktoren!$B$7</f>
        <v>1.1137339055793991</v>
      </c>
      <c r="AP3" s="7">
        <v>0</v>
      </c>
      <c r="AQ3" s="7">
        <f>25.4*Umrechnungsfaktoren!$B$15/Umrechnungsfaktoren!$B$7</f>
        <v>28.288841201716735</v>
      </c>
      <c r="AS3" s="1" t="s">
        <v>150</v>
      </c>
      <c r="AT3" s="1">
        <v>427</v>
      </c>
      <c r="AU3" s="1">
        <v>427</v>
      </c>
      <c r="AV3" s="12">
        <v>414</v>
      </c>
      <c r="AW3" s="12">
        <v>414</v>
      </c>
      <c r="AX3" s="12"/>
      <c r="AY3" s="12"/>
      <c r="AZ3" s="12"/>
      <c r="BA3" s="12"/>
      <c r="BB3" s="12">
        <v>414</v>
      </c>
      <c r="BC3" s="12"/>
      <c r="BD3" s="12"/>
      <c r="BH3" s="12"/>
      <c r="BI3" s="1" t="s">
        <v>233</v>
      </c>
      <c r="BJ3" s="1" t="s">
        <v>229</v>
      </c>
      <c r="BK3" s="12" t="s">
        <v>229</v>
      </c>
      <c r="BN3" s="1" t="s">
        <v>180</v>
      </c>
    </row>
    <row r="4" spans="1:66" x14ac:dyDescent="0.2">
      <c r="A4" s="5" t="s">
        <v>151</v>
      </c>
      <c r="B4" s="1" t="s">
        <v>142</v>
      </c>
      <c r="C4" s="1">
        <v>2010</v>
      </c>
      <c r="D4" s="1">
        <v>0</v>
      </c>
      <c r="E4" s="1">
        <v>1</v>
      </c>
      <c r="F4" s="1">
        <v>0</v>
      </c>
      <c r="G4" s="18"/>
      <c r="H4" s="18">
        <v>2316</v>
      </c>
      <c r="I4" s="18">
        <v>2316</v>
      </c>
      <c r="J4" s="18"/>
      <c r="K4" s="18"/>
      <c r="L4" s="18"/>
      <c r="M4" s="18"/>
      <c r="N4" s="18"/>
      <c r="O4" s="19"/>
      <c r="P4" s="19"/>
      <c r="Q4" s="8"/>
      <c r="R4" s="19"/>
      <c r="S4" s="18"/>
      <c r="T4" s="8"/>
      <c r="U4" s="18"/>
      <c r="AJ4" s="18">
        <f>779*Umrechnungsfaktoren!$B$15/Umrechnungsfaktoren!$B$7</f>
        <v>867.5987124463519</v>
      </c>
      <c r="AK4" s="18">
        <f>3850*Umrechnungsfaktoren!$B$15/Umrechnungsfaktoren!$B$7</f>
        <v>4287.8755364806866</v>
      </c>
      <c r="AL4" s="7">
        <f>7070*Umrechnungsfaktoren!$B$15/Umrechnungsfaktoren!$B$7</f>
        <v>7874.0987124463509</v>
      </c>
      <c r="AM4" s="7"/>
      <c r="AN4" s="7"/>
      <c r="AO4" s="7">
        <f>1*Umrechnungsfaktoren!$B$15/Umrechnungsfaktoren!$B$7</f>
        <v>1.1137339055793991</v>
      </c>
      <c r="AP4" s="7">
        <v>0</v>
      </c>
      <c r="AQ4" s="7">
        <f>68*Umrechnungsfaktoren!$B$15/Umrechnungsfaktoren!$B$7</f>
        <v>75.733905579399135</v>
      </c>
      <c r="AS4" s="1" t="s">
        <v>152</v>
      </c>
      <c r="AT4" s="1">
        <v>427</v>
      </c>
      <c r="AU4" s="12" t="s">
        <v>179</v>
      </c>
      <c r="AV4" s="12">
        <v>415</v>
      </c>
      <c r="AW4" s="12"/>
      <c r="AX4" s="12"/>
      <c r="AY4" s="12"/>
      <c r="AZ4" s="12"/>
      <c r="BB4" s="12"/>
      <c r="BC4" s="12"/>
      <c r="BI4" s="1" t="s">
        <v>233</v>
      </c>
      <c r="BJ4" s="1" t="s">
        <v>229</v>
      </c>
      <c r="BK4" s="12" t="s">
        <v>229</v>
      </c>
    </row>
    <row r="5" spans="1:66" x14ac:dyDescent="0.2">
      <c r="A5" s="1" t="s">
        <v>151</v>
      </c>
      <c r="B5" s="1" t="s">
        <v>142</v>
      </c>
      <c r="C5" s="1">
        <v>2020</v>
      </c>
      <c r="D5" s="1">
        <v>0</v>
      </c>
      <c r="E5" s="1">
        <v>1</v>
      </c>
      <c r="F5" s="1">
        <v>0</v>
      </c>
      <c r="G5" s="18"/>
      <c r="H5" s="18">
        <v>2316</v>
      </c>
      <c r="I5" s="18">
        <v>2316</v>
      </c>
      <c r="J5" s="18"/>
      <c r="K5" s="18"/>
      <c r="L5" s="18"/>
      <c r="M5" s="18"/>
      <c r="N5" s="18"/>
      <c r="O5" s="19"/>
      <c r="P5" s="19"/>
      <c r="Q5" s="8"/>
      <c r="R5" s="19"/>
      <c r="S5" s="18"/>
      <c r="T5" s="8"/>
      <c r="U5" s="18"/>
      <c r="AJ5" s="18">
        <f>16*Umrechnungsfaktoren!$B$15/Umrechnungsfaktoren!$B$7</f>
        <v>17.819742489270386</v>
      </c>
      <c r="AK5" s="18">
        <f>77*Umrechnungsfaktoren!$B$15/Umrechnungsfaktoren!$B$7</f>
        <v>85.757510729613728</v>
      </c>
      <c r="AL5" s="7">
        <f>2360*Umrechnungsfaktoren!$B$15/Umrechnungsfaktoren!$B$7</f>
        <v>2628.4120171673817</v>
      </c>
      <c r="AM5" s="7"/>
      <c r="AN5" s="7"/>
      <c r="AO5" s="7">
        <f>1*Umrechnungsfaktoren!$B$15/Umrechnungsfaktoren!$B$7</f>
        <v>1.1137339055793991</v>
      </c>
      <c r="AP5" s="7">
        <v>0</v>
      </c>
      <c r="AQ5" s="7">
        <f>68*Umrechnungsfaktoren!$B$15/Umrechnungsfaktoren!$B$7</f>
        <v>75.733905579399135</v>
      </c>
      <c r="AS5" s="1" t="s">
        <v>152</v>
      </c>
      <c r="AT5" s="1">
        <v>427</v>
      </c>
      <c r="AU5" s="12" t="s">
        <v>179</v>
      </c>
      <c r="AV5" s="12">
        <v>415</v>
      </c>
      <c r="AW5" s="12"/>
      <c r="AX5" s="12"/>
      <c r="AY5" s="12"/>
      <c r="AZ5" s="12"/>
      <c r="BB5" s="12"/>
      <c r="BC5" s="12"/>
      <c r="BI5" s="1" t="s">
        <v>233</v>
      </c>
      <c r="BJ5" s="1">
        <v>530</v>
      </c>
      <c r="BK5" s="12">
        <v>530</v>
      </c>
      <c r="BN5" s="1" t="s">
        <v>180</v>
      </c>
    </row>
    <row r="6" spans="1:66" x14ac:dyDescent="0.2">
      <c r="A6" s="5" t="s">
        <v>137</v>
      </c>
      <c r="B6" s="1" t="s">
        <v>142</v>
      </c>
      <c r="C6" s="1">
        <v>2010</v>
      </c>
      <c r="D6" s="1">
        <v>1</v>
      </c>
      <c r="E6" s="1">
        <v>0</v>
      </c>
      <c r="F6" s="1">
        <v>0</v>
      </c>
      <c r="G6" s="18"/>
      <c r="H6" s="18">
        <v>722</v>
      </c>
      <c r="I6" s="18">
        <v>722</v>
      </c>
      <c r="J6" s="18"/>
      <c r="K6" s="18"/>
      <c r="L6" s="18">
        <v>1333</v>
      </c>
      <c r="M6" s="18">
        <v>1333</v>
      </c>
      <c r="N6" s="18"/>
      <c r="O6" s="19"/>
      <c r="P6" s="19"/>
      <c r="Q6" s="8"/>
      <c r="R6" s="19"/>
      <c r="S6" s="18"/>
      <c r="T6" s="8"/>
      <c r="U6" s="18">
        <v>4100</v>
      </c>
      <c r="AJ6" s="18">
        <f>8*Umrechnungsfaktoren!$B$15/Umrechnungsfaktoren!$B$7</f>
        <v>8.9098712446351929</v>
      </c>
      <c r="AK6" s="18">
        <f>153*Umrechnungsfaktoren!$B$15/Umrechnungsfaktoren!$B$7</f>
        <v>170.40128755364805</v>
      </c>
      <c r="AL6" s="7"/>
      <c r="AM6" s="7"/>
      <c r="AN6" s="7"/>
      <c r="AO6" s="7"/>
      <c r="AP6" s="7">
        <v>0</v>
      </c>
      <c r="AQ6" s="7"/>
      <c r="AT6" s="1">
        <v>427</v>
      </c>
      <c r="AU6" s="1">
        <v>427</v>
      </c>
      <c r="AV6" s="12">
        <v>415</v>
      </c>
      <c r="AW6" s="12">
        <v>415</v>
      </c>
      <c r="AX6" s="12"/>
      <c r="AY6" s="12"/>
      <c r="AZ6" s="12"/>
      <c r="BB6" s="12">
        <v>415</v>
      </c>
      <c r="BC6" s="12"/>
      <c r="BI6" s="1" t="s">
        <v>233</v>
      </c>
      <c r="BJ6" s="1">
        <v>530</v>
      </c>
      <c r="BK6" s="12">
        <v>530</v>
      </c>
    </row>
    <row r="7" spans="1:66" x14ac:dyDescent="0.2">
      <c r="A7" s="1" t="s">
        <v>137</v>
      </c>
      <c r="B7" s="1" t="s">
        <v>142</v>
      </c>
      <c r="C7" s="1">
        <v>2020</v>
      </c>
      <c r="D7" s="1">
        <v>1</v>
      </c>
      <c r="E7" s="1">
        <v>0</v>
      </c>
      <c r="F7" s="1">
        <v>0</v>
      </c>
      <c r="G7" s="18"/>
      <c r="H7" s="18">
        <f>Tabelle589[[#This Row],[Potenzial pos. max MW]]/I6*H6</f>
        <v>2817.560975609756</v>
      </c>
      <c r="I7" s="18">
        <f>I6*Tabelle589[[#This Row],[installierte Leistung MW]]/U6</f>
        <v>2817.560975609756</v>
      </c>
      <c r="J7" s="18"/>
      <c r="K7" s="18"/>
      <c r="L7" s="18">
        <f>Tabelle589[[#This Row],[Potenzial pos. max MW]]/M6*L6</f>
        <v>2817.560975609756</v>
      </c>
      <c r="M7" s="18">
        <f>M6*Tabelle589[[#This Row],[installierte Leistung MW]]/U6</f>
        <v>5201.9512195121952</v>
      </c>
      <c r="N7" s="18"/>
      <c r="O7" s="19"/>
      <c r="P7" s="19"/>
      <c r="Q7" s="8"/>
      <c r="R7" s="19"/>
      <c r="S7" s="18"/>
      <c r="T7" s="8"/>
      <c r="U7" s="18">
        <v>16000</v>
      </c>
      <c r="AJ7" s="18">
        <f>1*Umrechnungsfaktoren!$B$15/Umrechnungsfaktoren!$B$7</f>
        <v>1.1137339055793991</v>
      </c>
      <c r="AK7" s="18">
        <f>4*Umrechnungsfaktoren!$B$15/Umrechnungsfaktoren!$B$7</f>
        <v>4.4549356223175964</v>
      </c>
      <c r="AL7" s="7"/>
      <c r="AM7" s="7"/>
      <c r="AN7" s="7"/>
      <c r="AO7" s="7"/>
      <c r="AP7" s="7">
        <v>0</v>
      </c>
      <c r="AQ7" s="7"/>
      <c r="AT7" s="1">
        <v>427</v>
      </c>
      <c r="AU7" s="1">
        <v>427</v>
      </c>
      <c r="AV7" s="12" t="s">
        <v>153</v>
      </c>
      <c r="AW7" s="12" t="s">
        <v>153</v>
      </c>
      <c r="AX7" s="12"/>
      <c r="AY7" s="12"/>
      <c r="AZ7" s="12"/>
      <c r="BB7" s="12">
        <v>415</v>
      </c>
      <c r="BC7" s="12"/>
      <c r="BI7" s="1" t="s">
        <v>233</v>
      </c>
      <c r="BJ7" s="1" t="s">
        <v>229</v>
      </c>
      <c r="BK7" s="12" t="s">
        <v>229</v>
      </c>
      <c r="BN7" s="1" t="s">
        <v>181</v>
      </c>
    </row>
    <row r="8" spans="1:66" x14ac:dyDescent="0.2">
      <c r="A8" s="5" t="s">
        <v>138</v>
      </c>
      <c r="B8" s="1" t="s">
        <v>142</v>
      </c>
      <c r="C8" s="1">
        <v>2010</v>
      </c>
      <c r="D8" s="1">
        <v>1</v>
      </c>
      <c r="E8" s="1">
        <v>0</v>
      </c>
      <c r="F8" s="1">
        <v>0</v>
      </c>
      <c r="G8" s="18"/>
      <c r="H8" s="18">
        <v>449</v>
      </c>
      <c r="I8" s="18"/>
      <c r="J8" s="18"/>
      <c r="K8" s="18"/>
      <c r="L8" s="18">
        <v>2024</v>
      </c>
      <c r="M8" s="18"/>
      <c r="N8" s="18"/>
      <c r="O8" s="19"/>
      <c r="P8" s="19"/>
      <c r="Q8" s="8"/>
      <c r="R8" s="19"/>
      <c r="S8" s="18"/>
      <c r="T8" s="8"/>
      <c r="U8" s="18">
        <v>11000</v>
      </c>
      <c r="AE8" s="1">
        <v>24</v>
      </c>
      <c r="AJ8" s="18">
        <f>24*Umrechnungsfaktoren!$B$15/Umrechnungsfaktoren!$B$7</f>
        <v>26.729613733905577</v>
      </c>
      <c r="AK8" s="18">
        <f>475</f>
        <v>475</v>
      </c>
      <c r="AL8" s="7">
        <f>450*Umrechnungsfaktoren!$B$15/Umrechnungsfaktoren!$B$7</f>
        <v>501.18025751072958</v>
      </c>
      <c r="AM8" s="7"/>
      <c r="AN8" s="7"/>
      <c r="AO8" s="7">
        <f>1*Umrechnungsfaktoren!$B$15/Umrechnungsfaktoren!$B$7</f>
        <v>1.1137339055793991</v>
      </c>
      <c r="AP8" s="7">
        <v>0</v>
      </c>
      <c r="AQ8" s="7">
        <f>53.7*Umrechnungsfaktoren!$B$15/Umrechnungsfaktoren!$B$7</f>
        <v>59.807510729613732</v>
      </c>
      <c r="AT8" s="1">
        <v>427</v>
      </c>
      <c r="AU8" s="1">
        <v>427</v>
      </c>
      <c r="AV8" s="12">
        <v>416</v>
      </c>
      <c r="AW8" s="1">
        <v>416</v>
      </c>
      <c r="AX8" s="12"/>
      <c r="AY8" s="12"/>
      <c r="AZ8" s="12"/>
      <c r="BB8" s="12">
        <v>416</v>
      </c>
      <c r="BC8" s="12"/>
      <c r="BE8" s="1">
        <v>416</v>
      </c>
      <c r="BI8" s="1" t="s">
        <v>233</v>
      </c>
      <c r="BJ8" s="1" t="s">
        <v>229</v>
      </c>
      <c r="BK8" s="12" t="s">
        <v>229</v>
      </c>
    </row>
    <row r="9" spans="1:66" x14ac:dyDescent="0.2">
      <c r="A9" s="1" t="s">
        <v>138</v>
      </c>
      <c r="B9" s="1" t="s">
        <v>142</v>
      </c>
      <c r="C9" s="1">
        <v>2020</v>
      </c>
      <c r="D9" s="1">
        <v>1</v>
      </c>
      <c r="E9" s="1">
        <v>0</v>
      </c>
      <c r="F9" s="1">
        <v>0</v>
      </c>
      <c r="G9" s="18"/>
      <c r="H9" s="18">
        <v>449</v>
      </c>
      <c r="I9" s="18"/>
      <c r="J9" s="18"/>
      <c r="K9" s="18"/>
      <c r="L9" s="18">
        <v>2024</v>
      </c>
      <c r="M9" s="18"/>
      <c r="N9" s="18"/>
      <c r="O9" s="19"/>
      <c r="P9" s="19"/>
      <c r="Q9" s="8"/>
      <c r="R9" s="19"/>
      <c r="S9" s="18"/>
      <c r="T9" s="8"/>
      <c r="U9" s="18">
        <v>11000</v>
      </c>
      <c r="AE9" s="1">
        <v>24</v>
      </c>
      <c r="AJ9" s="18">
        <f>1*Umrechnungsfaktoren!$B$15/Umrechnungsfaktoren!$B$7</f>
        <v>1.1137339055793991</v>
      </c>
      <c r="AK9" s="18">
        <f>10*Umrechnungsfaktoren!$B$15/Umrechnungsfaktoren!$B$7</f>
        <v>11.137339055793991</v>
      </c>
      <c r="AL9" s="7">
        <f>150*Umrechnungsfaktoren!$B$15/Umrechnungsfaktoren!$B$7</f>
        <v>167.06008583690985</v>
      </c>
      <c r="AM9" s="7"/>
      <c r="AN9" s="7"/>
      <c r="AO9" s="7">
        <f>1*Umrechnungsfaktoren!$B$15/Umrechnungsfaktoren!$B$7</f>
        <v>1.1137339055793991</v>
      </c>
      <c r="AP9" s="7">
        <v>0</v>
      </c>
      <c r="AQ9" s="7">
        <f>53.7*Umrechnungsfaktoren!$B$15/Umrechnungsfaktoren!$B$7</f>
        <v>59.807510729613732</v>
      </c>
      <c r="AT9" s="1">
        <v>427</v>
      </c>
      <c r="AU9" s="1">
        <v>427</v>
      </c>
      <c r="AV9" s="12">
        <v>416</v>
      </c>
      <c r="AW9" s="1">
        <v>416</v>
      </c>
      <c r="AX9" s="12"/>
      <c r="AY9" s="12"/>
      <c r="AZ9" s="12"/>
      <c r="BB9" s="12">
        <v>416</v>
      </c>
      <c r="BC9" s="12"/>
      <c r="BE9" s="1">
        <v>416</v>
      </c>
      <c r="BI9" s="1" t="s">
        <v>233</v>
      </c>
      <c r="BJ9" s="1" t="s">
        <v>229</v>
      </c>
      <c r="BK9" s="12" t="s">
        <v>229</v>
      </c>
      <c r="BN9" s="1" t="s">
        <v>180</v>
      </c>
    </row>
    <row r="10" spans="1:66" x14ac:dyDescent="0.2">
      <c r="A10" s="5" t="s">
        <v>135</v>
      </c>
      <c r="B10" s="1" t="s">
        <v>142</v>
      </c>
      <c r="C10" s="1">
        <v>2010</v>
      </c>
      <c r="D10" s="1">
        <v>1</v>
      </c>
      <c r="E10" s="1">
        <v>0</v>
      </c>
      <c r="F10" s="1">
        <v>0</v>
      </c>
      <c r="G10" s="18"/>
      <c r="H10" s="18">
        <v>554</v>
      </c>
      <c r="I10" s="18">
        <v>1550</v>
      </c>
      <c r="J10" s="18"/>
      <c r="K10" s="18"/>
      <c r="L10" s="18">
        <v>1368</v>
      </c>
      <c r="M10" s="18">
        <v>4240</v>
      </c>
      <c r="N10" s="18"/>
      <c r="O10" s="19"/>
      <c r="P10" s="19"/>
      <c r="Q10" s="8"/>
      <c r="R10" s="19"/>
      <c r="S10" s="18"/>
      <c r="T10" s="8"/>
      <c r="U10" s="18"/>
      <c r="W10" s="1">
        <v>10</v>
      </c>
      <c r="X10" s="1">
        <v>12</v>
      </c>
      <c r="Y10" s="1">
        <v>10</v>
      </c>
      <c r="Z10" s="1">
        <v>4</v>
      </c>
      <c r="AA10" s="1">
        <v>7</v>
      </c>
      <c r="AB10" s="1">
        <v>4</v>
      </c>
      <c r="AJ10" s="18"/>
      <c r="AK10" s="18">
        <f>3000*Umrechnungsfaktoren!$B$15/Umrechnungsfaktoren!$B$7</f>
        <v>3341.2017167381973</v>
      </c>
      <c r="AL10" s="7">
        <f>1190*Umrechnungsfaktoren!$B$15/Umrechnungsfaktoren!$B$7</f>
        <v>1325.3433476394848</v>
      </c>
      <c r="AM10" s="7"/>
      <c r="AN10" s="7"/>
      <c r="AO10" s="7">
        <f>1*Umrechnungsfaktoren!$B$15/Umrechnungsfaktoren!$B$7</f>
        <v>1.1137339055793991</v>
      </c>
      <c r="AP10" s="7">
        <v>0</v>
      </c>
      <c r="AQ10" s="7">
        <f>63.2*Umrechnungsfaktoren!$B$15/Umrechnungsfaktoren!$B$7</f>
        <v>70.387982832618022</v>
      </c>
      <c r="AT10" s="1">
        <v>416</v>
      </c>
      <c r="AU10" s="1">
        <v>427</v>
      </c>
      <c r="AV10" s="12">
        <v>417</v>
      </c>
      <c r="AW10" s="1">
        <v>417</v>
      </c>
      <c r="AX10" s="12"/>
      <c r="AY10" s="12"/>
      <c r="AZ10" s="12"/>
      <c r="BB10" s="12"/>
      <c r="BC10" s="12"/>
      <c r="BI10" s="1" t="s">
        <v>233</v>
      </c>
      <c r="BJ10" s="1" t="s">
        <v>229</v>
      </c>
      <c r="BK10" s="12" t="s">
        <v>229</v>
      </c>
    </row>
    <row r="11" spans="1:66" x14ac:dyDescent="0.2">
      <c r="A11" s="1" t="s">
        <v>135</v>
      </c>
      <c r="B11" s="1" t="s">
        <v>142</v>
      </c>
      <c r="C11" s="1">
        <v>2020</v>
      </c>
      <c r="D11" s="1">
        <v>1</v>
      </c>
      <c r="E11" s="1">
        <v>0</v>
      </c>
      <c r="F11" s="1">
        <v>0</v>
      </c>
      <c r="G11" s="18"/>
      <c r="H11" s="18">
        <v>554</v>
      </c>
      <c r="I11" s="18">
        <v>1550</v>
      </c>
      <c r="J11" s="18"/>
      <c r="K11" s="18"/>
      <c r="L11" s="18">
        <v>1368</v>
      </c>
      <c r="M11" s="18">
        <v>4240</v>
      </c>
      <c r="N11" s="18"/>
      <c r="O11" s="19"/>
      <c r="P11" s="19"/>
      <c r="Q11" s="8"/>
      <c r="R11" s="19"/>
      <c r="S11" s="18"/>
      <c r="T11" s="8"/>
      <c r="U11" s="18"/>
      <c r="W11" s="1">
        <v>10</v>
      </c>
      <c r="X11" s="1">
        <v>12</v>
      </c>
      <c r="Y11" s="1">
        <v>10</v>
      </c>
      <c r="Z11" s="1">
        <v>4</v>
      </c>
      <c r="AA11" s="1">
        <v>7</v>
      </c>
      <c r="AB11" s="1">
        <v>4</v>
      </c>
      <c r="AJ11" s="18"/>
      <c r="AK11" s="18">
        <f>600*Umrechnungsfaktoren!$B$15/Umrechnungsfaktoren!$B$7</f>
        <v>668.2403433476394</v>
      </c>
      <c r="AL11" s="7">
        <f>280*Umrechnungsfaktoren!$B$15/Umrechnungsfaktoren!$B$7</f>
        <v>311.84549356223175</v>
      </c>
      <c r="AM11" s="7"/>
      <c r="AN11" s="7"/>
      <c r="AO11" s="7">
        <f>1*Umrechnungsfaktoren!$B$15/Umrechnungsfaktoren!$B$7</f>
        <v>1.1137339055793991</v>
      </c>
      <c r="AP11" s="7">
        <v>0</v>
      </c>
      <c r="AQ11" s="7">
        <f>63.2*Umrechnungsfaktoren!$B$15/Umrechnungsfaktoren!$B$7</f>
        <v>70.387982832618022</v>
      </c>
      <c r="AT11" s="1">
        <v>416</v>
      </c>
      <c r="AU11" s="1">
        <v>427</v>
      </c>
      <c r="AV11" s="12">
        <v>417</v>
      </c>
      <c r="AW11" s="1">
        <v>417</v>
      </c>
      <c r="AX11" s="12"/>
      <c r="AY11" s="12"/>
      <c r="AZ11" s="12"/>
      <c r="BB11" s="12"/>
      <c r="BC11" s="12"/>
      <c r="BI11" s="1" t="s">
        <v>233</v>
      </c>
      <c r="BJ11" s="1" t="s">
        <v>229</v>
      </c>
      <c r="BK11" s="12" t="s">
        <v>229</v>
      </c>
      <c r="BN11" s="1" t="s">
        <v>180</v>
      </c>
    </row>
    <row r="12" spans="1:66" x14ac:dyDescent="0.2">
      <c r="A12" s="5" t="s">
        <v>136</v>
      </c>
      <c r="B12" s="1" t="s">
        <v>142</v>
      </c>
      <c r="C12" s="1">
        <v>2010</v>
      </c>
      <c r="D12" s="1">
        <v>1</v>
      </c>
      <c r="E12" s="1">
        <v>0</v>
      </c>
      <c r="F12" s="1">
        <v>0</v>
      </c>
      <c r="G12" s="18"/>
      <c r="H12" s="18">
        <v>571</v>
      </c>
      <c r="I12" s="18">
        <v>1500</v>
      </c>
      <c r="J12" s="18"/>
      <c r="K12" s="18"/>
      <c r="L12" s="18">
        <v>530</v>
      </c>
      <c r="M12" s="18">
        <v>3500</v>
      </c>
      <c r="N12" s="18"/>
      <c r="O12" s="19"/>
      <c r="P12" s="19"/>
      <c r="Q12" s="8"/>
      <c r="R12" s="19"/>
      <c r="S12" s="18"/>
      <c r="T12" s="8"/>
      <c r="U12" s="18"/>
      <c r="W12" s="1">
        <v>4</v>
      </c>
      <c r="X12" s="1">
        <v>7</v>
      </c>
      <c r="Y12" s="1">
        <v>4</v>
      </c>
      <c r="Z12" s="1">
        <v>1.5</v>
      </c>
      <c r="AA12" s="1">
        <v>3</v>
      </c>
      <c r="AB12" s="1">
        <v>1.5</v>
      </c>
      <c r="AJ12" s="18"/>
      <c r="AK12" s="18"/>
      <c r="AL12" s="7">
        <f>1190*Umrechnungsfaktoren!$B$15/Umrechnungsfaktoren!$B$7</f>
        <v>1325.3433476394848</v>
      </c>
      <c r="AM12" s="7"/>
      <c r="AN12" s="7"/>
      <c r="AO12" s="7">
        <f>1*Umrechnungsfaktoren!$B$15/Umrechnungsfaktoren!$B$7</f>
        <v>1.1137339055793991</v>
      </c>
      <c r="AP12" s="7">
        <v>0</v>
      </c>
      <c r="AQ12" s="7">
        <f>63.2*Umrechnungsfaktoren!$B$15/Umrechnungsfaktoren!$B$7</f>
        <v>70.387982832618022</v>
      </c>
      <c r="AT12" s="1">
        <v>416</v>
      </c>
      <c r="AU12" s="1">
        <v>427</v>
      </c>
      <c r="AV12" s="12" t="s">
        <v>164</v>
      </c>
      <c r="AW12" s="12" t="s">
        <v>164</v>
      </c>
      <c r="AX12" s="12"/>
      <c r="AY12" s="12"/>
      <c r="AZ12" s="12"/>
      <c r="BB12" s="12"/>
      <c r="BC12" s="12"/>
      <c r="BI12" s="1" t="s">
        <v>233</v>
      </c>
      <c r="BJ12" s="1" t="s">
        <v>229</v>
      </c>
      <c r="BK12" s="12" t="s">
        <v>229</v>
      </c>
    </row>
    <row r="13" spans="1:66" x14ac:dyDescent="0.2">
      <c r="A13" s="1" t="s">
        <v>136</v>
      </c>
      <c r="B13" s="1" t="s">
        <v>142</v>
      </c>
      <c r="C13" s="1">
        <v>2020</v>
      </c>
      <c r="D13" s="1">
        <v>1</v>
      </c>
      <c r="E13" s="1">
        <v>0</v>
      </c>
      <c r="F13" s="1">
        <v>0</v>
      </c>
      <c r="G13" s="18"/>
      <c r="H13" s="18">
        <v>571</v>
      </c>
      <c r="I13" s="18">
        <v>1500</v>
      </c>
      <c r="J13" s="18"/>
      <c r="K13" s="18"/>
      <c r="L13" s="18">
        <v>530</v>
      </c>
      <c r="M13" s="18">
        <v>3500</v>
      </c>
      <c r="N13" s="18"/>
      <c r="O13" s="19"/>
      <c r="P13" s="19"/>
      <c r="Q13" s="8"/>
      <c r="R13" s="19"/>
      <c r="S13" s="18"/>
      <c r="T13" s="8"/>
      <c r="U13" s="18"/>
      <c r="W13" s="1">
        <v>4</v>
      </c>
      <c r="X13" s="1">
        <v>7</v>
      </c>
      <c r="Y13" s="1">
        <v>4</v>
      </c>
      <c r="Z13" s="1">
        <v>1.5</v>
      </c>
      <c r="AA13" s="1">
        <v>3</v>
      </c>
      <c r="AB13" s="1">
        <v>1.5</v>
      </c>
      <c r="AJ13" s="18"/>
      <c r="AK13" s="18"/>
      <c r="AL13" s="7">
        <f>280*Umrechnungsfaktoren!$B$15/Umrechnungsfaktoren!$B$7</f>
        <v>311.84549356223175</v>
      </c>
      <c r="AM13" s="7"/>
      <c r="AN13" s="7"/>
      <c r="AO13" s="7">
        <f>1*Umrechnungsfaktoren!$B$15/Umrechnungsfaktoren!$B$7</f>
        <v>1.1137339055793991</v>
      </c>
      <c r="AP13" s="7">
        <v>0</v>
      </c>
      <c r="AQ13" s="7">
        <f>63.2*Umrechnungsfaktoren!$B$15/Umrechnungsfaktoren!$B$7</f>
        <v>70.387982832618022</v>
      </c>
      <c r="AT13" s="1">
        <v>416</v>
      </c>
      <c r="AU13" s="1">
        <v>427</v>
      </c>
      <c r="AV13" s="12" t="s">
        <v>164</v>
      </c>
      <c r="AW13" s="12" t="s">
        <v>164</v>
      </c>
      <c r="AX13" s="12"/>
      <c r="AY13" s="12"/>
      <c r="AZ13" s="12"/>
      <c r="BB13" s="12"/>
      <c r="BC13" s="12"/>
      <c r="BI13" s="1" t="s">
        <v>233</v>
      </c>
      <c r="BJ13" s="1" t="s">
        <v>229</v>
      </c>
      <c r="BK13" s="12" t="s">
        <v>229</v>
      </c>
      <c r="BN13" s="1" t="s">
        <v>180</v>
      </c>
    </row>
    <row r="14" spans="1:66" x14ac:dyDescent="0.2">
      <c r="A14" s="5" t="s">
        <v>165</v>
      </c>
      <c r="B14" s="1" t="s">
        <v>142</v>
      </c>
      <c r="C14" s="1">
        <v>2010</v>
      </c>
      <c r="D14" s="1">
        <v>1</v>
      </c>
      <c r="E14" s="1">
        <v>0</v>
      </c>
      <c r="F14" s="1">
        <v>0</v>
      </c>
      <c r="G14" s="18"/>
      <c r="H14" s="18">
        <v>1621</v>
      </c>
      <c r="I14" s="18">
        <v>3800</v>
      </c>
      <c r="J14" s="18"/>
      <c r="K14" s="18"/>
      <c r="L14" s="18">
        <v>2832</v>
      </c>
      <c r="M14" s="18">
        <v>20800</v>
      </c>
      <c r="N14" s="18"/>
      <c r="O14" s="19"/>
      <c r="P14" s="8"/>
      <c r="Q14" s="8"/>
      <c r="R14" s="19"/>
      <c r="S14" s="18"/>
      <c r="T14" s="8"/>
      <c r="U14" s="18">
        <v>20800</v>
      </c>
      <c r="Y14" s="1">
        <v>2</v>
      </c>
      <c r="AB14" s="1">
        <v>2</v>
      </c>
      <c r="AG14" s="1" t="s">
        <v>166</v>
      </c>
      <c r="AI14" s="1">
        <v>365</v>
      </c>
      <c r="AJ14" s="18"/>
      <c r="AK14" s="18"/>
      <c r="AL14" s="7">
        <f>740*Umrechnungsfaktoren!$B$15/Umrechnungsfaktoren!$B$7</f>
        <v>824.16309012875536</v>
      </c>
      <c r="AM14" s="7"/>
      <c r="AN14" s="7"/>
      <c r="AO14" s="7">
        <f>1*Umrechnungsfaktoren!$B$15/Umrechnungsfaktoren!$B$7</f>
        <v>1.1137339055793991</v>
      </c>
      <c r="AP14" s="7">
        <v>0</v>
      </c>
      <c r="AQ14" s="7">
        <f>90.9*Umrechnungsfaktoren!$B$15/Umrechnungsfaktoren!$B$7</f>
        <v>101.23841201716738</v>
      </c>
      <c r="AS14" s="1" t="s">
        <v>167</v>
      </c>
      <c r="AT14" s="1">
        <v>427</v>
      </c>
      <c r="AU14" s="1">
        <v>427</v>
      </c>
      <c r="AV14" s="12">
        <v>418</v>
      </c>
      <c r="AW14" s="1">
        <v>418</v>
      </c>
      <c r="AX14" s="12"/>
      <c r="AY14" s="12"/>
      <c r="AZ14" s="12"/>
      <c r="BB14" s="12">
        <v>418</v>
      </c>
      <c r="BC14" s="12"/>
      <c r="BD14" s="1">
        <v>418</v>
      </c>
      <c r="BG14" s="1">
        <v>418</v>
      </c>
      <c r="BH14" s="1">
        <v>418</v>
      </c>
      <c r="BI14" s="1" t="s">
        <v>233</v>
      </c>
      <c r="BJ14" s="1" t="s">
        <v>229</v>
      </c>
      <c r="BK14" s="12" t="s">
        <v>229</v>
      </c>
    </row>
    <row r="15" spans="1:66" x14ac:dyDescent="0.2">
      <c r="A15" s="1" t="s">
        <v>165</v>
      </c>
      <c r="B15" s="1" t="s">
        <v>142</v>
      </c>
      <c r="C15" s="1">
        <v>2020</v>
      </c>
      <c r="D15" s="1">
        <v>1</v>
      </c>
      <c r="E15" s="1">
        <v>0</v>
      </c>
      <c r="F15" s="1">
        <v>0</v>
      </c>
      <c r="G15" s="18"/>
      <c r="H15" s="18">
        <v>1621</v>
      </c>
      <c r="I15" s="18">
        <v>3800</v>
      </c>
      <c r="J15" s="18"/>
      <c r="K15" s="18"/>
      <c r="L15" s="18">
        <v>2832</v>
      </c>
      <c r="M15" s="18">
        <v>20800</v>
      </c>
      <c r="N15" s="18"/>
      <c r="O15" s="19"/>
      <c r="P15" s="8"/>
      <c r="Q15" s="8"/>
      <c r="R15" s="19"/>
      <c r="S15" s="18"/>
      <c r="T15" s="8"/>
      <c r="U15" s="18">
        <v>20800</v>
      </c>
      <c r="Y15" s="1">
        <v>2</v>
      </c>
      <c r="AB15" s="1">
        <v>2</v>
      </c>
      <c r="AG15" s="1" t="s">
        <v>166</v>
      </c>
      <c r="AI15" s="1">
        <v>365</v>
      </c>
      <c r="AJ15" s="18"/>
      <c r="AK15" s="18"/>
      <c r="AL15" s="7">
        <f>176*Umrechnungsfaktoren!$B$15/Umrechnungsfaktoren!$B$7</f>
        <v>196.01716738197425</v>
      </c>
      <c r="AM15" s="7"/>
      <c r="AN15" s="7"/>
      <c r="AO15" s="7">
        <f>1*Umrechnungsfaktoren!$B$15/Umrechnungsfaktoren!$B$7</f>
        <v>1.1137339055793991</v>
      </c>
      <c r="AP15" s="7">
        <v>0</v>
      </c>
      <c r="AQ15" s="7">
        <f>90.9*Umrechnungsfaktoren!$B$15/Umrechnungsfaktoren!$B$7</f>
        <v>101.23841201716738</v>
      </c>
      <c r="AS15" s="1" t="s">
        <v>167</v>
      </c>
      <c r="AT15" s="1">
        <v>427</v>
      </c>
      <c r="AU15" s="1">
        <v>427</v>
      </c>
      <c r="AV15" s="12">
        <v>418</v>
      </c>
      <c r="AW15" s="1">
        <v>418</v>
      </c>
      <c r="AX15" s="12"/>
      <c r="AY15" s="12"/>
      <c r="AZ15" s="12"/>
      <c r="BB15" s="12">
        <v>418</v>
      </c>
      <c r="BC15" s="12"/>
      <c r="BD15" s="1">
        <v>418</v>
      </c>
      <c r="BG15" s="1">
        <v>418</v>
      </c>
      <c r="BH15" s="1">
        <v>418</v>
      </c>
      <c r="BI15" s="1" t="s">
        <v>233</v>
      </c>
      <c r="BJ15" s="1" t="s">
        <v>229</v>
      </c>
      <c r="BK15" s="12" t="s">
        <v>229</v>
      </c>
      <c r="BN15" s="1" t="s">
        <v>180</v>
      </c>
    </row>
    <row r="16" spans="1:66" x14ac:dyDescent="0.2">
      <c r="A16" s="5" t="s">
        <v>880</v>
      </c>
      <c r="B16" s="1" t="s">
        <v>129</v>
      </c>
      <c r="C16" s="1">
        <v>2010</v>
      </c>
      <c r="D16" s="1">
        <v>1</v>
      </c>
      <c r="E16" s="1">
        <v>1</v>
      </c>
      <c r="F16" s="1">
        <v>0</v>
      </c>
      <c r="G16" s="18"/>
      <c r="H16" s="18">
        <v>45</v>
      </c>
      <c r="I16" s="18">
        <v>314</v>
      </c>
      <c r="J16" s="18">
        <v>318</v>
      </c>
      <c r="K16" s="18"/>
      <c r="L16" s="18">
        <v>269</v>
      </c>
      <c r="M16" s="18"/>
      <c r="N16" s="18"/>
      <c r="O16" s="19"/>
      <c r="P16" s="8"/>
      <c r="Q16" s="8">
        <v>1</v>
      </c>
      <c r="R16" s="19"/>
      <c r="S16" s="18"/>
      <c r="T16" s="8"/>
      <c r="U16" s="18">
        <v>314</v>
      </c>
      <c r="AG16" s="1" t="s">
        <v>170</v>
      </c>
      <c r="AJ16" s="18"/>
      <c r="AK16" s="18"/>
      <c r="AL16" s="18">
        <f>7071*Umrechnungsfaktoren!$B$15/Umrechnungsfaktoren!$B$7</f>
        <v>7875.2124463519303</v>
      </c>
      <c r="AM16" s="7">
        <f>500*Umrechnungsfaktoren!$B$15/Umrechnungsfaktoren!$B$7</f>
        <v>556.86695278969955</v>
      </c>
      <c r="AN16" s="7">
        <f>1000*Umrechnungsfaktoren!$B$15/Umrechnungsfaktoren!$B$7</f>
        <v>1113.7339055793991</v>
      </c>
      <c r="AO16" s="7"/>
      <c r="AP16" s="7">
        <f>1*Umrechnungsfaktoren!$B$15/Umrechnungsfaktoren!$B$7</f>
        <v>1.1137339055793991</v>
      </c>
      <c r="AQ16" s="7">
        <f>90*Umrechnungsfaktoren!$B$15/Umrechnungsfaktoren!$B$7</f>
        <v>100.23605150214591</v>
      </c>
      <c r="AS16" s="1" t="s">
        <v>169</v>
      </c>
      <c r="AT16" s="1">
        <v>427</v>
      </c>
      <c r="AU16" s="1">
        <v>427</v>
      </c>
      <c r="AV16" s="12" t="s">
        <v>218</v>
      </c>
      <c r="AW16" s="1">
        <v>422</v>
      </c>
      <c r="AX16" s="12"/>
      <c r="AY16" s="12">
        <v>425</v>
      </c>
      <c r="AZ16" s="12"/>
      <c r="BB16" s="12">
        <v>421</v>
      </c>
      <c r="BC16" s="12"/>
      <c r="BG16" s="1">
        <v>419</v>
      </c>
      <c r="BI16" s="1" t="s">
        <v>233</v>
      </c>
      <c r="BJ16" s="1">
        <v>427</v>
      </c>
      <c r="BK16" s="1" t="s">
        <v>334</v>
      </c>
    </row>
    <row r="17" spans="1:66" x14ac:dyDescent="0.2">
      <c r="A17" s="1" t="s">
        <v>880</v>
      </c>
      <c r="B17" s="1" t="s">
        <v>129</v>
      </c>
      <c r="C17" s="1">
        <v>2020</v>
      </c>
      <c r="D17" s="1">
        <v>1</v>
      </c>
      <c r="E17" s="1">
        <v>1</v>
      </c>
      <c r="F17" s="1">
        <v>0</v>
      </c>
      <c r="G17" s="18"/>
      <c r="H17" s="18">
        <v>45</v>
      </c>
      <c r="I17" s="18">
        <v>383</v>
      </c>
      <c r="J17" s="18"/>
      <c r="K17" s="18"/>
      <c r="L17" s="18">
        <v>269</v>
      </c>
      <c r="M17" s="18"/>
      <c r="N17" s="18"/>
      <c r="O17" s="19"/>
      <c r="P17" s="8"/>
      <c r="Q17" s="8">
        <v>1</v>
      </c>
      <c r="R17" s="19"/>
      <c r="S17" s="18"/>
      <c r="T17" s="8"/>
      <c r="U17" s="18">
        <v>314</v>
      </c>
      <c r="AG17" s="1" t="s">
        <v>170</v>
      </c>
      <c r="AJ17" s="18"/>
      <c r="AK17" s="18"/>
      <c r="AL17" s="18">
        <f>14141*Umrechnungsfaktoren!$B$15/Umrechnungsfaktoren!$B$7</f>
        <v>15749.311158798282</v>
      </c>
      <c r="AM17" s="7">
        <f>500*Umrechnungsfaktoren!$B$15/Umrechnungsfaktoren!$B$7</f>
        <v>556.86695278969955</v>
      </c>
      <c r="AN17" s="7">
        <f>1000*Umrechnungsfaktoren!$B$15/Umrechnungsfaktoren!$B$7</f>
        <v>1113.7339055793991</v>
      </c>
      <c r="AO17" s="7"/>
      <c r="AP17" s="7">
        <f>1*Umrechnungsfaktoren!$B$15/Umrechnungsfaktoren!$B$7</f>
        <v>1.1137339055793991</v>
      </c>
      <c r="AQ17" s="7">
        <f>90*Umrechnungsfaktoren!$B$15/Umrechnungsfaktoren!$B$7</f>
        <v>100.23605150214591</v>
      </c>
      <c r="AS17" s="1" t="s">
        <v>169</v>
      </c>
      <c r="AT17" s="1">
        <v>427</v>
      </c>
      <c r="AU17" s="1">
        <v>427</v>
      </c>
      <c r="AV17" s="12" t="s">
        <v>205</v>
      </c>
      <c r="AW17" s="1">
        <v>422</v>
      </c>
      <c r="AX17" s="12"/>
      <c r="AY17" s="12">
        <v>425</v>
      </c>
      <c r="AZ17" s="12"/>
      <c r="BB17" s="12">
        <v>421</v>
      </c>
      <c r="BC17" s="12"/>
      <c r="BG17" s="1">
        <v>419</v>
      </c>
      <c r="BI17" s="1" t="s">
        <v>233</v>
      </c>
      <c r="BJ17" s="1">
        <v>427</v>
      </c>
      <c r="BK17" s="1" t="s">
        <v>334</v>
      </c>
      <c r="BN17" s="1" t="s">
        <v>180</v>
      </c>
    </row>
    <row r="18" spans="1:66" x14ac:dyDescent="0.2">
      <c r="A18" s="5" t="s">
        <v>29</v>
      </c>
      <c r="B18" s="1" t="s">
        <v>129</v>
      </c>
      <c r="C18" s="1">
        <v>2010</v>
      </c>
      <c r="D18" s="1">
        <v>1</v>
      </c>
      <c r="E18" s="1">
        <v>0</v>
      </c>
      <c r="F18" s="1">
        <v>0</v>
      </c>
      <c r="G18" s="18"/>
      <c r="H18" s="18">
        <v>556</v>
      </c>
      <c r="I18" s="18">
        <f>263+160+246</f>
        <v>669</v>
      </c>
      <c r="J18" s="18">
        <f>275+156+178</f>
        <v>609</v>
      </c>
      <c r="K18" s="18"/>
      <c r="L18" s="18">
        <v>346</v>
      </c>
      <c r="M18" s="18"/>
      <c r="N18" s="18"/>
      <c r="O18" s="19"/>
      <c r="P18" s="8"/>
      <c r="Q18" s="8">
        <v>0.3</v>
      </c>
      <c r="R18" s="19"/>
      <c r="S18" s="18"/>
      <c r="T18" s="8"/>
      <c r="U18" s="18"/>
      <c r="Y18" s="1">
        <v>2</v>
      </c>
      <c r="AJ18" s="18"/>
      <c r="AK18" s="18"/>
      <c r="AL18" s="7">
        <f>1*Umrechnungsfaktoren!$B$15/Umrechnungsfaktoren!$B$7</f>
        <v>1.1137339055793991</v>
      </c>
      <c r="AM18" s="7"/>
      <c r="AN18" s="7"/>
      <c r="AO18" s="7">
        <f>100*Umrechnungsfaktoren!$B$15/Umrechnungsfaktoren!$B$7</f>
        <v>111.3733905579399</v>
      </c>
      <c r="AP18" s="7"/>
      <c r="AQ18" s="7">
        <f>1*Umrechnungsfaktoren!$B$15/Umrechnungsfaktoren!$B$7</f>
        <v>1.1137339055793991</v>
      </c>
      <c r="AS18" s="1" t="s">
        <v>171</v>
      </c>
      <c r="AT18" s="1">
        <v>427</v>
      </c>
      <c r="AU18" s="1">
        <v>427</v>
      </c>
      <c r="AV18" s="12" t="s">
        <v>219</v>
      </c>
      <c r="AW18" s="1">
        <v>423</v>
      </c>
      <c r="AX18" s="12"/>
      <c r="AY18" s="12" t="s">
        <v>176</v>
      </c>
      <c r="AZ18" s="12"/>
      <c r="BB18" s="12"/>
      <c r="BC18" s="12"/>
      <c r="BD18" s="1">
        <v>422</v>
      </c>
      <c r="BI18" s="1" t="s">
        <v>233</v>
      </c>
      <c r="BJ18" s="1">
        <v>427</v>
      </c>
      <c r="BK18" s="1">
        <v>427</v>
      </c>
      <c r="BM18" s="1">
        <v>422</v>
      </c>
    </row>
    <row r="19" spans="1:66" x14ac:dyDescent="0.2">
      <c r="A19" s="1" t="s">
        <v>29</v>
      </c>
      <c r="B19" s="1" t="s">
        <v>129</v>
      </c>
      <c r="C19" s="1">
        <v>2020</v>
      </c>
      <c r="D19" s="1">
        <v>1</v>
      </c>
      <c r="E19" s="1">
        <v>0</v>
      </c>
      <c r="F19" s="1">
        <v>0</v>
      </c>
      <c r="G19" s="18"/>
      <c r="H19" s="18">
        <v>556</v>
      </c>
      <c r="I19" s="18">
        <v>618</v>
      </c>
      <c r="J19" s="18">
        <f>275+156+178</f>
        <v>609</v>
      </c>
      <c r="K19" s="18"/>
      <c r="L19" s="18">
        <v>346</v>
      </c>
      <c r="M19" s="18"/>
      <c r="N19" s="18"/>
      <c r="O19" s="19"/>
      <c r="P19" s="8"/>
      <c r="Q19" s="8">
        <v>0.3</v>
      </c>
      <c r="R19" s="19"/>
      <c r="S19" s="18"/>
      <c r="T19" s="8"/>
      <c r="U19" s="18"/>
      <c r="Y19" s="1">
        <v>2</v>
      </c>
      <c r="AJ19" s="18"/>
      <c r="AK19" s="18"/>
      <c r="AL19" s="7">
        <f>1*Umrechnungsfaktoren!$B$15/Umrechnungsfaktoren!$B$7</f>
        <v>1.1137339055793991</v>
      </c>
      <c r="AM19" s="7"/>
      <c r="AN19" s="7"/>
      <c r="AO19" s="7">
        <f>100*Umrechnungsfaktoren!$B$15/Umrechnungsfaktoren!$B$7</f>
        <v>111.3733905579399</v>
      </c>
      <c r="AP19" s="7"/>
      <c r="AQ19" s="7">
        <f>1*Umrechnungsfaktoren!$B$15/Umrechnungsfaktoren!$B$7</f>
        <v>1.1137339055793991</v>
      </c>
      <c r="AS19" s="1" t="s">
        <v>171</v>
      </c>
      <c r="AT19" s="1">
        <v>427</v>
      </c>
      <c r="AU19" s="1">
        <v>427</v>
      </c>
      <c r="AV19" s="12" t="s">
        <v>204</v>
      </c>
      <c r="AW19" s="1">
        <v>423</v>
      </c>
      <c r="AX19" s="12"/>
      <c r="AY19" s="12" t="s">
        <v>176</v>
      </c>
      <c r="AZ19" s="12"/>
      <c r="BB19" s="12"/>
      <c r="BC19" s="12"/>
      <c r="BD19" s="1">
        <v>422</v>
      </c>
      <c r="BI19" s="1" t="s">
        <v>233</v>
      </c>
      <c r="BJ19" s="1">
        <v>427</v>
      </c>
      <c r="BK19" s="1">
        <v>427</v>
      </c>
      <c r="BM19" s="1">
        <v>422</v>
      </c>
      <c r="BN19" s="1" t="s">
        <v>180</v>
      </c>
    </row>
    <row r="20" spans="1:66" x14ac:dyDescent="0.2">
      <c r="A20" s="5" t="s">
        <v>54</v>
      </c>
      <c r="B20" s="1" t="s">
        <v>129</v>
      </c>
      <c r="C20" s="1">
        <v>2010</v>
      </c>
      <c r="D20" s="1">
        <v>0</v>
      </c>
      <c r="E20" s="1">
        <v>1</v>
      </c>
      <c r="F20" s="1">
        <v>0</v>
      </c>
      <c r="G20" s="18"/>
      <c r="H20" s="18">
        <v>277</v>
      </c>
      <c r="I20" s="18">
        <v>277</v>
      </c>
      <c r="J20" s="18">
        <v>295</v>
      </c>
      <c r="K20" s="18"/>
      <c r="L20" s="18"/>
      <c r="M20" s="18"/>
      <c r="N20" s="18"/>
      <c r="O20" s="19"/>
      <c r="P20" s="8"/>
      <c r="Q20" s="8">
        <v>0.25</v>
      </c>
      <c r="R20" s="19"/>
      <c r="S20" s="18"/>
      <c r="T20" s="8"/>
      <c r="U20" s="18"/>
      <c r="V20" s="1">
        <f>7.5/60</f>
        <v>0.125</v>
      </c>
      <c r="Y20" s="1">
        <v>4</v>
      </c>
      <c r="AJ20" s="18">
        <f>10*Umrechnungsfaktoren!$B$15/Umrechnungsfaktoren!$B$7</f>
        <v>11.137339055793991</v>
      </c>
      <c r="AK20" s="18">
        <f>20*Umrechnungsfaktoren!$B$15/Umrechnungsfaktoren!$B$7</f>
        <v>22.274678111587981</v>
      </c>
      <c r="AL20" s="7">
        <f>1*Umrechnungsfaktoren!$B$15/Umrechnungsfaktoren!$B$7</f>
        <v>1.1137339055793991</v>
      </c>
      <c r="AM20" s="7">
        <f>500*Umrechnungsfaktoren!$B$15/Umrechnungsfaktoren!$B$7</f>
        <v>556.86695278969955</v>
      </c>
      <c r="AN20" s="7">
        <f>1500*Umrechnungsfaktoren!$B$15/Umrechnungsfaktoren!$B$7</f>
        <v>1670.6008583690987</v>
      </c>
      <c r="AO20" s="7"/>
      <c r="AP20" s="7"/>
      <c r="AQ20" s="7">
        <f>1*Umrechnungsfaktoren!$B$15/Umrechnungsfaktoren!$B$7</f>
        <v>1.1137339055793991</v>
      </c>
      <c r="AT20" s="1">
        <v>427</v>
      </c>
      <c r="AU20" s="1">
        <v>423</v>
      </c>
      <c r="AV20" s="12" t="s">
        <v>220</v>
      </c>
      <c r="AX20" s="12"/>
      <c r="AY20" s="12" t="s">
        <v>177</v>
      </c>
      <c r="AZ20" s="12"/>
      <c r="BB20" s="12"/>
      <c r="BC20" s="12">
        <v>423</v>
      </c>
      <c r="BD20" s="1">
        <v>423</v>
      </c>
      <c r="BI20" s="1" t="s">
        <v>233</v>
      </c>
      <c r="BJ20" s="1">
        <v>427</v>
      </c>
      <c r="BK20" s="1">
        <v>427</v>
      </c>
    </row>
    <row r="21" spans="1:66" x14ac:dyDescent="0.2">
      <c r="A21" s="1" t="s">
        <v>54</v>
      </c>
      <c r="B21" s="1" t="s">
        <v>129</v>
      </c>
      <c r="C21" s="1">
        <v>2020</v>
      </c>
      <c r="D21" s="1">
        <v>0</v>
      </c>
      <c r="E21" s="1">
        <v>1</v>
      </c>
      <c r="F21" s="1">
        <v>0</v>
      </c>
      <c r="G21" s="18"/>
      <c r="H21" s="18">
        <v>277</v>
      </c>
      <c r="I21" s="18">
        <v>277</v>
      </c>
      <c r="J21" s="18">
        <v>295</v>
      </c>
      <c r="K21" s="18"/>
      <c r="L21" s="18"/>
      <c r="M21" s="18"/>
      <c r="N21" s="18"/>
      <c r="O21" s="19"/>
      <c r="P21" s="8"/>
      <c r="Q21" s="8">
        <v>0.25</v>
      </c>
      <c r="R21" s="19"/>
      <c r="S21" s="18"/>
      <c r="T21" s="8"/>
      <c r="U21" s="18"/>
      <c r="V21" s="1">
        <f>7.5/60</f>
        <v>0.125</v>
      </c>
      <c r="Y21" s="1">
        <v>4</v>
      </c>
      <c r="AJ21" s="18">
        <f>10*Umrechnungsfaktoren!$B$15/Umrechnungsfaktoren!$B$7</f>
        <v>11.137339055793991</v>
      </c>
      <c r="AK21" s="18">
        <f>20*Umrechnungsfaktoren!$B$15/Umrechnungsfaktoren!$B$7</f>
        <v>22.274678111587981</v>
      </c>
      <c r="AL21" s="7">
        <f>2*Umrechnungsfaktoren!$B$15/Umrechnungsfaktoren!$B$7</f>
        <v>2.2274678111587982</v>
      </c>
      <c r="AM21" s="7">
        <f>500*Umrechnungsfaktoren!$B$15/Umrechnungsfaktoren!$B$7</f>
        <v>556.86695278969955</v>
      </c>
      <c r="AN21" s="7">
        <f>1500*Umrechnungsfaktoren!$B$15/Umrechnungsfaktoren!$B$7</f>
        <v>1670.6008583690987</v>
      </c>
      <c r="AO21" s="7"/>
      <c r="AP21" s="7"/>
      <c r="AQ21" s="7">
        <f>1*Umrechnungsfaktoren!$B$15/Umrechnungsfaktoren!$B$7</f>
        <v>1.1137339055793991</v>
      </c>
      <c r="AT21" s="1">
        <v>427</v>
      </c>
      <c r="AU21" s="1">
        <v>423</v>
      </c>
      <c r="AV21" s="12" t="s">
        <v>204</v>
      </c>
      <c r="AX21" s="12"/>
      <c r="AY21" s="12" t="s">
        <v>177</v>
      </c>
      <c r="AZ21" s="12"/>
      <c r="BB21" s="12"/>
      <c r="BC21" s="12">
        <v>423</v>
      </c>
      <c r="BD21" s="1">
        <v>423</v>
      </c>
      <c r="BI21" s="1" t="s">
        <v>233</v>
      </c>
      <c r="BJ21" s="1">
        <v>427</v>
      </c>
      <c r="BK21" s="1">
        <v>427</v>
      </c>
      <c r="BN21" s="1" t="s">
        <v>180</v>
      </c>
    </row>
    <row r="22" spans="1:66" x14ac:dyDescent="0.2">
      <c r="A22" s="1" t="s">
        <v>84</v>
      </c>
      <c r="B22" s="1" t="s">
        <v>129</v>
      </c>
      <c r="C22" s="1">
        <v>2010</v>
      </c>
      <c r="D22" s="1">
        <v>0</v>
      </c>
      <c r="E22" s="1">
        <v>1</v>
      </c>
      <c r="F22" s="1">
        <v>0</v>
      </c>
      <c r="G22" s="18"/>
      <c r="H22" s="18">
        <v>815</v>
      </c>
      <c r="I22" s="18">
        <v>1098</v>
      </c>
      <c r="J22" s="18">
        <v>775</v>
      </c>
      <c r="K22" s="18"/>
      <c r="L22" s="18"/>
      <c r="M22" s="18"/>
      <c r="N22" s="18"/>
      <c r="O22" s="19"/>
      <c r="P22" s="8"/>
      <c r="Q22" s="8">
        <v>0.7</v>
      </c>
      <c r="R22" s="19"/>
      <c r="S22" s="18"/>
      <c r="T22" s="8"/>
      <c r="U22" s="18">
        <v>1107</v>
      </c>
      <c r="Y22" s="1">
        <v>0.5</v>
      </c>
      <c r="AG22" s="1" t="s">
        <v>172</v>
      </c>
      <c r="AJ22" s="18"/>
      <c r="AK22" s="18"/>
      <c r="AL22" s="7">
        <f>1*Umrechnungsfaktoren!$B$15/Umrechnungsfaktoren!$B$7</f>
        <v>1.1137339055793991</v>
      </c>
      <c r="AM22" s="7"/>
      <c r="AN22" s="7"/>
      <c r="AO22" s="7">
        <f>1000*Umrechnungsfaktoren!$B$15/Umrechnungsfaktoren!$B$7</f>
        <v>1113.7339055793991</v>
      </c>
      <c r="AP22" s="7"/>
      <c r="AQ22" s="7">
        <f>1*Umrechnungsfaktoren!$B$15/Umrechnungsfaktoren!$B$7</f>
        <v>1.1137339055793991</v>
      </c>
      <c r="AS22" s="1" t="s">
        <v>1079</v>
      </c>
      <c r="AT22" s="1">
        <v>427</v>
      </c>
      <c r="AU22" s="1">
        <v>424</v>
      </c>
      <c r="AV22" s="12" t="s">
        <v>221</v>
      </c>
      <c r="AX22" s="12"/>
      <c r="AY22" s="12" t="s">
        <v>178</v>
      </c>
      <c r="AZ22" s="12"/>
      <c r="BB22" s="12">
        <v>424</v>
      </c>
      <c r="BC22" s="12"/>
      <c r="BD22" s="1">
        <v>424</v>
      </c>
      <c r="BI22" s="1" t="s">
        <v>233</v>
      </c>
      <c r="BJ22" s="1">
        <v>427</v>
      </c>
      <c r="BK22" s="1">
        <v>427</v>
      </c>
      <c r="BM22" s="1">
        <v>424</v>
      </c>
    </row>
    <row r="23" spans="1:66" x14ac:dyDescent="0.2">
      <c r="A23" s="1" t="s">
        <v>84</v>
      </c>
      <c r="B23" s="1" t="s">
        <v>129</v>
      </c>
      <c r="C23" s="1">
        <v>2020</v>
      </c>
      <c r="D23" s="1">
        <v>0</v>
      </c>
      <c r="E23" s="1">
        <v>1</v>
      </c>
      <c r="F23" s="1">
        <v>0</v>
      </c>
      <c r="G23" s="18"/>
      <c r="H23" s="18">
        <v>815</v>
      </c>
      <c r="I23" s="18">
        <v>1098</v>
      </c>
      <c r="J23" s="18">
        <v>775</v>
      </c>
      <c r="K23" s="18"/>
      <c r="L23" s="18"/>
      <c r="M23" s="18"/>
      <c r="N23" s="18"/>
      <c r="O23" s="19"/>
      <c r="P23" s="8"/>
      <c r="Q23" s="8">
        <v>0.7</v>
      </c>
      <c r="R23" s="19"/>
      <c r="S23" s="18"/>
      <c r="T23" s="8"/>
      <c r="U23" s="18">
        <v>1107</v>
      </c>
      <c r="Y23" s="1">
        <v>0.5</v>
      </c>
      <c r="AG23" s="1" t="s">
        <v>172</v>
      </c>
      <c r="AJ23" s="18"/>
      <c r="AK23" s="18"/>
      <c r="AL23" s="7">
        <f>1*Umrechnungsfaktoren!$B$15/Umrechnungsfaktoren!$B$7</f>
        <v>1.1137339055793991</v>
      </c>
      <c r="AM23" s="7"/>
      <c r="AN23" s="7"/>
      <c r="AO23" s="7">
        <f>1000*Umrechnungsfaktoren!$B$15/Umrechnungsfaktoren!$B$7</f>
        <v>1113.7339055793991</v>
      </c>
      <c r="AP23" s="7"/>
      <c r="AQ23" s="7">
        <f>1*Umrechnungsfaktoren!$B$15/Umrechnungsfaktoren!$B$7</f>
        <v>1.1137339055793991</v>
      </c>
      <c r="AS23" s="1" t="s">
        <v>1079</v>
      </c>
      <c r="AT23" s="1">
        <v>427</v>
      </c>
      <c r="AU23" s="1">
        <v>424</v>
      </c>
      <c r="AV23" s="12" t="s">
        <v>206</v>
      </c>
      <c r="AX23" s="12"/>
      <c r="AY23" s="12" t="s">
        <v>178</v>
      </c>
      <c r="AZ23" s="12"/>
      <c r="BB23" s="12">
        <v>424</v>
      </c>
      <c r="BC23" s="12"/>
      <c r="BD23" s="1">
        <v>424</v>
      </c>
      <c r="BI23" s="1" t="s">
        <v>233</v>
      </c>
      <c r="BJ23" s="1">
        <v>427</v>
      </c>
      <c r="BK23" s="1">
        <v>427</v>
      </c>
      <c r="BM23" s="1">
        <v>424</v>
      </c>
      <c r="BN23" s="1" t="s">
        <v>180</v>
      </c>
    </row>
    <row r="24" spans="1:66" x14ac:dyDescent="0.2">
      <c r="A24" s="1" t="s">
        <v>77</v>
      </c>
      <c r="B24" s="1" t="s">
        <v>129</v>
      </c>
      <c r="C24" s="1">
        <v>2010</v>
      </c>
      <c r="D24" s="1">
        <v>1</v>
      </c>
      <c r="E24" s="1">
        <v>0</v>
      </c>
      <c r="F24" s="1">
        <v>0</v>
      </c>
      <c r="G24" s="18"/>
      <c r="H24" s="18">
        <v>217</v>
      </c>
      <c r="I24" s="18">
        <v>311</v>
      </c>
      <c r="J24" s="18">
        <v>222</v>
      </c>
      <c r="K24" s="18"/>
      <c r="L24" s="18">
        <v>94</v>
      </c>
      <c r="M24" s="18"/>
      <c r="N24" s="18"/>
      <c r="O24" s="19"/>
      <c r="P24" s="8"/>
      <c r="Q24" s="8">
        <v>0.65</v>
      </c>
      <c r="R24" s="19"/>
      <c r="S24" s="18"/>
      <c r="T24" s="8"/>
      <c r="U24" s="18"/>
      <c r="AE24" s="1">
        <v>1.5</v>
      </c>
      <c r="AJ24" s="18">
        <f>5*Umrechnungsfaktoren!$B$15/Umrechnungsfaktoren!$B$7</f>
        <v>5.5686695278969953</v>
      </c>
      <c r="AK24" s="18">
        <f>20*Umrechnungsfaktoren!$B$15/Umrechnungsfaktoren!$B$7</f>
        <v>22.274678111587981</v>
      </c>
      <c r="AL24" s="7"/>
      <c r="AM24" s="7"/>
      <c r="AN24" s="7"/>
      <c r="AO24" s="7">
        <f>10*Umrechnungsfaktoren!$B$15/Umrechnungsfaktoren!$B$7</f>
        <v>11.137339055793991</v>
      </c>
      <c r="AP24" s="7">
        <f>1*Umrechnungsfaktoren!$B$15/Umrechnungsfaktoren!$B$7</f>
        <v>1.1137339055793991</v>
      </c>
      <c r="AQ24" s="7">
        <f>90*Umrechnungsfaktoren!$B$15/Umrechnungsfaktoren!$B$7</f>
        <v>100.23605150214591</v>
      </c>
      <c r="AS24" s="1" t="s">
        <v>208</v>
      </c>
      <c r="AT24" s="1">
        <v>424</v>
      </c>
      <c r="AU24" s="1">
        <v>427</v>
      </c>
      <c r="AV24" s="12" t="s">
        <v>221</v>
      </c>
      <c r="AW24" s="1">
        <v>424</v>
      </c>
      <c r="AX24" s="12"/>
      <c r="AY24" s="12" t="s">
        <v>178</v>
      </c>
      <c r="AZ24" s="12"/>
      <c r="BB24" s="12"/>
      <c r="BC24" s="12"/>
      <c r="BE24" s="1" t="s">
        <v>207</v>
      </c>
      <c r="BI24" s="1" t="s">
        <v>233</v>
      </c>
      <c r="BJ24" s="1">
        <v>427</v>
      </c>
      <c r="BK24" s="1" t="s">
        <v>334</v>
      </c>
    </row>
    <row r="25" spans="1:66" x14ac:dyDescent="0.2">
      <c r="A25" s="1" t="s">
        <v>77</v>
      </c>
      <c r="B25" s="1" t="s">
        <v>129</v>
      </c>
      <c r="C25" s="1">
        <v>2020</v>
      </c>
      <c r="D25" s="1">
        <v>1</v>
      </c>
      <c r="E25" s="1">
        <v>0</v>
      </c>
      <c r="F25" s="1">
        <v>0</v>
      </c>
      <c r="G25" s="18"/>
      <c r="H25" s="18">
        <v>217</v>
      </c>
      <c r="I25" s="18">
        <v>311</v>
      </c>
      <c r="J25" s="18">
        <v>222</v>
      </c>
      <c r="K25" s="18"/>
      <c r="L25" s="18">
        <v>94</v>
      </c>
      <c r="M25" s="18"/>
      <c r="N25" s="18"/>
      <c r="O25" s="19"/>
      <c r="P25" s="8"/>
      <c r="Q25" s="8">
        <v>0.65</v>
      </c>
      <c r="R25" s="19"/>
      <c r="S25" s="18"/>
      <c r="T25" s="8"/>
      <c r="U25" s="18"/>
      <c r="AE25" s="1">
        <v>1.5</v>
      </c>
      <c r="AJ25" s="18">
        <f>5*Umrechnungsfaktoren!$B$15/Umrechnungsfaktoren!$B$7</f>
        <v>5.5686695278969953</v>
      </c>
      <c r="AK25" s="18">
        <f>20*Umrechnungsfaktoren!$B$15/Umrechnungsfaktoren!$B$7</f>
        <v>22.274678111587981</v>
      </c>
      <c r="AL25" s="7"/>
      <c r="AM25" s="7"/>
      <c r="AN25" s="7"/>
      <c r="AO25" s="7">
        <f>10*Umrechnungsfaktoren!$B$15/Umrechnungsfaktoren!$B$7</f>
        <v>11.137339055793991</v>
      </c>
      <c r="AP25" s="7">
        <f>1*Umrechnungsfaktoren!$B$15/Umrechnungsfaktoren!$B$7</f>
        <v>1.1137339055793991</v>
      </c>
      <c r="AQ25" s="7">
        <f>90*Umrechnungsfaktoren!$B$15/Umrechnungsfaktoren!$B$7</f>
        <v>100.23605150214591</v>
      </c>
      <c r="AS25" s="1" t="s">
        <v>208</v>
      </c>
      <c r="AT25" s="1">
        <v>424</v>
      </c>
      <c r="AU25" s="1">
        <v>427</v>
      </c>
      <c r="AV25" s="12" t="s">
        <v>206</v>
      </c>
      <c r="AW25" s="1">
        <v>424</v>
      </c>
      <c r="AX25" s="12"/>
      <c r="AY25" s="12" t="s">
        <v>178</v>
      </c>
      <c r="AZ25" s="12"/>
      <c r="BB25" s="12"/>
      <c r="BC25" s="12"/>
      <c r="BE25" s="1" t="s">
        <v>207</v>
      </c>
      <c r="BI25" s="1" t="s">
        <v>233</v>
      </c>
      <c r="BJ25" s="1">
        <v>427</v>
      </c>
      <c r="BK25" s="1" t="s">
        <v>334</v>
      </c>
      <c r="BN25" s="1" t="s">
        <v>180</v>
      </c>
    </row>
    <row r="26" spans="1:66" x14ac:dyDescent="0.2">
      <c r="A26" s="1" t="s">
        <v>222</v>
      </c>
      <c r="B26" s="1" t="s">
        <v>129</v>
      </c>
      <c r="C26" s="1">
        <v>2010</v>
      </c>
      <c r="D26" s="1">
        <v>1</v>
      </c>
      <c r="E26" s="1">
        <v>0</v>
      </c>
      <c r="F26" s="1">
        <v>0</v>
      </c>
      <c r="G26" s="18"/>
      <c r="H26" s="18">
        <v>1598</v>
      </c>
      <c r="I26" s="18"/>
      <c r="J26" s="18"/>
      <c r="K26" s="18"/>
      <c r="L26" s="18">
        <v>2680</v>
      </c>
      <c r="M26" s="18"/>
      <c r="N26" s="18"/>
      <c r="O26" s="19"/>
      <c r="P26" s="8"/>
      <c r="Q26" s="8"/>
      <c r="R26" s="19"/>
      <c r="S26" s="18"/>
      <c r="T26" s="8"/>
      <c r="U26" s="18">
        <v>4278</v>
      </c>
      <c r="AJ26" s="18"/>
      <c r="AK26" s="18"/>
      <c r="AL26" s="1">
        <f>22*Umrechnungsfaktoren!$B$15/Umrechnungsfaktoren!$B$7</f>
        <v>24.502145922746781</v>
      </c>
      <c r="AM26" s="7"/>
      <c r="AN26" s="7"/>
      <c r="AO26" s="7"/>
      <c r="AP26" s="7"/>
      <c r="AQ26" s="7"/>
      <c r="AT26" s="12">
        <v>526</v>
      </c>
      <c r="AU26" s="1">
        <v>526</v>
      </c>
      <c r="AV26" s="12">
        <v>526</v>
      </c>
      <c r="AW26" s="1">
        <v>526</v>
      </c>
      <c r="AX26" s="12"/>
      <c r="AY26" s="12"/>
      <c r="AZ26" s="12"/>
      <c r="BB26" s="12">
        <v>526</v>
      </c>
      <c r="BC26" s="12"/>
      <c r="BI26" s="1">
        <v>532</v>
      </c>
    </row>
    <row r="27" spans="1:66" x14ac:dyDescent="0.2">
      <c r="A27" s="1" t="s">
        <v>222</v>
      </c>
      <c r="B27" s="1" t="s">
        <v>129</v>
      </c>
      <c r="C27" s="1">
        <v>2020</v>
      </c>
      <c r="D27" s="1">
        <v>1</v>
      </c>
      <c r="E27" s="1">
        <v>0</v>
      </c>
      <c r="F27" s="1">
        <v>0</v>
      </c>
      <c r="G27" s="18"/>
      <c r="H27" s="18">
        <v>1598</v>
      </c>
      <c r="I27" s="18"/>
      <c r="J27" s="18"/>
      <c r="K27" s="18"/>
      <c r="L27" s="18">
        <v>2680</v>
      </c>
      <c r="M27" s="18"/>
      <c r="N27" s="18"/>
      <c r="O27" s="19"/>
      <c r="P27" s="8"/>
      <c r="Q27" s="8"/>
      <c r="R27" s="19"/>
      <c r="S27" s="18"/>
      <c r="T27" s="8"/>
      <c r="U27" s="18">
        <v>4278</v>
      </c>
      <c r="AJ27" s="18"/>
      <c r="AK27" s="18"/>
      <c r="AL27" s="1">
        <f>2*Umrechnungsfaktoren!$B$15/Umrechnungsfaktoren!$B$7</f>
        <v>2.2274678111587982</v>
      </c>
      <c r="AM27" s="7"/>
      <c r="AN27" s="7"/>
      <c r="AO27" s="7"/>
      <c r="AP27" s="7"/>
      <c r="AQ27" s="7"/>
      <c r="AT27" s="12"/>
      <c r="AV27" s="12"/>
      <c r="AX27" s="12"/>
      <c r="AY27" s="12"/>
      <c r="AZ27" s="12"/>
      <c r="BB27" s="12"/>
      <c r="BC27" s="12"/>
      <c r="BI27" s="1">
        <v>532</v>
      </c>
    </row>
    <row r="28" spans="1:66" x14ac:dyDescent="0.2">
      <c r="A28" s="1" t="s">
        <v>211</v>
      </c>
      <c r="B28" s="1" t="s">
        <v>129</v>
      </c>
      <c r="C28" s="1">
        <v>2010</v>
      </c>
      <c r="D28" s="1">
        <v>1</v>
      </c>
      <c r="E28" s="1">
        <v>0</v>
      </c>
      <c r="F28" s="1">
        <v>0</v>
      </c>
      <c r="G28" s="18"/>
      <c r="H28" s="18">
        <v>1075</v>
      </c>
      <c r="I28" s="18"/>
      <c r="J28" s="18"/>
      <c r="K28" s="18"/>
      <c r="L28" s="18">
        <v>141</v>
      </c>
      <c r="M28" s="18"/>
      <c r="N28" s="18"/>
      <c r="O28" s="19"/>
      <c r="P28" s="8"/>
      <c r="Q28" s="8"/>
      <c r="R28" s="19"/>
      <c r="S28" s="18"/>
      <c r="T28" s="8"/>
      <c r="U28" s="18">
        <v>1215</v>
      </c>
      <c r="AJ28" s="18"/>
      <c r="AK28" s="18"/>
      <c r="AL28" s="1">
        <f>389*Umrechnungsfaktoren!$B$15/Umrechnungsfaktoren!$B$7</f>
        <v>433.24248927038622</v>
      </c>
      <c r="AM28" s="7"/>
      <c r="AN28" s="7"/>
      <c r="AO28" s="7"/>
      <c r="AP28" s="7"/>
      <c r="AQ28" s="7"/>
      <c r="AT28" s="1">
        <v>527</v>
      </c>
      <c r="AU28" s="1">
        <v>527</v>
      </c>
      <c r="AV28" s="12">
        <v>526</v>
      </c>
      <c r="AW28" s="1">
        <v>526</v>
      </c>
      <c r="AX28" s="12"/>
      <c r="AY28" s="12"/>
      <c r="AZ28" s="12"/>
      <c r="BB28" s="12">
        <v>526</v>
      </c>
      <c r="BC28" s="12"/>
      <c r="BI28" s="1">
        <v>532</v>
      </c>
    </row>
    <row r="29" spans="1:66" x14ac:dyDescent="0.2">
      <c r="A29" s="1" t="s">
        <v>211</v>
      </c>
      <c r="B29" s="1" t="s">
        <v>129</v>
      </c>
      <c r="C29" s="1">
        <v>2020</v>
      </c>
      <c r="D29" s="1">
        <v>1</v>
      </c>
      <c r="E29" s="1">
        <v>0</v>
      </c>
      <c r="F29" s="1">
        <v>0</v>
      </c>
      <c r="G29" s="18"/>
      <c r="H29" s="18">
        <v>1075</v>
      </c>
      <c r="I29" s="18"/>
      <c r="J29" s="18"/>
      <c r="K29" s="18"/>
      <c r="L29" s="18">
        <v>141</v>
      </c>
      <c r="M29" s="18"/>
      <c r="N29" s="18"/>
      <c r="O29" s="19"/>
      <c r="P29" s="8"/>
      <c r="Q29" s="8"/>
      <c r="R29" s="19"/>
      <c r="S29" s="18"/>
      <c r="T29" s="8"/>
      <c r="U29" s="18">
        <v>1215</v>
      </c>
      <c r="AJ29" s="18"/>
      <c r="AK29" s="18"/>
      <c r="AL29" s="1">
        <f>28*Umrechnungsfaktoren!$B$15/Umrechnungsfaktoren!$B$7</f>
        <v>31.184549356223172</v>
      </c>
      <c r="AM29" s="7"/>
      <c r="AN29" s="7"/>
      <c r="AO29" s="7"/>
      <c r="AP29" s="7"/>
      <c r="AQ29" s="7"/>
      <c r="AV29" s="12"/>
      <c r="AX29" s="12"/>
      <c r="AY29" s="12"/>
      <c r="AZ29" s="12"/>
      <c r="BB29" s="12"/>
      <c r="BC29" s="12"/>
      <c r="BI29" s="1">
        <v>532</v>
      </c>
    </row>
    <row r="30" spans="1:66" x14ac:dyDescent="0.2">
      <c r="A30" s="1" t="s">
        <v>209</v>
      </c>
      <c r="B30" s="1" t="s">
        <v>129</v>
      </c>
      <c r="C30" s="1">
        <v>2010</v>
      </c>
      <c r="D30" s="1">
        <v>1</v>
      </c>
      <c r="E30" s="1">
        <v>1</v>
      </c>
      <c r="F30" s="1">
        <v>0</v>
      </c>
      <c r="G30" s="18"/>
      <c r="H30" s="18">
        <f>1478+572</f>
        <v>2050</v>
      </c>
      <c r="I30" s="18"/>
      <c r="J30" s="18"/>
      <c r="K30" s="18"/>
      <c r="L30" s="18">
        <f>703</f>
        <v>703</v>
      </c>
      <c r="M30" s="18">
        <f>Tabelle589[[#This Row],[Potenzial pos. MW Durchschnitt]]-572</f>
        <v>1478</v>
      </c>
      <c r="N30" s="18"/>
      <c r="O30" s="19"/>
      <c r="P30" s="8"/>
      <c r="Q30" s="8"/>
      <c r="R30" s="19"/>
      <c r="S30" s="18"/>
      <c r="T30" s="8"/>
      <c r="U30" s="18">
        <f>2180+572</f>
        <v>2752</v>
      </c>
      <c r="AJ30" s="18"/>
      <c r="AK30" s="18"/>
      <c r="AL30" s="1">
        <f>4*Umrechnungsfaktoren!$B$15/Umrechnungsfaktoren!$B$7</f>
        <v>4.4549356223175964</v>
      </c>
      <c r="AM30" s="7"/>
      <c r="AN30" s="7"/>
      <c r="AO30" s="7"/>
      <c r="AP30" s="7"/>
      <c r="AQ30" s="7"/>
      <c r="AS30" s="1" t="s">
        <v>223</v>
      </c>
      <c r="AT30" s="1">
        <v>527</v>
      </c>
      <c r="AU30" s="1">
        <v>527</v>
      </c>
      <c r="AV30" s="12">
        <v>527</v>
      </c>
      <c r="AW30" s="1">
        <v>527</v>
      </c>
      <c r="AX30" s="12"/>
      <c r="AY30" s="12"/>
      <c r="AZ30" s="12"/>
      <c r="BB30" s="12">
        <v>527</v>
      </c>
      <c r="BC30" s="12"/>
      <c r="BI30" s="1">
        <v>532</v>
      </c>
    </row>
    <row r="31" spans="1:66" x14ac:dyDescent="0.2">
      <c r="A31" s="1" t="s">
        <v>209</v>
      </c>
      <c r="B31" s="1" t="s">
        <v>129</v>
      </c>
      <c r="C31" s="1">
        <v>2020</v>
      </c>
      <c r="D31" s="1">
        <v>1</v>
      </c>
      <c r="E31" s="1">
        <v>1</v>
      </c>
      <c r="F31" s="1">
        <v>0</v>
      </c>
      <c r="G31" s="18"/>
      <c r="H31" s="18">
        <f>1478+572</f>
        <v>2050</v>
      </c>
      <c r="I31" s="18"/>
      <c r="J31" s="18"/>
      <c r="K31" s="18"/>
      <c r="L31" s="18">
        <f>703</f>
        <v>703</v>
      </c>
      <c r="M31" s="18"/>
      <c r="N31" s="18"/>
      <c r="O31" s="19"/>
      <c r="P31" s="8"/>
      <c r="Q31" s="8"/>
      <c r="R31" s="19"/>
      <c r="S31" s="18"/>
      <c r="T31" s="8"/>
      <c r="U31" s="18">
        <f>2180+572</f>
        <v>2752</v>
      </c>
      <c r="AJ31" s="18"/>
      <c r="AK31" s="18"/>
      <c r="AL31" s="1">
        <f>1*Umrechnungsfaktoren!$B$15/Umrechnungsfaktoren!$B$7</f>
        <v>1.1137339055793991</v>
      </c>
      <c r="AM31" s="7"/>
      <c r="AN31" s="7"/>
      <c r="AO31" s="7"/>
      <c r="AP31" s="7"/>
      <c r="AQ31" s="7"/>
      <c r="AS31" s="1" t="s">
        <v>223</v>
      </c>
      <c r="AV31" s="12"/>
      <c r="AX31" s="12"/>
      <c r="AY31" s="12"/>
      <c r="AZ31" s="12"/>
      <c r="BB31" s="12"/>
      <c r="BC31" s="12"/>
      <c r="BI31" s="1">
        <v>532</v>
      </c>
    </row>
    <row r="32" spans="1:66" x14ac:dyDescent="0.2">
      <c r="A32" s="1" t="s">
        <v>81</v>
      </c>
      <c r="B32" s="1" t="s">
        <v>129</v>
      </c>
      <c r="C32" s="1">
        <v>2010</v>
      </c>
      <c r="D32" s="1">
        <v>0</v>
      </c>
      <c r="E32" s="1">
        <v>0</v>
      </c>
      <c r="F32" s="1">
        <v>0</v>
      </c>
      <c r="G32" s="18"/>
      <c r="H32" s="18"/>
      <c r="I32" s="18"/>
      <c r="J32" s="18"/>
      <c r="K32" s="18"/>
      <c r="L32" s="18"/>
      <c r="M32" s="18"/>
      <c r="N32" s="18"/>
      <c r="O32" s="19"/>
      <c r="P32" s="8"/>
      <c r="Q32" s="8"/>
      <c r="R32" s="19"/>
      <c r="S32" s="18"/>
      <c r="T32" s="8"/>
      <c r="U32" s="18"/>
      <c r="V32" s="1">
        <v>12</v>
      </c>
      <c r="AJ32" s="18"/>
      <c r="AK32" s="18"/>
      <c r="AO32" s="7"/>
      <c r="AP32" s="7"/>
      <c r="AQ32" s="7"/>
      <c r="AS32" s="1" t="s">
        <v>175</v>
      </c>
      <c r="AV32" s="12"/>
      <c r="AX32" s="12"/>
      <c r="AY32" s="12"/>
      <c r="AZ32" s="12"/>
      <c r="BB32" s="12"/>
      <c r="BC32" s="12"/>
      <c r="BM32" s="1">
        <v>424</v>
      </c>
    </row>
    <row r="33" spans="1:65" x14ac:dyDescent="0.2">
      <c r="A33" s="1" t="s">
        <v>82</v>
      </c>
      <c r="B33" s="1" t="s">
        <v>129</v>
      </c>
      <c r="C33" s="1">
        <v>2010</v>
      </c>
      <c r="D33" s="1">
        <v>0</v>
      </c>
      <c r="E33" s="1">
        <v>0</v>
      </c>
      <c r="F33" s="1">
        <v>0</v>
      </c>
      <c r="G33" s="18"/>
      <c r="H33" s="18"/>
      <c r="I33" s="18"/>
      <c r="J33" s="18"/>
      <c r="K33" s="18"/>
      <c r="L33" s="18"/>
      <c r="M33" s="18"/>
      <c r="N33" s="18"/>
      <c r="O33" s="19"/>
      <c r="P33" s="8"/>
      <c r="Q33" s="8"/>
      <c r="R33" s="19"/>
      <c r="S33" s="18"/>
      <c r="T33" s="8"/>
      <c r="U33" s="18"/>
      <c r="AJ33" s="18"/>
      <c r="AK33" s="18"/>
      <c r="AO33" s="7"/>
      <c r="AP33" s="7"/>
      <c r="AQ33" s="7"/>
      <c r="AS33" s="1" t="s">
        <v>174</v>
      </c>
      <c r="AV33" s="12"/>
      <c r="AX33" s="12"/>
      <c r="AY33" s="12"/>
      <c r="AZ33" s="12"/>
      <c r="BB33" s="12"/>
      <c r="BC33" s="12"/>
      <c r="BM33" s="1">
        <v>424</v>
      </c>
    </row>
    <row r="34" spans="1:65" x14ac:dyDescent="0.2">
      <c r="A34" s="1" t="s">
        <v>209</v>
      </c>
      <c r="B34" s="1" t="s">
        <v>130</v>
      </c>
      <c r="C34" s="1">
        <v>2010</v>
      </c>
      <c r="D34" s="1">
        <v>1</v>
      </c>
      <c r="E34" s="1">
        <v>0</v>
      </c>
      <c r="F34" s="1">
        <v>0</v>
      </c>
      <c r="G34" s="18"/>
      <c r="H34" s="18">
        <v>656</v>
      </c>
      <c r="I34" s="18">
        <v>1200</v>
      </c>
      <c r="J34" s="18"/>
      <c r="K34" s="18"/>
      <c r="L34" s="18">
        <v>367</v>
      </c>
      <c r="M34" s="18"/>
      <c r="N34" s="18"/>
      <c r="O34" s="19"/>
      <c r="P34" s="8"/>
      <c r="Q34" s="8"/>
      <c r="R34" s="19"/>
      <c r="S34" s="18"/>
      <c r="T34" s="8"/>
      <c r="U34" s="18">
        <v>2800</v>
      </c>
      <c r="AC34" s="1">
        <v>0.5</v>
      </c>
      <c r="AD34" s="1">
        <v>2</v>
      </c>
      <c r="AJ34" s="18">
        <f>3*Umrechnungsfaktoren!$B$15/Umrechnungsfaktoren!$B$7</f>
        <v>3.3412017167381971</v>
      </c>
      <c r="AK34" s="18">
        <f>886*Umrechnungsfaktoren!$B$15/Umrechnungsfaktoren!$B$7</f>
        <v>986.76824034334754</v>
      </c>
      <c r="AM34" s="7"/>
      <c r="AN34" s="7"/>
      <c r="AO34" s="7">
        <f>1*Umrechnungsfaktoren!$B$15/Umrechnungsfaktoren!$B$7</f>
        <v>1.1137339055793991</v>
      </c>
      <c r="AP34" s="7"/>
      <c r="AQ34" s="7"/>
      <c r="AT34" s="12">
        <v>519</v>
      </c>
      <c r="AU34" s="1">
        <v>519</v>
      </c>
      <c r="AV34" s="12">
        <v>519</v>
      </c>
      <c r="AW34" s="1">
        <v>519</v>
      </c>
      <c r="AX34" s="12"/>
      <c r="AY34" s="12"/>
      <c r="AZ34" s="12"/>
      <c r="BB34" s="12">
        <v>519</v>
      </c>
      <c r="BC34" s="12"/>
      <c r="BE34" s="1">
        <v>519</v>
      </c>
      <c r="BI34" s="1">
        <v>532</v>
      </c>
      <c r="BJ34" s="1">
        <v>530</v>
      </c>
    </row>
    <row r="35" spans="1:65" x14ac:dyDescent="0.2">
      <c r="A35" s="1" t="s">
        <v>209</v>
      </c>
      <c r="B35" s="1" t="s">
        <v>130</v>
      </c>
      <c r="C35" s="1">
        <v>2020</v>
      </c>
      <c r="D35" s="1">
        <v>1</v>
      </c>
      <c r="E35" s="1">
        <v>0</v>
      </c>
      <c r="F35" s="1">
        <v>0</v>
      </c>
      <c r="G35" s="18"/>
      <c r="H35" s="18">
        <v>656</v>
      </c>
      <c r="I35" s="18">
        <v>1200</v>
      </c>
      <c r="J35" s="18"/>
      <c r="K35" s="18"/>
      <c r="L35" s="18">
        <v>367</v>
      </c>
      <c r="M35" s="18"/>
      <c r="N35" s="18"/>
      <c r="O35" s="19"/>
      <c r="P35" s="8"/>
      <c r="Q35" s="8"/>
      <c r="R35" s="19"/>
      <c r="S35" s="18"/>
      <c r="T35" s="8"/>
      <c r="U35" s="18">
        <v>2800</v>
      </c>
      <c r="AC35" s="1">
        <v>0.5</v>
      </c>
      <c r="AD35" s="1">
        <v>2</v>
      </c>
      <c r="AJ35" s="18">
        <f>1*Umrechnungsfaktoren!$B$15/Umrechnungsfaktoren!$B$7</f>
        <v>1.1137339055793991</v>
      </c>
      <c r="AK35" s="18">
        <f>55*Umrechnungsfaktoren!$B$15/Umrechnungsfaktoren!$B$7</f>
        <v>61.25536480686695</v>
      </c>
      <c r="AM35" s="7"/>
      <c r="AN35" s="7"/>
      <c r="AO35" s="7">
        <f>1*Umrechnungsfaktoren!$B$15/Umrechnungsfaktoren!$B$7</f>
        <v>1.1137339055793991</v>
      </c>
      <c r="AP35" s="7"/>
      <c r="AQ35" s="7"/>
      <c r="AT35" s="12"/>
      <c r="AV35" s="12"/>
      <c r="AX35" s="12"/>
      <c r="AY35" s="12"/>
      <c r="AZ35" s="12"/>
      <c r="BB35" s="12"/>
      <c r="BC35" s="12"/>
      <c r="BI35" s="1">
        <v>532</v>
      </c>
    </row>
    <row r="36" spans="1:65" x14ac:dyDescent="0.2">
      <c r="A36" s="1" t="s">
        <v>210</v>
      </c>
      <c r="B36" s="1" t="s">
        <v>130</v>
      </c>
      <c r="C36" s="1">
        <v>2010</v>
      </c>
      <c r="D36" s="1">
        <v>1</v>
      </c>
      <c r="E36" s="1">
        <v>0</v>
      </c>
      <c r="F36" s="1">
        <v>0</v>
      </c>
      <c r="G36" s="18"/>
      <c r="H36" s="18">
        <v>107</v>
      </c>
      <c r="I36" s="18"/>
      <c r="J36" s="18"/>
      <c r="K36" s="18"/>
      <c r="L36" s="18">
        <v>703</v>
      </c>
      <c r="M36" s="18"/>
      <c r="N36" s="18"/>
      <c r="O36" s="19"/>
      <c r="P36" s="8"/>
      <c r="Q36" s="8">
        <v>0.25</v>
      </c>
      <c r="R36" s="19"/>
      <c r="S36" s="18"/>
      <c r="T36" s="8"/>
      <c r="U36" s="18"/>
      <c r="AJ36" s="18">
        <f>28*Umrechnungsfaktoren!$B$15/Umrechnungsfaktoren!$B$7</f>
        <v>31.184549356223172</v>
      </c>
      <c r="AK36" s="18">
        <f>179*Umrechnungsfaktoren!$B$15/Umrechnungsfaktoren!$B$7</f>
        <v>199.35836909871244</v>
      </c>
      <c r="AM36" s="7"/>
      <c r="AN36" s="7"/>
      <c r="AO36" s="7">
        <f>1*Umrechnungsfaktoren!$B$15/Umrechnungsfaktoren!$B$7</f>
        <v>1.1137339055793991</v>
      </c>
      <c r="AP36" s="7"/>
      <c r="AQ36" s="7"/>
      <c r="AT36" s="12">
        <v>520</v>
      </c>
      <c r="AU36" s="1">
        <v>520</v>
      </c>
      <c r="AV36" s="12">
        <v>520</v>
      </c>
      <c r="AW36" s="1">
        <v>520</v>
      </c>
      <c r="AX36" s="12"/>
      <c r="AY36" s="12">
        <v>520</v>
      </c>
      <c r="AZ36" s="12"/>
      <c r="BB36" s="12"/>
      <c r="BC36" s="12"/>
      <c r="BI36" s="1">
        <v>532</v>
      </c>
      <c r="BJ36" s="1">
        <v>530</v>
      </c>
    </row>
    <row r="37" spans="1:65" x14ac:dyDescent="0.2">
      <c r="A37" s="1" t="s">
        <v>210</v>
      </c>
      <c r="B37" s="1" t="s">
        <v>130</v>
      </c>
      <c r="C37" s="1">
        <v>2020</v>
      </c>
      <c r="D37" s="1">
        <v>1</v>
      </c>
      <c r="E37" s="1">
        <v>0</v>
      </c>
      <c r="F37" s="1">
        <v>0</v>
      </c>
      <c r="G37" s="18"/>
      <c r="H37" s="18">
        <v>107</v>
      </c>
      <c r="I37" s="18"/>
      <c r="J37" s="18"/>
      <c r="K37" s="18"/>
      <c r="L37" s="18">
        <v>703</v>
      </c>
      <c r="M37" s="18"/>
      <c r="N37" s="18"/>
      <c r="O37" s="19"/>
      <c r="P37" s="8"/>
      <c r="Q37" s="8">
        <v>0.25</v>
      </c>
      <c r="R37" s="19"/>
      <c r="S37" s="18"/>
      <c r="T37" s="8"/>
      <c r="U37" s="18"/>
      <c r="AJ37" s="18">
        <f>2*Umrechnungsfaktoren!$B$15/Umrechnungsfaktoren!$B$7</f>
        <v>2.2274678111587982</v>
      </c>
      <c r="AK37" s="18">
        <f>13*Umrechnungsfaktoren!$B$15/Umrechnungsfaktoren!$B$7</f>
        <v>14.478540772532188</v>
      </c>
      <c r="AM37" s="7"/>
      <c r="AN37" s="7"/>
      <c r="AO37" s="7">
        <f>1*Umrechnungsfaktoren!$B$15/Umrechnungsfaktoren!$B$7</f>
        <v>1.1137339055793991</v>
      </c>
      <c r="AP37" s="7"/>
      <c r="AQ37" s="7"/>
      <c r="AT37" s="12"/>
      <c r="AV37" s="12"/>
      <c r="AX37" s="12"/>
      <c r="AY37" s="12"/>
      <c r="AZ37" s="12"/>
      <c r="BB37" s="12"/>
      <c r="BC37" s="12"/>
      <c r="BI37" s="1">
        <v>532</v>
      </c>
    </row>
    <row r="38" spans="1:65" x14ac:dyDescent="0.2">
      <c r="A38" s="1" t="s">
        <v>211</v>
      </c>
      <c r="B38" s="1" t="s">
        <v>130</v>
      </c>
      <c r="C38" s="1">
        <v>2010</v>
      </c>
      <c r="D38" s="1">
        <v>1</v>
      </c>
      <c r="E38" s="1">
        <v>0</v>
      </c>
      <c r="F38" s="1">
        <v>0</v>
      </c>
      <c r="G38" s="18"/>
      <c r="H38" s="18">
        <v>476</v>
      </c>
      <c r="I38" s="18"/>
      <c r="J38" s="18"/>
      <c r="K38" s="18"/>
      <c r="L38" s="18">
        <v>1372</v>
      </c>
      <c r="M38" s="18"/>
      <c r="N38" s="18"/>
      <c r="O38" s="19"/>
      <c r="P38" s="8"/>
      <c r="Q38" s="8"/>
      <c r="R38" s="19"/>
      <c r="S38" s="18"/>
      <c r="T38" s="8"/>
      <c r="U38" s="18"/>
      <c r="AJ38" s="18">
        <f>349*Umrechnungsfaktoren!$B$15/Umrechnungsfaktoren!$B$7</f>
        <v>388.69313304721027</v>
      </c>
      <c r="AK38" s="18">
        <f>1227*Umrechnungsfaktoren!$B$15/Umrechnungsfaktoren!$B$7</f>
        <v>1366.5515021459225</v>
      </c>
      <c r="AM38" s="7"/>
      <c r="AN38" s="7"/>
      <c r="AO38" s="7">
        <f>1*Umrechnungsfaktoren!$B$15/Umrechnungsfaktoren!$B$7</f>
        <v>1.1137339055793991</v>
      </c>
      <c r="AP38" s="7"/>
      <c r="AQ38" s="7"/>
      <c r="AT38" s="12">
        <v>520</v>
      </c>
      <c r="AU38" s="1">
        <v>520</v>
      </c>
      <c r="AV38" s="12">
        <v>520</v>
      </c>
      <c r="AW38" s="1">
        <v>520</v>
      </c>
      <c r="AX38" s="12"/>
      <c r="AY38" s="12"/>
      <c r="AZ38" s="12"/>
      <c r="BB38" s="12">
        <v>520</v>
      </c>
      <c r="BC38" s="12"/>
      <c r="BI38" s="1">
        <v>532</v>
      </c>
      <c r="BJ38" s="1">
        <v>530</v>
      </c>
    </row>
    <row r="39" spans="1:65" x14ac:dyDescent="0.2">
      <c r="A39" s="1" t="s">
        <v>211</v>
      </c>
      <c r="B39" s="1" t="s">
        <v>130</v>
      </c>
      <c r="C39" s="1">
        <v>2020</v>
      </c>
      <c r="D39" s="1">
        <v>1</v>
      </c>
      <c r="E39" s="1">
        <v>0</v>
      </c>
      <c r="F39" s="1">
        <v>0</v>
      </c>
      <c r="G39" s="18"/>
      <c r="H39" s="18">
        <v>476</v>
      </c>
      <c r="I39" s="18"/>
      <c r="J39" s="18"/>
      <c r="K39" s="18"/>
      <c r="L39" s="18">
        <v>1372</v>
      </c>
      <c r="M39" s="18"/>
      <c r="N39" s="18"/>
      <c r="O39" s="19"/>
      <c r="P39" s="8"/>
      <c r="Q39" s="8"/>
      <c r="R39" s="19"/>
      <c r="S39" s="18"/>
      <c r="T39" s="8"/>
      <c r="U39" s="18"/>
      <c r="AJ39" s="18">
        <f>25*Umrechnungsfaktoren!$B$15/Umrechnungsfaktoren!$B$7</f>
        <v>27.843347639484975</v>
      </c>
      <c r="AK39" s="18">
        <f>87*Umrechnungsfaktoren!$B$15/Umrechnungsfaktoren!$B$7</f>
        <v>96.894849785407715</v>
      </c>
      <c r="AM39" s="7"/>
      <c r="AN39" s="7"/>
      <c r="AO39" s="7">
        <f>1*Umrechnungsfaktoren!$B$15/Umrechnungsfaktoren!$B$7</f>
        <v>1.1137339055793991</v>
      </c>
      <c r="AP39" s="7"/>
      <c r="AQ39" s="7"/>
      <c r="AT39" s="12"/>
      <c r="AV39" s="12"/>
      <c r="AX39" s="12"/>
      <c r="AY39" s="12"/>
      <c r="AZ39" s="12"/>
      <c r="BB39" s="12"/>
      <c r="BC39" s="12"/>
      <c r="BI39" s="1">
        <v>532</v>
      </c>
    </row>
    <row r="40" spans="1:65" x14ac:dyDescent="0.2">
      <c r="A40" s="1" t="s">
        <v>212</v>
      </c>
      <c r="B40" s="1" t="s">
        <v>130</v>
      </c>
      <c r="C40" s="1">
        <v>2010</v>
      </c>
      <c r="D40" s="1">
        <v>1</v>
      </c>
      <c r="E40" s="1">
        <v>0</v>
      </c>
      <c r="F40" s="1">
        <v>0</v>
      </c>
      <c r="G40" s="18"/>
      <c r="H40" s="18">
        <v>436</v>
      </c>
      <c r="I40" s="18"/>
      <c r="J40" s="18"/>
      <c r="K40" s="18"/>
      <c r="L40" s="18">
        <v>2330</v>
      </c>
      <c r="M40" s="18"/>
      <c r="N40" s="18"/>
      <c r="O40" s="19"/>
      <c r="P40" s="8"/>
      <c r="Q40" s="8">
        <v>0.75</v>
      </c>
      <c r="R40" s="19"/>
      <c r="S40" s="18"/>
      <c r="T40" s="8"/>
      <c r="U40" s="18">
        <v>2700</v>
      </c>
      <c r="AG40" s="1" t="s">
        <v>216</v>
      </c>
      <c r="AJ40" s="18">
        <f>15*Umrechnungsfaktoren!$B$15/Umrechnungsfaktoren!$B$7</f>
        <v>16.706008583690984</v>
      </c>
      <c r="AK40" s="18">
        <f>592*Umrechnungsfaktoren!$B$15/Umrechnungsfaktoren!$B$7</f>
        <v>659.33047210300424</v>
      </c>
      <c r="AM40" s="7"/>
      <c r="AN40" s="7"/>
      <c r="AO40" s="7">
        <f>1*Umrechnungsfaktoren!$B$15/Umrechnungsfaktoren!$B$7</f>
        <v>1.1137339055793991</v>
      </c>
      <c r="AP40" s="7"/>
      <c r="AQ40" s="7"/>
      <c r="AT40" s="12">
        <v>521</v>
      </c>
      <c r="AU40" s="1">
        <v>521</v>
      </c>
      <c r="AV40" s="12">
        <v>521</v>
      </c>
      <c r="AW40" s="1">
        <v>521</v>
      </c>
      <c r="AX40" s="12"/>
      <c r="AY40" s="12">
        <v>521</v>
      </c>
      <c r="AZ40" s="12"/>
      <c r="BB40" s="12">
        <v>521</v>
      </c>
      <c r="BC40" s="12"/>
      <c r="BG40" s="1">
        <v>521</v>
      </c>
      <c r="BI40" s="1">
        <v>532</v>
      </c>
      <c r="BJ40" s="1">
        <v>530</v>
      </c>
    </row>
    <row r="41" spans="1:65" x14ac:dyDescent="0.2">
      <c r="A41" s="1" t="s">
        <v>212</v>
      </c>
      <c r="B41" s="1" t="s">
        <v>130</v>
      </c>
      <c r="C41" s="1">
        <v>2020</v>
      </c>
      <c r="D41" s="1">
        <v>1</v>
      </c>
      <c r="E41" s="1">
        <v>0</v>
      </c>
      <c r="F41" s="1">
        <v>0</v>
      </c>
      <c r="G41" s="18"/>
      <c r="H41" s="18">
        <v>436</v>
      </c>
      <c r="I41" s="18"/>
      <c r="J41" s="18"/>
      <c r="K41" s="18"/>
      <c r="L41" s="18">
        <v>2330</v>
      </c>
      <c r="M41" s="18"/>
      <c r="N41" s="18"/>
      <c r="O41" s="19"/>
      <c r="P41" s="8"/>
      <c r="Q41" s="8">
        <v>0.75</v>
      </c>
      <c r="R41" s="19"/>
      <c r="S41" s="18"/>
      <c r="T41" s="8"/>
      <c r="U41" s="18">
        <v>2700</v>
      </c>
      <c r="AG41" s="1" t="s">
        <v>216</v>
      </c>
      <c r="AJ41" s="18">
        <f>1*Umrechnungsfaktoren!$B$15/Umrechnungsfaktoren!$B$7</f>
        <v>1.1137339055793991</v>
      </c>
      <c r="AK41" s="18">
        <f>37*Umrechnungsfaktoren!$B$15/Umrechnungsfaktoren!$B$7</f>
        <v>41.208154506437765</v>
      </c>
      <c r="AM41" s="7"/>
      <c r="AN41" s="7"/>
      <c r="AO41" s="7">
        <f>1*Umrechnungsfaktoren!$B$15/Umrechnungsfaktoren!$B$7</f>
        <v>1.1137339055793991</v>
      </c>
      <c r="AP41" s="7"/>
      <c r="AQ41" s="7"/>
      <c r="AT41" s="12"/>
      <c r="AV41" s="12"/>
      <c r="AX41" s="12"/>
      <c r="AY41" s="12"/>
      <c r="AZ41" s="12"/>
      <c r="BB41" s="12"/>
      <c r="BC41" s="12"/>
      <c r="BI41" s="1">
        <v>532</v>
      </c>
    </row>
    <row r="42" spans="1:65" x14ac:dyDescent="0.2">
      <c r="A42" s="1" t="s">
        <v>140</v>
      </c>
      <c r="B42" s="1" t="s">
        <v>130</v>
      </c>
      <c r="C42" s="1">
        <v>2010</v>
      </c>
      <c r="D42" s="1">
        <v>1</v>
      </c>
      <c r="E42" s="1">
        <v>0</v>
      </c>
      <c r="F42" s="1">
        <v>0</v>
      </c>
      <c r="G42" s="18"/>
      <c r="H42" s="18">
        <v>747</v>
      </c>
      <c r="I42" s="18"/>
      <c r="J42" s="18"/>
      <c r="K42" s="18"/>
      <c r="L42" s="18">
        <v>9475</v>
      </c>
      <c r="M42" s="18"/>
      <c r="N42" s="18"/>
      <c r="O42" s="19"/>
      <c r="P42" s="8"/>
      <c r="Q42" s="8"/>
      <c r="R42" s="19"/>
      <c r="S42" s="18"/>
      <c r="T42" s="8"/>
      <c r="U42" s="18"/>
      <c r="AJ42" s="18">
        <f>8*Umrechnungsfaktoren!$B$15/Umrechnungsfaktoren!$B$7</f>
        <v>8.9098712446351929</v>
      </c>
      <c r="AK42" s="18">
        <f>46*Umrechnungsfaktoren!$B$15/Umrechnungsfaktoren!$B$7</f>
        <v>51.231759656652358</v>
      </c>
      <c r="AM42" s="7"/>
      <c r="AN42" s="7"/>
      <c r="AO42" s="7">
        <f>1*Umrechnungsfaktoren!$B$15/Umrechnungsfaktoren!$B$7</f>
        <v>1.1137339055793991</v>
      </c>
      <c r="AP42" s="7"/>
      <c r="AQ42" s="7"/>
      <c r="AT42" s="12">
        <v>521</v>
      </c>
      <c r="AU42" s="1">
        <v>521</v>
      </c>
      <c r="AV42" s="12">
        <v>521</v>
      </c>
      <c r="AW42" s="1">
        <v>521</v>
      </c>
      <c r="AX42" s="12"/>
      <c r="AY42" s="12"/>
      <c r="AZ42" s="12"/>
      <c r="BB42" s="12"/>
      <c r="BC42" s="12"/>
      <c r="BI42" s="1">
        <v>532</v>
      </c>
      <c r="BJ42" s="1">
        <v>530</v>
      </c>
    </row>
    <row r="43" spans="1:65" x14ac:dyDescent="0.2">
      <c r="A43" s="1" t="s">
        <v>140</v>
      </c>
      <c r="B43" s="1" t="s">
        <v>130</v>
      </c>
      <c r="C43" s="1">
        <v>2020</v>
      </c>
      <c r="D43" s="1">
        <v>1</v>
      </c>
      <c r="E43" s="1">
        <v>0</v>
      </c>
      <c r="F43" s="1">
        <v>0</v>
      </c>
      <c r="G43" s="18"/>
      <c r="H43" s="18">
        <v>747</v>
      </c>
      <c r="I43" s="18"/>
      <c r="J43" s="18"/>
      <c r="K43" s="18"/>
      <c r="L43" s="18">
        <v>9475</v>
      </c>
      <c r="M43" s="18"/>
      <c r="N43" s="18"/>
      <c r="O43" s="19"/>
      <c r="P43" s="8"/>
      <c r="Q43" s="8"/>
      <c r="R43" s="19"/>
      <c r="S43" s="18"/>
      <c r="T43" s="8"/>
      <c r="U43" s="18"/>
      <c r="AJ43" s="18">
        <f>1*Umrechnungsfaktoren!$B$15/Umrechnungsfaktoren!$B$7</f>
        <v>1.1137339055793991</v>
      </c>
      <c r="AK43" s="18">
        <f>3*Umrechnungsfaktoren!$B$15/Umrechnungsfaktoren!$B$7</f>
        <v>3.3412017167381971</v>
      </c>
      <c r="AM43" s="7"/>
      <c r="AN43" s="7"/>
      <c r="AO43" s="7">
        <f>1*Umrechnungsfaktoren!$B$15/Umrechnungsfaktoren!$B$7</f>
        <v>1.1137339055793991</v>
      </c>
      <c r="AP43" s="7"/>
      <c r="AQ43" s="7"/>
      <c r="AT43" s="12"/>
      <c r="AV43" s="12"/>
      <c r="AX43" s="12"/>
      <c r="AY43" s="12"/>
      <c r="AZ43" s="12"/>
      <c r="BB43" s="12"/>
      <c r="BC43" s="12"/>
      <c r="BI43" s="1">
        <v>532</v>
      </c>
    </row>
    <row r="44" spans="1:65" x14ac:dyDescent="0.2">
      <c r="A44" s="1" t="s">
        <v>224</v>
      </c>
      <c r="B44" s="1" t="s">
        <v>130</v>
      </c>
      <c r="C44" s="1">
        <v>2010</v>
      </c>
      <c r="D44" s="1">
        <v>0</v>
      </c>
      <c r="E44" s="1">
        <v>1</v>
      </c>
      <c r="F44" s="1">
        <v>0</v>
      </c>
      <c r="G44" s="18"/>
      <c r="H44" s="18">
        <v>131</v>
      </c>
      <c r="I44" s="18"/>
      <c r="J44" s="18"/>
      <c r="K44" s="18"/>
      <c r="L44" s="18"/>
      <c r="M44" s="18"/>
      <c r="N44" s="18"/>
      <c r="O44" s="19"/>
      <c r="P44" s="8">
        <v>0.48</v>
      </c>
      <c r="Q44" s="8">
        <v>0.51</v>
      </c>
      <c r="R44" s="19"/>
      <c r="S44" s="18"/>
      <c r="T44" s="8"/>
      <c r="U44" s="18"/>
      <c r="W44" s="1">
        <v>0.5</v>
      </c>
      <c r="X44" s="1">
        <v>2</v>
      </c>
      <c r="AJ44" s="18">
        <f>14*Umrechnungsfaktoren!$B$15/Umrechnungsfaktoren!$B$7</f>
        <v>15.592274678111586</v>
      </c>
      <c r="AK44" s="18">
        <f>746*Umrechnungsfaktoren!$B$15/Umrechnungsfaktoren!$B$7</f>
        <v>830.8454935622317</v>
      </c>
      <c r="AM44" s="7"/>
      <c r="AN44" s="7"/>
      <c r="AO44" s="7">
        <f>1*Umrechnungsfaktoren!$B$15/Umrechnungsfaktoren!$B$7</f>
        <v>1.1137339055793991</v>
      </c>
      <c r="AP44" s="7">
        <v>7</v>
      </c>
      <c r="AQ44" s="7">
        <v>418</v>
      </c>
      <c r="AT44" s="12">
        <v>528</v>
      </c>
      <c r="AU44" s="12">
        <v>528</v>
      </c>
      <c r="AV44" s="12">
        <v>528</v>
      </c>
      <c r="AW44" s="12">
        <v>528</v>
      </c>
      <c r="AX44" s="12"/>
      <c r="AY44" s="12"/>
      <c r="AZ44" s="12"/>
      <c r="BB44" s="12"/>
      <c r="BC44" s="12"/>
      <c r="BI44" s="1">
        <v>532</v>
      </c>
      <c r="BJ44" s="1">
        <v>531</v>
      </c>
      <c r="BK44" s="1">
        <v>531</v>
      </c>
    </row>
    <row r="45" spans="1:65" x14ac:dyDescent="0.2">
      <c r="A45" s="1" t="s">
        <v>224</v>
      </c>
      <c r="B45" s="1" t="s">
        <v>130</v>
      </c>
      <c r="C45" s="1">
        <v>2020</v>
      </c>
      <c r="D45" s="1">
        <v>0</v>
      </c>
      <c r="E45" s="1">
        <v>1</v>
      </c>
      <c r="F45" s="1">
        <v>0</v>
      </c>
      <c r="G45" s="18"/>
      <c r="H45" s="18">
        <v>131</v>
      </c>
      <c r="I45" s="18"/>
      <c r="J45" s="18"/>
      <c r="K45" s="18"/>
      <c r="L45" s="18"/>
      <c r="M45" s="18"/>
      <c r="N45" s="18"/>
      <c r="O45" s="19"/>
      <c r="P45" s="8">
        <v>0.48</v>
      </c>
      <c r="Q45" s="8">
        <v>0.51</v>
      </c>
      <c r="R45" s="19"/>
      <c r="S45" s="18"/>
      <c r="T45" s="8"/>
      <c r="U45" s="18"/>
      <c r="W45" s="1">
        <v>0.5</v>
      </c>
      <c r="X45" s="1">
        <v>2</v>
      </c>
      <c r="AJ45" s="18">
        <f>14*Umrechnungsfaktoren!$B$15/Umrechnungsfaktoren!$B$7</f>
        <v>15.592274678111586</v>
      </c>
      <c r="AK45" s="18">
        <f>746*Umrechnungsfaktoren!$B$15/Umrechnungsfaktoren!$B$7</f>
        <v>830.8454935622317</v>
      </c>
      <c r="AM45" s="7"/>
      <c r="AN45" s="7"/>
      <c r="AO45" s="7">
        <f>1*Umrechnungsfaktoren!$B$15/Umrechnungsfaktoren!$B$7</f>
        <v>1.1137339055793991</v>
      </c>
      <c r="AP45" s="7">
        <v>7</v>
      </c>
      <c r="AQ45" s="7">
        <v>418</v>
      </c>
      <c r="AV45" s="12"/>
      <c r="AX45" s="12"/>
      <c r="AY45" s="12"/>
      <c r="AZ45" s="12"/>
      <c r="BB45" s="12"/>
      <c r="BC45" s="12"/>
      <c r="BI45" s="1">
        <v>532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Dropdown!$C$2:$C$4</xm:f>
          </x14:formula1>
          <xm:sqref>B2:B45</xm:sqref>
        </x14:dataValidation>
        <x14:dataValidation type="list" allowBlank="1" showInputMessage="1" showErrorMessage="1" xr:uid="{00000000-0002-0000-0200-000001000000}">
          <x14:formula1>
            <xm:f>Dropdown!$A$2:$A$54</xm:f>
          </x14:formula1>
          <xm:sqref>A2:A45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411-FBC0-4254-9A7F-C55D55D05EA4}">
  <sheetPr codeName="Tabelle2"/>
  <dimension ref="A1:CH26"/>
  <sheetViews>
    <sheetView workbookViewId="0">
      <selection activeCell="B25" sqref="B25"/>
    </sheetView>
  </sheetViews>
  <sheetFormatPr baseColWidth="10" defaultRowHeight="15" x14ac:dyDescent="0.25"/>
  <cols>
    <col min="1" max="1" width="28.140625" bestFit="1" customWidth="1"/>
    <col min="2" max="2" width="21.28515625" bestFit="1" customWidth="1"/>
    <col min="3" max="3" width="12.28515625" bestFit="1" customWidth="1"/>
    <col min="4" max="4" width="7.28515625" bestFit="1" customWidth="1"/>
    <col min="5" max="5" width="19.28515625" bestFit="1" customWidth="1"/>
    <col min="6" max="6" width="14.140625" bestFit="1" customWidth="1"/>
    <col min="7" max="7" width="15.7109375" bestFit="1" customWidth="1"/>
    <col min="8" max="8" width="28.140625" bestFit="1" customWidth="1"/>
    <col min="9" max="9" width="17.42578125" bestFit="1" customWidth="1"/>
    <col min="10" max="10" width="28.7109375" bestFit="1" customWidth="1"/>
    <col min="11" max="11" width="24.42578125" bestFit="1" customWidth="1"/>
    <col min="12" max="12" width="32.28515625" bestFit="1" customWidth="1"/>
    <col min="13" max="13" width="25" bestFit="1" customWidth="1"/>
    <col min="14" max="14" width="27" bestFit="1" customWidth="1"/>
    <col min="15" max="15" width="29.140625" bestFit="1" customWidth="1"/>
    <col min="16" max="16" width="27.28515625" bestFit="1" customWidth="1"/>
    <col min="17" max="18" width="24.7109375" bestFit="1" customWidth="1"/>
    <col min="19" max="19" width="32.5703125" bestFit="1" customWidth="1"/>
    <col min="20" max="20" width="25.28515625" bestFit="1" customWidth="1"/>
    <col min="21" max="21" width="21.5703125" bestFit="1" customWidth="1"/>
    <col min="22" max="22" width="20.140625" bestFit="1" customWidth="1"/>
    <col min="23" max="23" width="24.42578125" bestFit="1" customWidth="1"/>
    <col min="24" max="24" width="43.42578125" bestFit="1" customWidth="1"/>
    <col min="25" max="25" width="28.85546875" bestFit="1" customWidth="1"/>
    <col min="26" max="26" width="25.28515625" bestFit="1" customWidth="1"/>
    <col min="27" max="27" width="31.5703125" bestFit="1" customWidth="1"/>
    <col min="28" max="28" width="22.42578125" bestFit="1" customWidth="1"/>
    <col min="29" max="29" width="21" bestFit="1" customWidth="1"/>
    <col min="30" max="30" width="25.42578125" bestFit="1" customWidth="1"/>
    <col min="31" max="31" width="22.7109375" bestFit="1" customWidth="1"/>
    <col min="32" max="32" width="25.5703125" bestFit="1" customWidth="1"/>
    <col min="33" max="33" width="26.28515625" bestFit="1" customWidth="1"/>
    <col min="34" max="34" width="21.5703125" bestFit="1" customWidth="1"/>
    <col min="35" max="35" width="25.42578125" bestFit="1" customWidth="1"/>
    <col min="36" max="36" width="26.5703125" bestFit="1" customWidth="1"/>
    <col min="37" max="37" width="21.85546875" bestFit="1" customWidth="1"/>
    <col min="38" max="38" width="26.42578125" bestFit="1" customWidth="1"/>
    <col min="39" max="39" width="26.42578125" customWidth="1"/>
    <col min="40" max="40" width="34" bestFit="1" customWidth="1"/>
    <col min="41" max="41" width="21.7109375" bestFit="1" customWidth="1"/>
    <col min="42" max="42" width="24.85546875" bestFit="1" customWidth="1"/>
    <col min="43" max="43" width="19.85546875" bestFit="1" customWidth="1"/>
    <col min="44" max="44" width="33.140625" bestFit="1" customWidth="1"/>
    <col min="45" max="45" width="30.85546875" bestFit="1" customWidth="1"/>
    <col min="46" max="46" width="37.42578125" bestFit="1" customWidth="1"/>
    <col min="47" max="47" width="38" bestFit="1" customWidth="1"/>
    <col min="48" max="48" width="32.7109375" bestFit="1" customWidth="1"/>
    <col min="49" max="49" width="30.140625" bestFit="1" customWidth="1"/>
    <col min="50" max="50" width="30.7109375" bestFit="1" customWidth="1"/>
    <col min="51" max="51" width="29.5703125" bestFit="1" customWidth="1"/>
    <col min="52" max="52" width="30.28515625" bestFit="1" customWidth="1"/>
    <col min="53" max="53" width="30.85546875" bestFit="1" customWidth="1"/>
    <col min="54" max="54" width="25.5703125" bestFit="1" customWidth="1"/>
    <col min="55" max="55" width="47.5703125" bestFit="1" customWidth="1"/>
    <col min="56" max="56" width="31.85546875" bestFit="1" customWidth="1"/>
    <col min="57" max="57" width="16" bestFit="1" customWidth="1"/>
    <col min="58" max="58" width="17.5703125" bestFit="1" customWidth="1"/>
    <col min="59" max="59" width="29.5703125" bestFit="1" customWidth="1"/>
    <col min="60" max="60" width="24.42578125" bestFit="1" customWidth="1"/>
    <col min="61" max="61" width="23.28515625" bestFit="1" customWidth="1"/>
    <col min="62" max="62" width="28" bestFit="1" customWidth="1"/>
    <col min="63" max="63" width="30.7109375" bestFit="1" customWidth="1"/>
    <col min="64" max="64" width="28.140625" bestFit="1" customWidth="1"/>
    <col min="65" max="65" width="35" bestFit="1" customWidth="1"/>
    <col min="66" max="66" width="26.42578125" bestFit="1" customWidth="1"/>
    <col min="67" max="67" width="26.7109375" bestFit="1" customWidth="1"/>
    <col min="68" max="68" width="27.7109375" bestFit="1" customWidth="1"/>
    <col min="69" max="69" width="30.85546875" bestFit="1" customWidth="1"/>
    <col min="70" max="70" width="35.5703125" bestFit="1" customWidth="1"/>
    <col min="71" max="71" width="37.5703125" bestFit="1" customWidth="1"/>
    <col min="72" max="72" width="28.7109375" bestFit="1" customWidth="1"/>
    <col min="73" max="73" width="31.5703125" bestFit="1" customWidth="1"/>
    <col min="74" max="74" width="30.140625" bestFit="1" customWidth="1"/>
    <col min="75" max="75" width="24.5703125" bestFit="1" customWidth="1"/>
    <col min="76" max="76" width="29.140625" bestFit="1" customWidth="1"/>
    <col min="77" max="77" width="32.140625" bestFit="1" customWidth="1"/>
    <col min="78" max="78" width="29" bestFit="1" customWidth="1"/>
    <col min="79" max="79" width="32.7109375" bestFit="1" customWidth="1"/>
    <col min="80" max="80" width="18.7109375" bestFit="1" customWidth="1"/>
    <col min="81" max="82" width="23.7109375" bestFit="1" customWidth="1"/>
    <col min="83" max="83" width="40" bestFit="1" customWidth="1"/>
    <col min="84" max="84" width="30.7109375" bestFit="1" customWidth="1"/>
    <col min="85" max="85" width="26.28515625" bestFit="1" customWidth="1"/>
    <col min="86" max="86" width="20.7109375" bestFit="1" customWidth="1"/>
  </cols>
  <sheetData>
    <row r="1" spans="1:86" s="1" customFormat="1" ht="12.75" x14ac:dyDescent="0.2">
      <c r="A1" s="2" t="s">
        <v>0</v>
      </c>
      <c r="B1" s="2" t="s">
        <v>131</v>
      </c>
      <c r="C1" s="2" t="s">
        <v>823</v>
      </c>
      <c r="D1" s="2" t="s">
        <v>8</v>
      </c>
      <c r="E1" s="2" t="s">
        <v>159</v>
      </c>
      <c r="F1" s="2" t="s">
        <v>160</v>
      </c>
      <c r="G1" s="2" t="s">
        <v>313</v>
      </c>
      <c r="H1" s="2" t="s">
        <v>853</v>
      </c>
      <c r="I1" s="2" t="s">
        <v>824</v>
      </c>
      <c r="J1" s="2" t="s">
        <v>771</v>
      </c>
      <c r="K1" s="2" t="s">
        <v>49</v>
      </c>
      <c r="L1" s="2" t="s">
        <v>149</v>
      </c>
      <c r="M1" s="2" t="s">
        <v>50</v>
      </c>
      <c r="N1" s="2" t="s">
        <v>289</v>
      </c>
      <c r="O1" s="2" t="s">
        <v>290</v>
      </c>
      <c r="P1" s="2" t="s">
        <v>291</v>
      </c>
      <c r="Q1" s="2" t="s">
        <v>846</v>
      </c>
      <c r="R1" s="2" t="s">
        <v>154</v>
      </c>
      <c r="S1" s="2" t="s">
        <v>156</v>
      </c>
      <c r="T1" s="2" t="s">
        <v>155</v>
      </c>
      <c r="U1" s="2" t="s">
        <v>56</v>
      </c>
      <c r="V1" s="2" t="s">
        <v>55</v>
      </c>
      <c r="W1" s="2" t="s">
        <v>87</v>
      </c>
      <c r="X1" s="2" t="s">
        <v>330</v>
      </c>
      <c r="Y1" s="2" t="s">
        <v>792</v>
      </c>
      <c r="Z1" s="2" t="s">
        <v>235</v>
      </c>
      <c r="AA1" s="2" t="s">
        <v>116</v>
      </c>
      <c r="AB1" s="2" t="s">
        <v>57</v>
      </c>
      <c r="AC1" s="2" t="s">
        <v>123</v>
      </c>
      <c r="AD1" s="2" t="s">
        <v>58</v>
      </c>
      <c r="AE1" s="2" t="s">
        <v>9</v>
      </c>
      <c r="AF1" s="2" t="s">
        <v>423</v>
      </c>
      <c r="AG1" s="2" t="s">
        <v>225</v>
      </c>
      <c r="AH1" s="2" t="s">
        <v>157</v>
      </c>
      <c r="AI1" s="2" t="s">
        <v>227</v>
      </c>
      <c r="AJ1" s="2" t="s">
        <v>228</v>
      </c>
      <c r="AK1" s="2" t="s">
        <v>158</v>
      </c>
      <c r="AL1" s="2" t="s">
        <v>214</v>
      </c>
      <c r="AM1" s="2" t="s">
        <v>871</v>
      </c>
      <c r="AN1" s="2" t="s">
        <v>870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99</v>
      </c>
      <c r="AT1" s="2" t="s">
        <v>183</v>
      </c>
      <c r="AU1" s="2" t="s">
        <v>182</v>
      </c>
      <c r="AV1" s="2" t="s">
        <v>12</v>
      </c>
      <c r="AW1" s="2" t="s">
        <v>231</v>
      </c>
      <c r="AX1" s="2" t="s">
        <v>232</v>
      </c>
      <c r="AY1" s="2" t="s">
        <v>230</v>
      </c>
      <c r="AZ1" s="2" t="s">
        <v>332</v>
      </c>
      <c r="BA1" s="2" t="s">
        <v>451</v>
      </c>
      <c r="BB1" s="2" t="s">
        <v>333</v>
      </c>
      <c r="BC1" s="2" t="s">
        <v>147</v>
      </c>
      <c r="BD1" s="2" t="s">
        <v>848</v>
      </c>
      <c r="BE1" s="2" t="s">
        <v>22</v>
      </c>
      <c r="BF1" s="2" t="s">
        <v>844</v>
      </c>
      <c r="BG1" s="2" t="s">
        <v>162</v>
      </c>
      <c r="BH1" s="2" t="s">
        <v>163</v>
      </c>
      <c r="BI1" s="2" t="s">
        <v>825</v>
      </c>
      <c r="BJ1" s="2" t="s">
        <v>841</v>
      </c>
      <c r="BK1" s="2" t="s">
        <v>842</v>
      </c>
      <c r="BL1" s="2" t="s">
        <v>807</v>
      </c>
      <c r="BM1" s="2" t="s">
        <v>826</v>
      </c>
      <c r="BN1" s="2" t="s">
        <v>1</v>
      </c>
      <c r="BO1" s="2" t="s">
        <v>2</v>
      </c>
      <c r="BP1" s="2" t="s">
        <v>59</v>
      </c>
      <c r="BQ1" s="2" t="s">
        <v>1089</v>
      </c>
      <c r="BR1" s="2" t="s">
        <v>236</v>
      </c>
      <c r="BS1" s="2" t="s">
        <v>117</v>
      </c>
      <c r="BT1" s="2" t="s">
        <v>60</v>
      </c>
      <c r="BU1" s="2" t="s">
        <v>61</v>
      </c>
      <c r="BV1" s="2" t="s">
        <v>98</v>
      </c>
      <c r="BW1" s="2" t="s">
        <v>5</v>
      </c>
      <c r="BX1" s="2" t="s">
        <v>6</v>
      </c>
      <c r="BY1" s="2" t="s">
        <v>17</v>
      </c>
      <c r="BZ1" s="2" t="s">
        <v>18</v>
      </c>
      <c r="CA1" s="2" t="s">
        <v>7</v>
      </c>
      <c r="CB1" s="2" t="s">
        <v>19</v>
      </c>
      <c r="CC1" s="2" t="s">
        <v>20</v>
      </c>
      <c r="CD1" s="2" t="s">
        <v>21</v>
      </c>
      <c r="CE1" s="2" t="s">
        <v>148</v>
      </c>
      <c r="CF1" s="2" t="s">
        <v>850</v>
      </c>
      <c r="CG1" s="2" t="s">
        <v>23</v>
      </c>
      <c r="CH1" s="2" t="s">
        <v>51</v>
      </c>
    </row>
    <row r="2" spans="1:86" s="1" customFormat="1" ht="12.75" x14ac:dyDescent="0.2">
      <c r="A2" s="1" t="s">
        <v>132</v>
      </c>
      <c r="B2" s="1" t="s">
        <v>142</v>
      </c>
      <c r="D2" s="32">
        <v>2017</v>
      </c>
      <c r="E2" s="1">
        <v>1</v>
      </c>
      <c r="F2" s="1">
        <v>0</v>
      </c>
      <c r="G2" s="1">
        <v>0</v>
      </c>
      <c r="H2" s="32"/>
      <c r="I2" s="32"/>
      <c r="J2" s="32">
        <v>6</v>
      </c>
      <c r="K2" s="18"/>
      <c r="L2" s="18"/>
      <c r="M2" s="18"/>
      <c r="N2" s="33"/>
      <c r="O2" s="33"/>
      <c r="P2" s="33"/>
      <c r="Q2" s="33"/>
      <c r="R2" s="33"/>
      <c r="S2" s="33"/>
      <c r="T2" s="33"/>
      <c r="U2" s="33"/>
      <c r="V2" s="63"/>
      <c r="W2" s="35">
        <v>0.94</v>
      </c>
      <c r="X2" s="35"/>
      <c r="Y2" s="73"/>
      <c r="Z2" s="35"/>
      <c r="AA2" s="34"/>
      <c r="AB2" s="33"/>
      <c r="AC2" s="35"/>
      <c r="AD2" s="33"/>
      <c r="AE2" s="32"/>
      <c r="AF2" s="32"/>
      <c r="AG2" s="32"/>
      <c r="AH2" s="32"/>
      <c r="AI2" s="32"/>
      <c r="AJ2" s="32"/>
      <c r="AK2" s="32"/>
      <c r="AL2" s="32"/>
      <c r="AM2" s="32"/>
      <c r="AN2" s="32">
        <v>0.1</v>
      </c>
      <c r="AO2" s="32"/>
      <c r="AP2" s="32"/>
      <c r="AQ2" s="32"/>
      <c r="AR2" s="32"/>
      <c r="AS2" s="32"/>
      <c r="AT2" s="18"/>
      <c r="AU2" s="18"/>
      <c r="AV2" s="33"/>
      <c r="AW2" s="36"/>
      <c r="AX2" s="36"/>
      <c r="AY2" s="36"/>
      <c r="AZ2" s="36"/>
      <c r="BA2" s="36"/>
      <c r="BB2" s="32"/>
      <c r="BC2" s="32"/>
      <c r="BD2" s="32"/>
      <c r="BE2" s="1" t="s">
        <v>872</v>
      </c>
      <c r="BG2" s="32"/>
      <c r="BH2" s="32"/>
      <c r="BI2" s="32"/>
      <c r="BJ2" s="32"/>
      <c r="BK2" s="32"/>
      <c r="BL2" s="32">
        <v>752</v>
      </c>
      <c r="BM2" s="32"/>
      <c r="BN2" s="37"/>
      <c r="BO2" s="32"/>
      <c r="BP2" s="32"/>
      <c r="BQ2" s="32">
        <v>752</v>
      </c>
      <c r="BR2" s="37"/>
      <c r="BS2" s="37"/>
      <c r="BT2" s="32"/>
      <c r="BU2" s="37"/>
      <c r="BV2" s="37"/>
      <c r="BW2" s="32"/>
      <c r="BX2" s="32">
        <v>752</v>
      </c>
      <c r="BY2" s="32"/>
      <c r="BZ2" s="32"/>
      <c r="CA2" s="32"/>
      <c r="CB2" s="32"/>
      <c r="CC2" s="32"/>
      <c r="CD2" s="32"/>
      <c r="CE2" s="32"/>
      <c r="CF2" s="32"/>
      <c r="CG2" s="32"/>
      <c r="CH2" s="32"/>
    </row>
    <row r="3" spans="1:86" x14ac:dyDescent="0.25">
      <c r="A3" s="1" t="s">
        <v>133</v>
      </c>
      <c r="B3" s="1" t="s">
        <v>142</v>
      </c>
      <c r="C3" s="1"/>
      <c r="D3" s="32">
        <v>2017</v>
      </c>
      <c r="E3" s="1">
        <v>1</v>
      </c>
      <c r="F3" s="1">
        <v>0</v>
      </c>
      <c r="G3" s="1">
        <v>0</v>
      </c>
      <c r="H3" s="1"/>
      <c r="I3" s="1"/>
      <c r="J3" s="64">
        <v>4.5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63"/>
      <c r="W3" s="35">
        <v>0.94</v>
      </c>
      <c r="X3" s="8"/>
      <c r="Y3" s="48"/>
      <c r="Z3" s="63"/>
      <c r="AA3" s="19"/>
      <c r="AB3" s="18"/>
      <c r="AC3" s="8"/>
      <c r="AD3" s="18"/>
      <c r="AE3" s="64"/>
      <c r="AF3" s="64"/>
      <c r="AG3" s="64"/>
      <c r="AH3" s="1"/>
      <c r="AI3" s="1"/>
      <c r="AJ3" s="1"/>
      <c r="AK3" s="1"/>
      <c r="AL3" s="1"/>
      <c r="AM3" s="1"/>
      <c r="AN3" s="1">
        <f>10/60</f>
        <v>0.16666666666666666</v>
      </c>
      <c r="AO3" s="1"/>
      <c r="AP3" s="1"/>
      <c r="AQ3" s="1"/>
      <c r="AR3" s="64"/>
      <c r="AS3" s="1"/>
      <c r="AT3" s="18"/>
      <c r="AU3" s="18"/>
      <c r="AV3" s="18"/>
      <c r="AW3" s="7"/>
      <c r="AX3" s="7"/>
      <c r="AY3" s="7"/>
      <c r="AZ3" s="7"/>
      <c r="BA3" s="7"/>
      <c r="BB3" s="64"/>
      <c r="BC3" s="64"/>
      <c r="BD3" s="1"/>
      <c r="BE3" s="1" t="s">
        <v>872</v>
      </c>
      <c r="BF3" s="1"/>
      <c r="BG3" s="1"/>
      <c r="BH3" s="1"/>
      <c r="BI3" s="1"/>
      <c r="BJ3" s="1"/>
      <c r="BK3" s="1"/>
      <c r="BL3" s="32">
        <v>752</v>
      </c>
      <c r="BM3" s="1"/>
      <c r="BN3" s="12"/>
      <c r="BO3" s="1"/>
      <c r="BP3" s="12"/>
      <c r="BQ3" s="32">
        <v>752</v>
      </c>
      <c r="BR3" s="12"/>
      <c r="BS3" s="12"/>
      <c r="BT3" s="1"/>
      <c r="BU3" s="12"/>
      <c r="BV3" s="12"/>
      <c r="BW3" s="1"/>
      <c r="BX3" s="32">
        <v>752</v>
      </c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 t="s">
        <v>286</v>
      </c>
      <c r="B4" s="1" t="s">
        <v>142</v>
      </c>
      <c r="C4" s="1"/>
      <c r="D4" s="32">
        <v>2017</v>
      </c>
      <c r="E4" s="1">
        <v>1</v>
      </c>
      <c r="F4" s="1">
        <v>0</v>
      </c>
      <c r="G4" s="1">
        <v>0</v>
      </c>
      <c r="H4" s="1"/>
      <c r="I4" s="1"/>
      <c r="J4" s="64">
        <v>6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63"/>
      <c r="W4" s="63">
        <v>0.93</v>
      </c>
      <c r="X4" s="8"/>
      <c r="Y4" s="48"/>
      <c r="Z4" s="63"/>
      <c r="AA4" s="19"/>
      <c r="AB4" s="18"/>
      <c r="AC4" s="8"/>
      <c r="AD4" s="18"/>
      <c r="AE4" s="64"/>
      <c r="AF4" s="64"/>
      <c r="AG4" s="64"/>
      <c r="AH4" s="1"/>
      <c r="AI4" s="1"/>
      <c r="AJ4" s="1"/>
      <c r="AK4" s="1"/>
      <c r="AL4" s="1"/>
      <c r="AM4" s="1"/>
      <c r="AN4" s="1">
        <f>6/60</f>
        <v>0.1</v>
      </c>
      <c r="AO4" s="1"/>
      <c r="AP4" s="1"/>
      <c r="AQ4" s="1"/>
      <c r="AR4" s="64"/>
      <c r="AS4" s="1"/>
      <c r="AT4" s="18"/>
      <c r="AU4" s="18"/>
      <c r="AV4" s="18"/>
      <c r="AW4" s="7"/>
      <c r="AX4" s="7"/>
      <c r="AY4" s="7"/>
      <c r="AZ4" s="7"/>
      <c r="BA4" s="7"/>
      <c r="BB4" s="64"/>
      <c r="BC4" s="64"/>
      <c r="BD4" s="1"/>
      <c r="BE4" s="1" t="s">
        <v>872</v>
      </c>
      <c r="BF4" s="1"/>
      <c r="BG4" s="1"/>
      <c r="BH4" s="1"/>
      <c r="BI4" s="1"/>
      <c r="BJ4" s="1"/>
      <c r="BK4" s="1"/>
      <c r="BL4" s="32">
        <v>752</v>
      </c>
      <c r="BM4" s="1"/>
      <c r="BN4" s="12"/>
      <c r="BO4" s="1"/>
      <c r="BP4" s="12"/>
      <c r="BQ4" s="32">
        <v>752</v>
      </c>
      <c r="BR4" s="12"/>
      <c r="BS4" s="12"/>
      <c r="BT4" s="1"/>
      <c r="BU4" s="12"/>
      <c r="BV4" s="12"/>
      <c r="BW4" s="1"/>
      <c r="BX4" s="32">
        <v>752</v>
      </c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1" t="s">
        <v>867</v>
      </c>
      <c r="B5" s="1" t="s">
        <v>142</v>
      </c>
      <c r="C5" s="1"/>
      <c r="D5" s="32">
        <v>2017</v>
      </c>
      <c r="E5" s="1">
        <v>1</v>
      </c>
      <c r="F5" s="1">
        <v>0</v>
      </c>
      <c r="G5" s="1">
        <v>0</v>
      </c>
      <c r="H5" s="1"/>
      <c r="I5" s="1"/>
      <c r="J5" s="64">
        <v>16.399999999999999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3"/>
      <c r="W5" s="63">
        <v>0.9</v>
      </c>
      <c r="X5" s="8"/>
      <c r="Y5" s="48"/>
      <c r="Z5" s="63"/>
      <c r="AA5" s="19"/>
      <c r="AB5" s="18"/>
      <c r="AC5" s="8"/>
      <c r="AD5" s="18"/>
      <c r="AE5" s="64"/>
      <c r="AF5" s="64"/>
      <c r="AG5" s="64"/>
      <c r="AH5" s="1"/>
      <c r="AI5" s="1"/>
      <c r="AJ5" s="1"/>
      <c r="AK5" s="1"/>
      <c r="AL5" s="1"/>
      <c r="AM5" s="1">
        <f>1/60</f>
        <v>1.6666666666666666E-2</v>
      </c>
      <c r="AN5" s="1">
        <f>1/60</f>
        <v>1.6666666666666666E-2</v>
      </c>
      <c r="AO5" s="1"/>
      <c r="AP5" s="1"/>
      <c r="AQ5" s="1"/>
      <c r="AR5" s="64"/>
      <c r="AS5" s="1"/>
      <c r="AT5" s="18"/>
      <c r="AU5" s="18"/>
      <c r="AV5" s="18"/>
      <c r="AW5" s="7"/>
      <c r="AX5" s="7"/>
      <c r="AY5" s="7"/>
      <c r="AZ5" s="7"/>
      <c r="BA5" s="7"/>
      <c r="BB5" s="64"/>
      <c r="BC5" s="64"/>
      <c r="BD5" s="1"/>
      <c r="BE5" s="1"/>
      <c r="BF5" s="1"/>
      <c r="BG5" s="1"/>
      <c r="BH5" s="1"/>
      <c r="BI5" s="1"/>
      <c r="BJ5" s="1"/>
      <c r="BK5" s="1"/>
      <c r="BL5" s="32">
        <v>752</v>
      </c>
      <c r="BM5" s="1"/>
      <c r="BN5" s="12"/>
      <c r="BO5" s="1"/>
      <c r="BP5" s="12"/>
      <c r="BQ5" s="32">
        <v>752</v>
      </c>
      <c r="BR5" s="12"/>
      <c r="BS5" s="12"/>
      <c r="BT5" s="1"/>
      <c r="BU5" s="12"/>
      <c r="BV5" s="12"/>
      <c r="BW5" s="1"/>
      <c r="BX5" s="32">
        <v>752</v>
      </c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1" t="s">
        <v>135</v>
      </c>
      <c r="B6" s="1" t="s">
        <v>142</v>
      </c>
      <c r="C6" s="1"/>
      <c r="D6" s="32">
        <v>2017</v>
      </c>
      <c r="E6" s="1">
        <v>1</v>
      </c>
      <c r="F6" s="1">
        <v>0</v>
      </c>
      <c r="G6" s="1">
        <v>0</v>
      </c>
      <c r="H6" s="1"/>
      <c r="I6" s="1"/>
      <c r="J6" s="64">
        <v>14.9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3"/>
      <c r="W6" s="63">
        <v>0.97</v>
      </c>
      <c r="X6" s="8"/>
      <c r="Y6" s="48"/>
      <c r="Z6" s="63"/>
      <c r="AA6" s="19"/>
      <c r="AB6" s="18"/>
      <c r="AC6" s="8"/>
      <c r="AD6" s="18"/>
      <c r="AE6" s="64"/>
      <c r="AF6" s="64"/>
      <c r="AG6" s="64"/>
      <c r="AH6" s="1"/>
      <c r="AI6" s="1"/>
      <c r="AJ6" s="1"/>
      <c r="AK6" s="1"/>
      <c r="AL6" s="1"/>
      <c r="AM6" s="1">
        <v>0.5</v>
      </c>
      <c r="AN6" s="1">
        <v>0.5</v>
      </c>
      <c r="AO6" s="1"/>
      <c r="AP6" s="1"/>
      <c r="AQ6" s="1"/>
      <c r="AR6" s="64"/>
      <c r="AS6" s="1"/>
      <c r="AT6" s="18"/>
      <c r="AU6" s="18"/>
      <c r="AV6" s="18"/>
      <c r="AW6" s="7"/>
      <c r="AX6" s="7"/>
      <c r="AY6" s="7"/>
      <c r="AZ6" s="7"/>
      <c r="BA6" s="7"/>
      <c r="BB6" s="64"/>
      <c r="BC6" s="64"/>
      <c r="BD6" s="1"/>
      <c r="BE6" s="1"/>
      <c r="BF6" s="1"/>
      <c r="BG6" s="1"/>
      <c r="BH6" s="1"/>
      <c r="BI6" s="1"/>
      <c r="BJ6" s="1"/>
      <c r="BK6" s="1"/>
      <c r="BL6" s="32">
        <v>752</v>
      </c>
      <c r="BM6" s="1"/>
      <c r="BN6" s="12"/>
      <c r="BO6" s="1"/>
      <c r="BP6" s="12"/>
      <c r="BQ6" s="32">
        <v>752</v>
      </c>
      <c r="BR6" s="12"/>
      <c r="BS6" s="12"/>
      <c r="BT6" s="1"/>
      <c r="BU6" s="12"/>
      <c r="BV6" s="12"/>
      <c r="BW6" s="1"/>
      <c r="BX6" s="32">
        <v>752</v>
      </c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1" t="s">
        <v>136</v>
      </c>
      <c r="B7" s="1" t="s">
        <v>142</v>
      </c>
      <c r="C7" s="1"/>
      <c r="D7" s="32">
        <v>2017</v>
      </c>
      <c r="E7" s="1">
        <v>1</v>
      </c>
      <c r="F7" s="1">
        <v>0</v>
      </c>
      <c r="G7" s="1">
        <v>0</v>
      </c>
      <c r="H7" s="1"/>
      <c r="I7" s="1"/>
      <c r="J7" s="64">
        <v>13.4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3"/>
      <c r="W7" s="63">
        <v>0.97</v>
      </c>
      <c r="X7" s="8"/>
      <c r="Y7" s="48"/>
      <c r="Z7" s="63"/>
      <c r="AA7" s="19"/>
      <c r="AB7" s="18"/>
      <c r="AC7" s="8"/>
      <c r="AD7" s="18"/>
      <c r="AE7" s="64"/>
      <c r="AF7" s="64"/>
      <c r="AG7" s="64"/>
      <c r="AH7" s="1"/>
      <c r="AI7" s="1"/>
      <c r="AJ7" s="1"/>
      <c r="AK7" s="1"/>
      <c r="AL7" s="1"/>
      <c r="AM7" s="1">
        <v>0.5</v>
      </c>
      <c r="AN7" s="1">
        <v>0.5</v>
      </c>
      <c r="AO7" s="1"/>
      <c r="AP7" s="1"/>
      <c r="AQ7" s="1"/>
      <c r="AR7" s="64"/>
      <c r="AS7" s="1"/>
      <c r="AT7" s="18"/>
      <c r="AU7" s="18"/>
      <c r="AV7" s="18"/>
      <c r="AW7" s="7"/>
      <c r="AX7" s="7"/>
      <c r="AY7" s="7"/>
      <c r="AZ7" s="7"/>
      <c r="BA7" s="7"/>
      <c r="BB7" s="64"/>
      <c r="BC7" s="64"/>
      <c r="BD7" s="1"/>
      <c r="BE7" s="1"/>
      <c r="BF7" s="1"/>
      <c r="BG7" s="1"/>
      <c r="BH7" s="1"/>
      <c r="BI7" s="1"/>
      <c r="BJ7" s="1"/>
      <c r="BK7" s="1"/>
      <c r="BL7" s="32">
        <v>752</v>
      </c>
      <c r="BM7" s="1"/>
      <c r="BN7" s="12"/>
      <c r="BO7" s="1"/>
      <c r="BP7" s="12"/>
      <c r="BQ7" s="32">
        <v>752</v>
      </c>
      <c r="BR7" s="12"/>
      <c r="BS7" s="12"/>
      <c r="BT7" s="1"/>
      <c r="BU7" s="12"/>
      <c r="BV7" s="12"/>
      <c r="BW7" s="1"/>
      <c r="BX7" s="32">
        <v>752</v>
      </c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x14ac:dyDescent="0.25">
      <c r="A8" s="1" t="s">
        <v>138</v>
      </c>
      <c r="B8" s="1" t="s">
        <v>142</v>
      </c>
      <c r="C8" s="1"/>
      <c r="D8" s="32">
        <v>2017</v>
      </c>
      <c r="E8" s="1">
        <v>1</v>
      </c>
      <c r="F8" s="1">
        <v>0</v>
      </c>
      <c r="G8" s="1">
        <v>0</v>
      </c>
      <c r="H8" s="1"/>
      <c r="I8" s="1"/>
      <c r="J8" s="64">
        <v>14.1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63"/>
      <c r="W8" s="63">
        <v>0.9</v>
      </c>
      <c r="X8" s="8"/>
      <c r="Y8" s="48"/>
      <c r="Z8" s="63"/>
      <c r="AA8" s="19"/>
      <c r="AB8" s="18"/>
      <c r="AC8" s="8"/>
      <c r="AD8" s="18"/>
      <c r="AE8" s="64"/>
      <c r="AF8" s="64"/>
      <c r="AG8" s="64"/>
      <c r="AH8" s="1"/>
      <c r="AI8" s="1"/>
      <c r="AJ8" s="1"/>
      <c r="AK8" s="1"/>
      <c r="AL8" s="1"/>
      <c r="AM8" s="1"/>
      <c r="AN8" s="1">
        <v>0.5</v>
      </c>
      <c r="AO8" s="1"/>
      <c r="AP8" s="1"/>
      <c r="AQ8" s="1"/>
      <c r="AR8" s="64"/>
      <c r="AS8" s="1"/>
      <c r="AT8" s="18"/>
      <c r="AU8" s="18"/>
      <c r="AV8" s="18"/>
      <c r="AW8" s="7"/>
      <c r="AX8" s="7"/>
      <c r="AY8" s="7"/>
      <c r="AZ8" s="7"/>
      <c r="BA8" s="7"/>
      <c r="BB8" s="64"/>
      <c r="BC8" s="64"/>
      <c r="BD8" s="1"/>
      <c r="BE8" s="1" t="s">
        <v>872</v>
      </c>
      <c r="BF8" s="1"/>
      <c r="BG8" s="1"/>
      <c r="BH8" s="1"/>
      <c r="BI8" s="1"/>
      <c r="BJ8" s="1"/>
      <c r="BK8" s="1"/>
      <c r="BL8" s="32">
        <v>752</v>
      </c>
      <c r="BM8" s="1"/>
      <c r="BN8" s="12"/>
      <c r="BO8" s="1"/>
      <c r="BP8" s="12"/>
      <c r="BQ8" s="32">
        <v>752</v>
      </c>
      <c r="BR8" s="12"/>
      <c r="BS8" s="12"/>
      <c r="BT8" s="1"/>
      <c r="BU8" s="12"/>
      <c r="BV8" s="12"/>
      <c r="BW8" s="1"/>
      <c r="BX8" s="32">
        <v>752</v>
      </c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x14ac:dyDescent="0.25">
      <c r="A9" s="1" t="s">
        <v>868</v>
      </c>
      <c r="B9" s="1" t="s">
        <v>142</v>
      </c>
      <c r="C9" s="1"/>
      <c r="D9" s="32">
        <v>2017</v>
      </c>
      <c r="E9" s="1">
        <v>1</v>
      </c>
      <c r="F9" s="1">
        <v>0</v>
      </c>
      <c r="G9" s="1">
        <v>0</v>
      </c>
      <c r="H9" s="1"/>
      <c r="I9" s="1"/>
      <c r="J9" s="64">
        <v>4.5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3"/>
      <c r="W9" s="63">
        <v>0.93</v>
      </c>
      <c r="X9" s="8"/>
      <c r="Y9" s="48"/>
      <c r="Z9" s="63"/>
      <c r="AA9" s="19"/>
      <c r="AB9" s="18"/>
      <c r="AC9" s="8"/>
      <c r="AD9" s="18"/>
      <c r="AE9" s="64"/>
      <c r="AF9" s="64"/>
      <c r="AG9" s="64"/>
      <c r="AH9" s="1"/>
      <c r="AI9" s="1"/>
      <c r="AJ9" s="1"/>
      <c r="AK9" s="1"/>
      <c r="AL9" s="1"/>
      <c r="AM9" s="1">
        <v>0.25</v>
      </c>
      <c r="AN9" s="1">
        <v>0.25</v>
      </c>
      <c r="AO9" s="1"/>
      <c r="AP9" s="1"/>
      <c r="AQ9" s="1"/>
      <c r="AR9" s="64"/>
      <c r="AS9" s="1"/>
      <c r="AT9" s="18"/>
      <c r="AU9" s="18"/>
      <c r="AV9" s="18"/>
      <c r="AW9" s="7"/>
      <c r="AX9" s="7"/>
      <c r="AY9" s="7"/>
      <c r="AZ9" s="7"/>
      <c r="BA9" s="7"/>
      <c r="BB9" s="64"/>
      <c r="BC9" s="64"/>
      <c r="BD9" s="1"/>
      <c r="BE9" s="1"/>
      <c r="BF9" s="1"/>
      <c r="BG9" s="1"/>
      <c r="BH9" s="1"/>
      <c r="BI9" s="1"/>
      <c r="BJ9" s="1"/>
      <c r="BK9" s="1"/>
      <c r="BL9" s="32">
        <v>752</v>
      </c>
      <c r="BM9" s="1"/>
      <c r="BN9" s="12"/>
      <c r="BO9" s="1"/>
      <c r="BP9" s="12"/>
      <c r="BQ9" s="32">
        <v>752</v>
      </c>
      <c r="BR9" s="12"/>
      <c r="BS9" s="12"/>
      <c r="BT9" s="1"/>
      <c r="BU9" s="12"/>
      <c r="BV9" s="12"/>
      <c r="BW9" s="1"/>
      <c r="BX9" s="32">
        <v>752</v>
      </c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x14ac:dyDescent="0.25">
      <c r="A10" s="1" t="s">
        <v>141</v>
      </c>
      <c r="B10" s="1" t="s">
        <v>142</v>
      </c>
      <c r="C10" s="1"/>
      <c r="D10" s="32">
        <v>2017</v>
      </c>
      <c r="E10" s="1">
        <v>1</v>
      </c>
      <c r="F10" s="1">
        <v>0</v>
      </c>
      <c r="G10" s="1">
        <v>0</v>
      </c>
      <c r="H10" s="1"/>
      <c r="I10" s="1"/>
      <c r="J10" s="64">
        <v>20.9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3"/>
      <c r="W10" s="63">
        <v>0.93</v>
      </c>
      <c r="X10" s="8"/>
      <c r="Y10" s="48"/>
      <c r="Z10" s="63"/>
      <c r="AA10" s="19"/>
      <c r="AB10" s="18"/>
      <c r="AC10" s="8"/>
      <c r="AD10" s="18"/>
      <c r="AE10" s="64"/>
      <c r="AF10" s="64"/>
      <c r="AG10" s="64"/>
      <c r="AH10" s="1"/>
      <c r="AI10" s="1"/>
      <c r="AJ10" s="1"/>
      <c r="AK10" s="1"/>
      <c r="AL10" s="1"/>
      <c r="AM10" s="1"/>
      <c r="AN10" s="1">
        <v>0.25</v>
      </c>
      <c r="AO10" s="1"/>
      <c r="AP10" s="1"/>
      <c r="AQ10" s="1"/>
      <c r="AR10" s="64"/>
      <c r="AS10" s="1"/>
      <c r="AT10" s="18"/>
      <c r="AU10" s="18"/>
      <c r="AV10" s="18"/>
      <c r="AW10" s="7"/>
      <c r="AX10" s="7"/>
      <c r="AY10" s="7"/>
      <c r="AZ10" s="7"/>
      <c r="BA10" s="7"/>
      <c r="BB10" s="64"/>
      <c r="BC10" s="64"/>
      <c r="BD10" s="1"/>
      <c r="BE10" s="1" t="s">
        <v>872</v>
      </c>
      <c r="BF10" s="1"/>
      <c r="BG10" s="1"/>
      <c r="BH10" s="1"/>
      <c r="BI10" s="1"/>
      <c r="BJ10" s="1"/>
      <c r="BK10" s="1"/>
      <c r="BL10" s="32">
        <v>752</v>
      </c>
      <c r="BM10" s="1"/>
      <c r="BN10" s="12"/>
      <c r="BO10" s="1"/>
      <c r="BP10" s="12"/>
      <c r="BQ10" s="32">
        <v>752</v>
      </c>
      <c r="BR10" s="12"/>
      <c r="BS10" s="12"/>
      <c r="BT10" s="1"/>
      <c r="BU10" s="12"/>
      <c r="BV10" s="12"/>
      <c r="BW10" s="1"/>
      <c r="BX10" s="32">
        <v>752</v>
      </c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x14ac:dyDescent="0.25">
      <c r="A11" s="1" t="s">
        <v>151</v>
      </c>
      <c r="B11" s="1" t="s">
        <v>142</v>
      </c>
      <c r="C11" s="1"/>
      <c r="D11" s="32">
        <v>2017</v>
      </c>
      <c r="E11" s="1">
        <v>1</v>
      </c>
      <c r="F11" s="1">
        <v>0</v>
      </c>
      <c r="G11" s="1">
        <v>0</v>
      </c>
      <c r="H11" s="1"/>
      <c r="I11" s="1"/>
      <c r="J11" s="64">
        <v>10.6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3"/>
      <c r="W11" s="63">
        <v>0.93</v>
      </c>
      <c r="X11" s="8"/>
      <c r="Y11" s="48"/>
      <c r="Z11" s="63"/>
      <c r="AA11" s="19"/>
      <c r="AB11" s="18"/>
      <c r="AC11" s="8"/>
      <c r="AD11" s="18"/>
      <c r="AE11" s="64"/>
      <c r="AF11" s="64"/>
      <c r="AG11" s="64"/>
      <c r="AH11" s="1"/>
      <c r="AI11" s="1"/>
      <c r="AJ11" s="1"/>
      <c r="AK11" s="1"/>
      <c r="AL11" s="1"/>
      <c r="AM11" s="1">
        <v>0.25</v>
      </c>
      <c r="AN11" s="1">
        <v>0.25</v>
      </c>
      <c r="AO11" s="1"/>
      <c r="AP11" s="1"/>
      <c r="AQ11" s="1"/>
      <c r="AR11" s="64"/>
      <c r="AS11" s="1"/>
      <c r="AT11" s="18"/>
      <c r="AU11" s="18"/>
      <c r="AV11" s="18"/>
      <c r="AW11" s="7"/>
      <c r="AX11" s="7"/>
      <c r="AY11" s="7"/>
      <c r="AZ11" s="7"/>
      <c r="BA11" s="7"/>
      <c r="BB11" s="64"/>
      <c r="BC11" s="64"/>
      <c r="BD11" s="1"/>
      <c r="BE11" s="1"/>
      <c r="BF11" s="1"/>
      <c r="BG11" s="1"/>
      <c r="BH11" s="1"/>
      <c r="BI11" s="1"/>
      <c r="BJ11" s="1"/>
      <c r="BK11" s="1"/>
      <c r="BL11" s="32">
        <v>752</v>
      </c>
      <c r="BM11" s="1"/>
      <c r="BN11" s="12"/>
      <c r="BO11" s="1"/>
      <c r="BP11" s="12"/>
      <c r="BQ11" s="32">
        <v>752</v>
      </c>
      <c r="BR11" s="12"/>
      <c r="BS11" s="12"/>
      <c r="BT11" s="1"/>
      <c r="BU11" s="12"/>
      <c r="BV11" s="12"/>
      <c r="BW11" s="1"/>
      <c r="BX11" s="32">
        <v>752</v>
      </c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25">
      <c r="A12" s="1" t="s">
        <v>209</v>
      </c>
      <c r="B12" s="1" t="s">
        <v>130</v>
      </c>
      <c r="C12" s="1"/>
      <c r="D12" s="32">
        <v>2017</v>
      </c>
      <c r="E12" s="1">
        <v>1</v>
      </c>
      <c r="F12" s="1">
        <v>0</v>
      </c>
      <c r="G12" s="1">
        <v>0</v>
      </c>
      <c r="H12" s="1"/>
      <c r="I12" s="1"/>
      <c r="J12" s="64">
        <v>7.4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63"/>
      <c r="W12" s="63">
        <v>1</v>
      </c>
      <c r="X12" s="8"/>
      <c r="Y12" s="48"/>
      <c r="Z12" s="63"/>
      <c r="AA12" s="19"/>
      <c r="AB12" s="18"/>
      <c r="AC12" s="8"/>
      <c r="AD12" s="18"/>
      <c r="AE12" s="64"/>
      <c r="AF12" s="64"/>
      <c r="AG12" s="64"/>
      <c r="AH12" s="1"/>
      <c r="AI12" s="1"/>
      <c r="AJ12" s="1"/>
      <c r="AK12" s="1"/>
      <c r="AL12" s="1"/>
      <c r="AM12" s="1">
        <v>0.5</v>
      </c>
      <c r="AN12" s="1">
        <v>0.5</v>
      </c>
      <c r="AO12" s="1"/>
      <c r="AP12" s="1"/>
      <c r="AQ12" s="1"/>
      <c r="AR12" s="64"/>
      <c r="AS12" s="1"/>
      <c r="AT12" s="18"/>
      <c r="AU12" s="18"/>
      <c r="AV12" s="18"/>
      <c r="AW12" s="7"/>
      <c r="AX12" s="7"/>
      <c r="AY12" s="7"/>
      <c r="AZ12" s="7"/>
      <c r="BA12" s="7"/>
      <c r="BB12" s="64"/>
      <c r="BC12" s="64"/>
      <c r="BD12" s="1"/>
      <c r="BE12" s="1"/>
      <c r="BF12" s="1"/>
      <c r="BG12" s="1"/>
      <c r="BH12" s="1"/>
      <c r="BI12" s="1"/>
      <c r="BJ12" s="1"/>
      <c r="BK12" s="1"/>
      <c r="BL12" s="32">
        <v>752</v>
      </c>
      <c r="BM12" s="1"/>
      <c r="BN12" s="12"/>
      <c r="BO12" s="1"/>
      <c r="BP12" s="12"/>
      <c r="BQ12" s="32">
        <v>752</v>
      </c>
      <c r="BR12" s="12"/>
      <c r="BS12" s="12"/>
      <c r="BT12" s="1"/>
      <c r="BU12" s="12"/>
      <c r="BV12" s="12"/>
      <c r="BW12" s="1"/>
      <c r="BX12" s="32">
        <v>752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x14ac:dyDescent="0.25">
      <c r="A13" s="1" t="s">
        <v>212</v>
      </c>
      <c r="B13" s="1" t="s">
        <v>130</v>
      </c>
      <c r="C13" s="1"/>
      <c r="D13" s="32">
        <v>2017</v>
      </c>
      <c r="E13" s="1">
        <v>1</v>
      </c>
      <c r="F13" s="1">
        <v>0</v>
      </c>
      <c r="G13" s="1">
        <v>0</v>
      </c>
      <c r="H13" s="1"/>
      <c r="I13" s="1"/>
      <c r="J13" s="64">
        <v>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3"/>
      <c r="W13" s="63">
        <v>0.7</v>
      </c>
      <c r="X13" s="8"/>
      <c r="Y13" s="48"/>
      <c r="Z13" s="63"/>
      <c r="AA13" s="19"/>
      <c r="AB13" s="18"/>
      <c r="AC13" s="8"/>
      <c r="AD13" s="18"/>
      <c r="AE13" s="64"/>
      <c r="AF13" s="64"/>
      <c r="AG13" s="64"/>
      <c r="AH13" s="1"/>
      <c r="AI13" s="1"/>
      <c r="AJ13" s="1"/>
      <c r="AK13" s="1"/>
      <c r="AL13" s="1"/>
      <c r="AM13" s="1">
        <v>0.25</v>
      </c>
      <c r="AN13" s="1">
        <v>0.25</v>
      </c>
      <c r="AO13" s="1"/>
      <c r="AP13" s="1"/>
      <c r="AQ13" s="1"/>
      <c r="AR13" s="64"/>
      <c r="AS13" s="1"/>
      <c r="AT13" s="18"/>
      <c r="AU13" s="18"/>
      <c r="AV13" s="18"/>
      <c r="AW13" s="7"/>
      <c r="AX13" s="7"/>
      <c r="AY13" s="7"/>
      <c r="AZ13" s="7"/>
      <c r="BA13" s="7"/>
      <c r="BB13" s="64"/>
      <c r="BC13" s="64"/>
      <c r="BD13" s="1"/>
      <c r="BE13" s="1"/>
      <c r="BF13" s="1"/>
      <c r="BG13" s="1"/>
      <c r="BH13" s="1"/>
      <c r="BI13" s="1"/>
      <c r="BJ13" s="1"/>
      <c r="BK13" s="1"/>
      <c r="BL13" s="32">
        <v>752</v>
      </c>
      <c r="BM13" s="1"/>
      <c r="BN13" s="12"/>
      <c r="BO13" s="1"/>
      <c r="BP13" s="12"/>
      <c r="BQ13" s="32">
        <v>752</v>
      </c>
      <c r="BR13" s="12"/>
      <c r="BS13" s="12"/>
      <c r="BT13" s="1"/>
      <c r="BU13" s="12"/>
      <c r="BV13" s="12"/>
      <c r="BW13" s="1"/>
      <c r="BX13" s="32">
        <v>752</v>
      </c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25">
      <c r="A14" s="1" t="s">
        <v>211</v>
      </c>
      <c r="B14" s="1" t="s">
        <v>130</v>
      </c>
      <c r="C14" s="1"/>
      <c r="D14" s="32">
        <v>2017</v>
      </c>
      <c r="E14" s="1">
        <v>1</v>
      </c>
      <c r="F14" s="1">
        <v>0</v>
      </c>
      <c r="G14" s="1">
        <v>0</v>
      </c>
      <c r="H14" s="1"/>
      <c r="I14" s="1"/>
      <c r="J14" s="64">
        <v>2.6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63"/>
      <c r="W14" s="63">
        <v>0.75</v>
      </c>
      <c r="X14" s="8"/>
      <c r="Y14" s="48"/>
      <c r="Z14" s="63"/>
      <c r="AA14" s="19"/>
      <c r="AB14" s="18"/>
      <c r="AC14" s="8"/>
      <c r="AD14" s="18"/>
      <c r="AE14" s="64"/>
      <c r="AF14" s="64"/>
      <c r="AG14" s="64"/>
      <c r="AH14" s="1"/>
      <c r="AI14" s="1"/>
      <c r="AJ14" s="1"/>
      <c r="AK14" s="1"/>
      <c r="AL14" s="1"/>
      <c r="AM14" s="1">
        <v>0.25</v>
      </c>
      <c r="AN14" s="1">
        <v>0.25</v>
      </c>
      <c r="AO14" s="1"/>
      <c r="AP14" s="1"/>
      <c r="AQ14" s="1"/>
      <c r="AR14" s="64"/>
      <c r="AS14" s="1"/>
      <c r="AT14" s="18"/>
      <c r="AU14" s="18"/>
      <c r="AV14" s="18"/>
      <c r="AW14" s="7"/>
      <c r="AX14" s="7"/>
      <c r="AY14" s="7"/>
      <c r="AZ14" s="7"/>
      <c r="BA14" s="7"/>
      <c r="BB14" s="64"/>
      <c r="BC14" s="64"/>
      <c r="BD14" s="1"/>
      <c r="BE14" s="1"/>
      <c r="BF14" s="1"/>
      <c r="BG14" s="1"/>
      <c r="BH14" s="1"/>
      <c r="BI14" s="1"/>
      <c r="BJ14" s="1"/>
      <c r="BK14" s="1"/>
      <c r="BL14" s="32">
        <v>752</v>
      </c>
      <c r="BM14" s="1"/>
      <c r="BN14" s="12"/>
      <c r="BO14" s="1"/>
      <c r="BP14" s="12"/>
      <c r="BQ14" s="32">
        <v>752</v>
      </c>
      <c r="BR14" s="12"/>
      <c r="BS14" s="12"/>
      <c r="BT14" s="1"/>
      <c r="BU14" s="12"/>
      <c r="BV14" s="12"/>
      <c r="BW14" s="1"/>
      <c r="BX14" s="32">
        <v>752</v>
      </c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x14ac:dyDescent="0.25">
      <c r="A15" s="1" t="s">
        <v>139</v>
      </c>
      <c r="B15" s="1" t="s">
        <v>130</v>
      </c>
      <c r="C15" s="1"/>
      <c r="D15" s="32">
        <v>2017</v>
      </c>
      <c r="E15" s="1">
        <v>1</v>
      </c>
      <c r="F15" s="1">
        <v>0</v>
      </c>
      <c r="G15" s="1">
        <v>0</v>
      </c>
      <c r="H15" s="1"/>
      <c r="I15" s="1"/>
      <c r="J15" s="64">
        <v>3.4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3"/>
      <c r="W15" s="63">
        <v>0.25</v>
      </c>
      <c r="X15" s="8"/>
      <c r="Y15" s="48"/>
      <c r="Z15" s="63"/>
      <c r="AA15" s="19"/>
      <c r="AB15" s="18"/>
      <c r="AC15" s="8"/>
      <c r="AD15" s="18"/>
      <c r="AE15" s="64"/>
      <c r="AF15" s="64"/>
      <c r="AG15" s="64"/>
      <c r="AH15" s="1"/>
      <c r="AI15" s="1"/>
      <c r="AJ15" s="1"/>
      <c r="AK15" s="1"/>
      <c r="AL15" s="1"/>
      <c r="AM15" s="1">
        <v>2</v>
      </c>
      <c r="AN15" s="1">
        <v>0.75</v>
      </c>
      <c r="AO15" s="1"/>
      <c r="AP15" s="1"/>
      <c r="AQ15" s="1"/>
      <c r="AR15" s="64"/>
      <c r="AS15" s="1"/>
      <c r="AT15" s="18"/>
      <c r="AU15" s="18"/>
      <c r="AV15" s="18"/>
      <c r="AW15" s="7"/>
      <c r="AX15" s="7"/>
      <c r="AY15" s="7"/>
      <c r="AZ15" s="7"/>
      <c r="BA15" s="7"/>
      <c r="BB15" s="64"/>
      <c r="BC15" s="64"/>
      <c r="BD15" s="1"/>
      <c r="BE15" s="1"/>
      <c r="BF15" s="1"/>
      <c r="BG15" s="1"/>
      <c r="BH15" s="1"/>
      <c r="BI15" s="1"/>
      <c r="BJ15" s="1"/>
      <c r="BK15" s="1"/>
      <c r="BL15" s="32">
        <v>752</v>
      </c>
      <c r="BM15" s="1"/>
      <c r="BN15" s="12"/>
      <c r="BO15" s="1"/>
      <c r="BP15" s="12"/>
      <c r="BQ15" s="32">
        <v>752</v>
      </c>
      <c r="BR15" s="12"/>
      <c r="BS15" s="12"/>
      <c r="BT15" s="1"/>
      <c r="BU15" s="12"/>
      <c r="BV15" s="12"/>
      <c r="BW15" s="1"/>
      <c r="BX15" s="32">
        <v>752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x14ac:dyDescent="0.25">
      <c r="A16" s="1" t="s">
        <v>869</v>
      </c>
      <c r="B16" s="1" t="s">
        <v>130</v>
      </c>
      <c r="C16" s="1"/>
      <c r="D16" s="32">
        <v>2017</v>
      </c>
      <c r="E16" s="1">
        <v>1</v>
      </c>
      <c r="F16" s="1">
        <v>0</v>
      </c>
      <c r="G16" s="1">
        <v>0</v>
      </c>
      <c r="H16" s="1"/>
      <c r="I16" s="1"/>
      <c r="J16" s="64">
        <v>4.2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63"/>
      <c r="W16" s="63">
        <v>1</v>
      </c>
      <c r="X16" s="8"/>
      <c r="Y16" s="48"/>
      <c r="Z16" s="63"/>
      <c r="AA16" s="19"/>
      <c r="AB16" s="18"/>
      <c r="AC16" s="8"/>
      <c r="AD16" s="18"/>
      <c r="AE16" s="64"/>
      <c r="AF16" s="64"/>
      <c r="AG16" s="64"/>
      <c r="AH16" s="1"/>
      <c r="AI16" s="1"/>
      <c r="AJ16" s="1"/>
      <c r="AK16" s="1"/>
      <c r="AL16" s="1"/>
      <c r="AM16" s="1">
        <v>8</v>
      </c>
      <c r="AN16" s="1">
        <v>0.25</v>
      </c>
      <c r="AO16" s="1"/>
      <c r="AP16" s="1"/>
      <c r="AQ16" s="1"/>
      <c r="AR16" s="64"/>
      <c r="AS16" s="1"/>
      <c r="AT16" s="18"/>
      <c r="AU16" s="18"/>
      <c r="AV16" s="18"/>
      <c r="AW16" s="7"/>
      <c r="AX16" s="7"/>
      <c r="AY16" s="7"/>
      <c r="AZ16" s="7"/>
      <c r="BA16" s="7"/>
      <c r="BB16" s="64"/>
      <c r="BC16" s="64"/>
      <c r="BD16" s="1"/>
      <c r="BE16" s="1"/>
      <c r="BF16" s="1"/>
      <c r="BG16" s="1"/>
      <c r="BH16" s="1"/>
      <c r="BI16" s="1"/>
      <c r="BJ16" s="1"/>
      <c r="BK16" s="1"/>
      <c r="BL16" s="32">
        <v>752</v>
      </c>
      <c r="BM16" s="1"/>
      <c r="BN16" s="12"/>
      <c r="BO16" s="1"/>
      <c r="BP16" s="12"/>
      <c r="BQ16" s="32">
        <v>752</v>
      </c>
      <c r="BR16" s="12"/>
      <c r="BS16" s="12"/>
      <c r="BT16" s="1"/>
      <c r="BU16" s="12"/>
      <c r="BV16" s="12"/>
      <c r="BW16" s="1"/>
      <c r="BX16" s="32">
        <v>752</v>
      </c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1" t="s">
        <v>29</v>
      </c>
      <c r="B17" s="1" t="s">
        <v>129</v>
      </c>
      <c r="C17" s="1"/>
      <c r="D17" s="32">
        <v>2017</v>
      </c>
      <c r="E17" s="1">
        <v>1</v>
      </c>
      <c r="F17" s="1">
        <v>0</v>
      </c>
      <c r="G17" s="1">
        <v>0</v>
      </c>
      <c r="H17" s="1"/>
      <c r="I17" s="1"/>
      <c r="J17" s="64">
        <v>5.3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3"/>
      <c r="W17" s="63">
        <v>0.4</v>
      </c>
      <c r="X17" s="8"/>
      <c r="Y17" s="48"/>
      <c r="Z17" s="63"/>
      <c r="AA17" s="19"/>
      <c r="AB17" s="18"/>
      <c r="AC17" s="8"/>
      <c r="AD17" s="18"/>
      <c r="AE17" s="64"/>
      <c r="AF17" s="64"/>
      <c r="AG17" s="64"/>
      <c r="AH17" s="1"/>
      <c r="AI17" s="1"/>
      <c r="AJ17" s="1"/>
      <c r="AK17" s="1"/>
      <c r="AL17" s="1"/>
      <c r="AM17" s="1">
        <v>2</v>
      </c>
      <c r="AN17" s="1">
        <v>0</v>
      </c>
      <c r="AO17" s="1"/>
      <c r="AP17" s="1"/>
      <c r="AQ17" s="1"/>
      <c r="AR17" s="64"/>
      <c r="AS17" s="1"/>
      <c r="AT17" s="18"/>
      <c r="AU17" s="18"/>
      <c r="AV17" s="18"/>
      <c r="AW17" s="7"/>
      <c r="AX17" s="7"/>
      <c r="AY17" s="7"/>
      <c r="AZ17" s="7"/>
      <c r="BA17" s="7"/>
      <c r="BB17" s="64"/>
      <c r="BC17" s="64"/>
      <c r="BD17" s="1"/>
      <c r="BE17" s="1"/>
      <c r="BF17" s="1"/>
      <c r="BG17" s="1"/>
      <c r="BH17" s="1"/>
      <c r="BI17" s="1"/>
      <c r="BJ17" s="1"/>
      <c r="BK17" s="1"/>
      <c r="BL17" s="32">
        <v>752</v>
      </c>
      <c r="BM17" s="1"/>
      <c r="BN17" s="12"/>
      <c r="BO17" s="1"/>
      <c r="BP17" s="12"/>
      <c r="BQ17" s="32">
        <v>752</v>
      </c>
      <c r="BR17" s="12"/>
      <c r="BS17" s="12"/>
      <c r="BT17" s="1"/>
      <c r="BU17" s="12"/>
      <c r="BV17" s="12"/>
      <c r="BW17" s="1"/>
      <c r="BX17" s="32">
        <v>752</v>
      </c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25">
      <c r="A18" s="1" t="s">
        <v>53</v>
      </c>
      <c r="B18" s="1" t="s">
        <v>129</v>
      </c>
      <c r="C18" s="1"/>
      <c r="D18" s="32">
        <v>2017</v>
      </c>
      <c r="E18" s="1">
        <v>1</v>
      </c>
      <c r="F18" s="1">
        <v>0</v>
      </c>
      <c r="G18" s="1">
        <v>0</v>
      </c>
      <c r="H18" s="1"/>
      <c r="I18" s="1"/>
      <c r="J18" s="64">
        <v>5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63"/>
      <c r="W18" s="63">
        <v>0.3</v>
      </c>
      <c r="X18" s="8"/>
      <c r="Y18" s="48"/>
      <c r="Z18" s="63"/>
      <c r="AA18" s="19"/>
      <c r="AB18" s="18"/>
      <c r="AC18" s="8"/>
      <c r="AD18" s="18"/>
      <c r="AE18" s="64"/>
      <c r="AF18" s="64"/>
      <c r="AG18" s="64"/>
      <c r="AH18" s="1"/>
      <c r="AI18" s="1"/>
      <c r="AJ18" s="1"/>
      <c r="AK18" s="1"/>
      <c r="AL18" s="1"/>
      <c r="AM18" s="1">
        <v>4</v>
      </c>
      <c r="AN18" s="1">
        <v>0</v>
      </c>
      <c r="AO18" s="1"/>
      <c r="AP18" s="1"/>
      <c r="AQ18" s="1"/>
      <c r="AR18" s="64"/>
      <c r="AS18" s="1"/>
      <c r="AT18" s="18"/>
      <c r="AU18" s="18"/>
      <c r="AV18" s="18"/>
      <c r="AW18" s="7"/>
      <c r="AX18" s="7"/>
      <c r="AY18" s="7"/>
      <c r="AZ18" s="7"/>
      <c r="BA18" s="7"/>
      <c r="BB18" s="64"/>
      <c r="BC18" s="64"/>
      <c r="BD18" s="1"/>
      <c r="BE18" s="1"/>
      <c r="BF18" s="1"/>
      <c r="BG18" s="1"/>
      <c r="BH18" s="1"/>
      <c r="BI18" s="1"/>
      <c r="BJ18" s="1"/>
      <c r="BK18" s="1"/>
      <c r="BL18" s="32">
        <v>752</v>
      </c>
      <c r="BM18" s="1"/>
      <c r="BN18" s="12"/>
      <c r="BO18" s="1"/>
      <c r="BP18" s="12"/>
      <c r="BQ18" s="32">
        <v>752</v>
      </c>
      <c r="BR18" s="12"/>
      <c r="BS18" s="12"/>
      <c r="BT18" s="1"/>
      <c r="BU18" s="12"/>
      <c r="BV18" s="12"/>
      <c r="BW18" s="1"/>
      <c r="BX18" s="32">
        <v>752</v>
      </c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25">
      <c r="A19" s="1" t="s">
        <v>54</v>
      </c>
      <c r="B19" s="1" t="s">
        <v>129</v>
      </c>
      <c r="C19" s="1"/>
      <c r="D19" s="32">
        <v>2017</v>
      </c>
      <c r="E19" s="1">
        <v>1</v>
      </c>
      <c r="F19" s="1">
        <v>0</v>
      </c>
      <c r="G19" s="1">
        <v>0</v>
      </c>
      <c r="H19" s="1"/>
      <c r="I19" s="1"/>
      <c r="J19" s="64">
        <v>7.8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3"/>
      <c r="W19" s="63">
        <v>0.25</v>
      </c>
      <c r="X19" s="8"/>
      <c r="Y19" s="48"/>
      <c r="Z19" s="63"/>
      <c r="AA19" s="19"/>
      <c r="AB19" s="18"/>
      <c r="AC19" s="8"/>
      <c r="AD19" s="18"/>
      <c r="AE19" s="64"/>
      <c r="AF19" s="64"/>
      <c r="AG19" s="64"/>
      <c r="AH19" s="1"/>
      <c r="AI19" s="1"/>
      <c r="AJ19" s="1"/>
      <c r="AK19" s="1"/>
      <c r="AL19" s="1"/>
      <c r="AM19" s="1">
        <v>4</v>
      </c>
      <c r="AN19" s="1">
        <v>0</v>
      </c>
      <c r="AO19" s="1"/>
      <c r="AP19" s="1"/>
      <c r="AQ19" s="1"/>
      <c r="AR19" s="64"/>
      <c r="AS19" s="1"/>
      <c r="AT19" s="18"/>
      <c r="AU19" s="18"/>
      <c r="AV19" s="18"/>
      <c r="AW19" s="7"/>
      <c r="AX19" s="7"/>
      <c r="AY19" s="7"/>
      <c r="AZ19" s="7"/>
      <c r="BA19" s="7"/>
      <c r="BB19" s="64"/>
      <c r="BC19" s="64"/>
      <c r="BD19" s="1"/>
      <c r="BE19" s="1"/>
      <c r="BF19" s="1"/>
      <c r="BG19" s="1"/>
      <c r="BH19" s="1"/>
      <c r="BI19" s="1"/>
      <c r="BJ19" s="1"/>
      <c r="BK19" s="1"/>
      <c r="BL19" s="32">
        <v>752</v>
      </c>
      <c r="BM19" s="1"/>
      <c r="BN19" s="12"/>
      <c r="BO19" s="1"/>
      <c r="BP19" s="12"/>
      <c r="BQ19" s="32">
        <v>752</v>
      </c>
      <c r="BR19" s="12"/>
      <c r="BS19" s="12"/>
      <c r="BT19" s="1"/>
      <c r="BU19" s="12"/>
      <c r="BV19" s="12"/>
      <c r="BW19" s="1"/>
      <c r="BX19" s="32">
        <v>752</v>
      </c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1" t="s">
        <v>280</v>
      </c>
      <c r="B20" s="1" t="s">
        <v>129</v>
      </c>
      <c r="C20" s="1"/>
      <c r="D20" s="32">
        <v>2017</v>
      </c>
      <c r="E20" s="1">
        <v>1</v>
      </c>
      <c r="F20" s="1">
        <v>0</v>
      </c>
      <c r="G20" s="1">
        <v>0</v>
      </c>
      <c r="H20" s="1"/>
      <c r="I20" s="1"/>
      <c r="J20" s="64">
        <v>1.1000000000000001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63"/>
      <c r="W20" s="63">
        <v>0.25</v>
      </c>
      <c r="X20" s="8"/>
      <c r="Y20" s="48"/>
      <c r="Z20" s="63"/>
      <c r="AA20" s="19"/>
      <c r="AB20" s="18"/>
      <c r="AC20" s="8"/>
      <c r="AD20" s="18"/>
      <c r="AE20" s="64"/>
      <c r="AF20" s="64"/>
      <c r="AG20" s="64"/>
      <c r="AH20" s="1"/>
      <c r="AI20" s="1"/>
      <c r="AJ20" s="1"/>
      <c r="AK20" s="1"/>
      <c r="AL20" s="1"/>
      <c r="AM20" s="1">
        <v>4</v>
      </c>
      <c r="AN20" s="1">
        <v>0</v>
      </c>
      <c r="AO20" s="1"/>
      <c r="AP20" s="1"/>
      <c r="AQ20" s="1"/>
      <c r="AR20" s="64"/>
      <c r="AS20" s="1"/>
      <c r="AT20" s="18"/>
      <c r="AU20" s="18"/>
      <c r="AV20" s="18"/>
      <c r="AW20" s="7"/>
      <c r="AX20" s="7"/>
      <c r="AY20" s="7"/>
      <c r="AZ20" s="7"/>
      <c r="BA20" s="7"/>
      <c r="BB20" s="64"/>
      <c r="BC20" s="64"/>
      <c r="BD20" s="1"/>
      <c r="BE20" s="1"/>
      <c r="BF20" s="1"/>
      <c r="BG20" s="1"/>
      <c r="BH20" s="1"/>
      <c r="BI20" s="1"/>
      <c r="BJ20" s="1"/>
      <c r="BK20" s="1"/>
      <c r="BL20" s="32">
        <v>752</v>
      </c>
      <c r="BM20" s="1"/>
      <c r="BN20" s="12"/>
      <c r="BO20" s="1"/>
      <c r="BP20" s="12"/>
      <c r="BQ20" s="32">
        <v>752</v>
      </c>
      <c r="BR20" s="12"/>
      <c r="BS20" s="12"/>
      <c r="BT20" s="1"/>
      <c r="BU20" s="12"/>
      <c r="BV20" s="12"/>
      <c r="BW20" s="1"/>
      <c r="BX20" s="32">
        <v>752</v>
      </c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25">
      <c r="A21" s="1" t="s">
        <v>188</v>
      </c>
      <c r="B21" s="1" t="s">
        <v>129</v>
      </c>
      <c r="C21" s="1"/>
      <c r="D21" s="32">
        <v>2017</v>
      </c>
      <c r="E21" s="1">
        <v>1</v>
      </c>
      <c r="F21" s="1">
        <v>0</v>
      </c>
      <c r="G21" s="1">
        <v>0</v>
      </c>
      <c r="H21" s="1"/>
      <c r="I21" s="1"/>
      <c r="J21" s="64">
        <v>20.8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3"/>
      <c r="W21" s="63">
        <v>1</v>
      </c>
      <c r="X21" s="8"/>
      <c r="Y21" s="48"/>
      <c r="Z21" s="63"/>
      <c r="AA21" s="19"/>
      <c r="AB21" s="18"/>
      <c r="AC21" s="8"/>
      <c r="AD21" s="18"/>
      <c r="AE21" s="64"/>
      <c r="AF21" s="64"/>
      <c r="AG21" s="64"/>
      <c r="AH21" s="1"/>
      <c r="AI21" s="1"/>
      <c r="AJ21" s="1"/>
      <c r="AK21" s="1"/>
      <c r="AL21" s="1"/>
      <c r="AM21" s="1">
        <v>1.5</v>
      </c>
      <c r="AN21" s="1">
        <v>0</v>
      </c>
      <c r="AO21" s="1"/>
      <c r="AP21" s="1"/>
      <c r="AQ21" s="1"/>
      <c r="AR21" s="64"/>
      <c r="AS21" s="1"/>
      <c r="AT21" s="18"/>
      <c r="AU21" s="18"/>
      <c r="AV21" s="18"/>
      <c r="AW21" s="7"/>
      <c r="AX21" s="7"/>
      <c r="AY21" s="7"/>
      <c r="AZ21" s="7"/>
      <c r="BA21" s="7"/>
      <c r="BB21" s="64"/>
      <c r="BC21" s="64"/>
      <c r="BD21" s="1"/>
      <c r="BE21" s="1"/>
      <c r="BF21" s="1"/>
      <c r="BG21" s="1"/>
      <c r="BH21" s="1"/>
      <c r="BI21" s="1"/>
      <c r="BJ21" s="1"/>
      <c r="BK21" s="1"/>
      <c r="BL21" s="32">
        <v>752</v>
      </c>
      <c r="BM21" s="1"/>
      <c r="BN21" s="12"/>
      <c r="BO21" s="1"/>
      <c r="BP21" s="12"/>
      <c r="BQ21" s="32">
        <v>752</v>
      </c>
      <c r="BR21" s="12"/>
      <c r="BS21" s="12"/>
      <c r="BT21" s="1"/>
      <c r="BU21" s="12"/>
      <c r="BV21" s="12"/>
      <c r="BW21" s="1"/>
      <c r="BX21" s="32">
        <v>752</v>
      </c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5">
      <c r="A22" s="1" t="s">
        <v>84</v>
      </c>
      <c r="B22" s="1" t="s">
        <v>129</v>
      </c>
      <c r="C22" s="1"/>
      <c r="D22" s="32">
        <v>2017</v>
      </c>
      <c r="E22" s="1">
        <v>1</v>
      </c>
      <c r="F22" s="1">
        <v>0</v>
      </c>
      <c r="G22" s="1">
        <v>0</v>
      </c>
      <c r="H22" s="1"/>
      <c r="I22" s="1"/>
      <c r="J22" s="64">
        <v>5.3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63"/>
      <c r="W22" s="63">
        <v>1</v>
      </c>
      <c r="X22" s="8"/>
      <c r="Y22" s="48"/>
      <c r="Z22" s="63"/>
      <c r="AA22" s="19"/>
      <c r="AB22" s="18"/>
      <c r="AC22" s="8"/>
      <c r="AD22" s="18"/>
      <c r="AE22" s="64"/>
      <c r="AF22" s="64"/>
      <c r="AG22" s="64"/>
      <c r="AH22" s="1"/>
      <c r="AI22" s="1"/>
      <c r="AJ22" s="1"/>
      <c r="AK22" s="1"/>
      <c r="AL22" s="1"/>
      <c r="AM22" s="1">
        <v>0.5</v>
      </c>
      <c r="AN22" s="1">
        <v>0</v>
      </c>
      <c r="AO22" s="1"/>
      <c r="AP22" s="1"/>
      <c r="AQ22" s="1"/>
      <c r="AR22" s="64"/>
      <c r="AS22" s="1"/>
      <c r="AT22" s="18"/>
      <c r="AU22" s="18"/>
      <c r="AV22" s="18"/>
      <c r="AW22" s="7"/>
      <c r="AX22" s="7"/>
      <c r="AY22" s="7"/>
      <c r="AZ22" s="7"/>
      <c r="BA22" s="7"/>
      <c r="BB22" s="64"/>
      <c r="BC22" s="64"/>
      <c r="BD22" s="1"/>
      <c r="BE22" s="1"/>
      <c r="BF22" s="1"/>
      <c r="BG22" s="1"/>
      <c r="BH22" s="1"/>
      <c r="BI22" s="1"/>
      <c r="BJ22" s="1"/>
      <c r="BK22" s="1"/>
      <c r="BL22" s="32">
        <v>752</v>
      </c>
      <c r="BM22" s="1"/>
      <c r="BN22" s="12"/>
      <c r="BO22" s="1"/>
      <c r="BP22" s="12"/>
      <c r="BQ22" s="32">
        <v>752</v>
      </c>
      <c r="BR22" s="12"/>
      <c r="BS22" s="12"/>
      <c r="BT22" s="1"/>
      <c r="BU22" s="12"/>
      <c r="BV22" s="12"/>
      <c r="BW22" s="1"/>
      <c r="BX22" s="32">
        <v>752</v>
      </c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25">
      <c r="A23" s="1" t="s">
        <v>880</v>
      </c>
      <c r="B23" s="1" t="s">
        <v>129</v>
      </c>
      <c r="C23" s="1"/>
      <c r="D23" s="32">
        <v>2017</v>
      </c>
      <c r="E23" s="1">
        <v>1</v>
      </c>
      <c r="F23" s="1">
        <v>0</v>
      </c>
      <c r="G23" s="1">
        <v>0</v>
      </c>
      <c r="H23" s="1"/>
      <c r="I23" s="1"/>
      <c r="J23" s="64">
        <v>2.2000000000000002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3"/>
      <c r="W23" s="63">
        <v>1</v>
      </c>
      <c r="X23" s="8"/>
      <c r="Y23" s="48"/>
      <c r="Z23" s="63"/>
      <c r="AA23" s="19"/>
      <c r="AB23" s="18"/>
      <c r="AC23" s="8"/>
      <c r="AD23" s="18"/>
      <c r="AE23" s="64"/>
      <c r="AF23" s="64"/>
      <c r="AG23" s="64"/>
      <c r="AH23" s="1"/>
      <c r="AI23" s="1"/>
      <c r="AJ23" s="1"/>
      <c r="AK23" s="1"/>
      <c r="AL23" s="1"/>
      <c r="AM23" s="1">
        <v>3</v>
      </c>
      <c r="AN23" s="1">
        <v>0</v>
      </c>
      <c r="AO23" s="1"/>
      <c r="AP23" s="1"/>
      <c r="AQ23" s="1"/>
      <c r="AR23" s="64"/>
      <c r="AS23" s="1"/>
      <c r="AT23" s="18"/>
      <c r="AU23" s="18"/>
      <c r="AV23" s="18"/>
      <c r="AW23" s="7"/>
      <c r="AX23" s="7"/>
      <c r="AY23" s="7"/>
      <c r="AZ23" s="7"/>
      <c r="BA23" s="7"/>
      <c r="BB23" s="64"/>
      <c r="BC23" s="64"/>
      <c r="BD23" s="1"/>
      <c r="BE23" s="1"/>
      <c r="BF23" s="1"/>
      <c r="BG23" s="1"/>
      <c r="BH23" s="1"/>
      <c r="BI23" s="1"/>
      <c r="BJ23" s="1"/>
      <c r="BK23" s="1"/>
      <c r="BL23" s="32">
        <v>752</v>
      </c>
      <c r="BM23" s="1"/>
      <c r="BN23" s="12"/>
      <c r="BO23" s="1"/>
      <c r="BP23" s="12"/>
      <c r="BQ23" s="32">
        <v>752</v>
      </c>
      <c r="BR23" s="12"/>
      <c r="BS23" s="12"/>
      <c r="BT23" s="1"/>
      <c r="BU23" s="12"/>
      <c r="BV23" s="12"/>
      <c r="BW23" s="1"/>
      <c r="BX23" s="32">
        <v>752</v>
      </c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25">
      <c r="A24" s="1" t="s">
        <v>933</v>
      </c>
      <c r="B24" s="1" t="s">
        <v>129</v>
      </c>
      <c r="C24" s="1"/>
      <c r="D24" s="32">
        <v>2017</v>
      </c>
      <c r="E24" s="1">
        <v>1</v>
      </c>
      <c r="F24" s="1">
        <v>0</v>
      </c>
      <c r="G24" s="1">
        <v>0</v>
      </c>
      <c r="H24" s="1"/>
      <c r="I24" s="1"/>
      <c r="J24" s="64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63"/>
      <c r="W24" s="63"/>
      <c r="X24" s="8"/>
      <c r="Y24" s="48"/>
      <c r="Z24" s="63"/>
      <c r="AA24" s="19"/>
      <c r="AB24" s="18"/>
      <c r="AC24" s="8"/>
      <c r="AD24" s="18"/>
      <c r="AE24" s="64"/>
      <c r="AF24" s="64"/>
      <c r="AG24" s="6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64"/>
      <c r="AS24" s="1"/>
      <c r="AT24" s="18"/>
      <c r="AU24" s="18"/>
      <c r="AV24" s="18"/>
      <c r="AW24" s="7"/>
      <c r="AX24" s="7"/>
      <c r="AY24" s="7"/>
      <c r="AZ24" s="7"/>
      <c r="BA24" s="7"/>
      <c r="BB24" s="64"/>
      <c r="BC24" s="6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2"/>
      <c r="BO24" s="1"/>
      <c r="BP24" s="12"/>
      <c r="BQ24" s="12"/>
      <c r="BR24" s="12"/>
      <c r="BS24" s="12"/>
      <c r="BT24" s="1"/>
      <c r="BU24" s="12"/>
      <c r="BV24" s="12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25">
      <c r="A25" s="1" t="s">
        <v>401</v>
      </c>
      <c r="B25" s="1" t="s">
        <v>130</v>
      </c>
      <c r="C25" s="1"/>
      <c r="D25" s="32">
        <v>2017</v>
      </c>
      <c r="E25" s="1">
        <v>1</v>
      </c>
      <c r="F25" s="1">
        <v>0</v>
      </c>
      <c r="G25" s="1">
        <v>0</v>
      </c>
      <c r="H25" s="1"/>
      <c r="I25" s="1"/>
      <c r="J25" s="6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63"/>
      <c r="W25" s="63"/>
      <c r="X25" s="8"/>
      <c r="Y25" s="48"/>
      <c r="Z25" s="63"/>
      <c r="AA25" s="19"/>
      <c r="AB25" s="18"/>
      <c r="AC25" s="8"/>
      <c r="AD25" s="18"/>
      <c r="AE25" s="64"/>
      <c r="AF25" s="64"/>
      <c r="AG25" s="6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64"/>
      <c r="AS25" s="1"/>
      <c r="AT25" s="18"/>
      <c r="AU25" s="18"/>
      <c r="AV25" s="18"/>
      <c r="AW25" s="7"/>
      <c r="AX25" s="7"/>
      <c r="AY25" s="7"/>
      <c r="AZ25" s="7"/>
      <c r="BA25" s="7"/>
      <c r="BB25" s="64"/>
      <c r="BC25" s="6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2"/>
      <c r="BO25" s="1"/>
      <c r="BP25" s="12"/>
      <c r="BQ25" s="12"/>
      <c r="BR25" s="12"/>
      <c r="BS25" s="12"/>
      <c r="BT25" s="1"/>
      <c r="BU25" s="12"/>
      <c r="BV25" s="12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5">
      <c r="A26" s="1" t="s">
        <v>761</v>
      </c>
      <c r="B26" s="1" t="s">
        <v>142</v>
      </c>
      <c r="C26" s="1"/>
      <c r="D26" s="32">
        <v>2017</v>
      </c>
      <c r="E26" s="1">
        <v>1</v>
      </c>
      <c r="F26" s="1">
        <v>0</v>
      </c>
      <c r="G26" s="1">
        <v>0</v>
      </c>
      <c r="H26" s="1"/>
      <c r="I26" s="1"/>
      <c r="J26" s="64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63"/>
      <c r="W26" s="63"/>
      <c r="X26" s="8"/>
      <c r="Y26" s="48"/>
      <c r="Z26" s="63"/>
      <c r="AA26" s="19"/>
      <c r="AB26" s="18"/>
      <c r="AC26" s="8"/>
      <c r="AD26" s="18"/>
      <c r="AE26" s="64"/>
      <c r="AF26" s="64"/>
      <c r="AG26" s="6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64"/>
      <c r="AS26" s="1"/>
      <c r="AT26" s="18"/>
      <c r="AU26" s="18"/>
      <c r="AV26" s="18"/>
      <c r="AW26" s="7"/>
      <c r="AX26" s="7"/>
      <c r="AY26" s="7"/>
      <c r="AZ26" s="7"/>
      <c r="BA26" s="7"/>
      <c r="BB26" s="64"/>
      <c r="BC26" s="6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2"/>
      <c r="BO26" s="1"/>
      <c r="BP26" s="12"/>
      <c r="BQ26" s="12"/>
      <c r="BR26" s="12"/>
      <c r="BS26" s="12"/>
      <c r="BT26" s="1"/>
      <c r="BU26" s="12"/>
      <c r="BV26" s="12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CB1BD7-CDB6-4C66-BC4B-233F90D4CB7B}">
          <x14:formula1>
            <xm:f>Dropdown!$B$2:$B$6</xm:f>
          </x14:formula1>
          <xm:sqref>C2:C26</xm:sqref>
        </x14:dataValidation>
        <x14:dataValidation type="list" allowBlank="1" showInputMessage="1" showErrorMessage="1" xr:uid="{89D2651D-A42B-4435-807F-A20786DDA62D}">
          <x14:formula1>
            <xm:f>Dropdown!$C$2:$C$7</xm:f>
          </x14:formula1>
          <xm:sqref>B2:B26</xm:sqref>
        </x14:dataValidation>
        <x14:dataValidation type="list" allowBlank="1" showInputMessage="1" showErrorMessage="1" xr:uid="{CE87E104-EDC3-4339-B619-D466AA40AD1C}">
          <x14:formula1>
            <xm:f>Dropdown!$A$2:$A$103</xm:f>
          </x14:formula1>
          <xm:sqref>A2:A26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0"/>
  <dimension ref="A1:D9"/>
  <sheetViews>
    <sheetView workbookViewId="0">
      <selection activeCell="D9" sqref="D9"/>
    </sheetView>
  </sheetViews>
  <sheetFormatPr baseColWidth="10" defaultColWidth="11.42578125" defaultRowHeight="12.75" x14ac:dyDescent="0.2"/>
  <cols>
    <col min="1" max="1" width="24.140625" style="1" bestFit="1" customWidth="1"/>
    <col min="2" max="2" width="16.7109375" style="1" customWidth="1"/>
    <col min="3" max="3" width="43.7109375" style="1" customWidth="1"/>
    <col min="4" max="4" width="47.5703125" style="1" bestFit="1" customWidth="1"/>
    <col min="5" max="16384" width="11.42578125" style="1"/>
  </cols>
  <sheetData>
    <row r="1" spans="1:4" x14ac:dyDescent="0.2">
      <c r="A1" s="1" t="s">
        <v>197</v>
      </c>
      <c r="B1" s="1" t="s">
        <v>198</v>
      </c>
      <c r="C1" s="1" t="s">
        <v>196</v>
      </c>
      <c r="D1" s="1" t="s">
        <v>217</v>
      </c>
    </row>
    <row r="2" spans="1:4" x14ac:dyDescent="0.2">
      <c r="A2" s="1" t="s">
        <v>168</v>
      </c>
      <c r="C2" s="10">
        <v>314</v>
      </c>
      <c r="D2" s="10">
        <v>318</v>
      </c>
    </row>
    <row r="3" spans="1:4" x14ac:dyDescent="0.2">
      <c r="A3" s="1" t="s">
        <v>29</v>
      </c>
      <c r="B3" s="1" t="s">
        <v>200</v>
      </c>
      <c r="C3" s="10">
        <v>263</v>
      </c>
      <c r="D3" s="10">
        <v>275</v>
      </c>
    </row>
    <row r="4" spans="1:4" x14ac:dyDescent="0.2">
      <c r="A4" s="1" t="s">
        <v>29</v>
      </c>
      <c r="B4" s="1" t="s">
        <v>202</v>
      </c>
      <c r="C4" s="10">
        <v>160</v>
      </c>
      <c r="D4" s="10">
        <v>156</v>
      </c>
    </row>
    <row r="5" spans="1:4" x14ac:dyDescent="0.2">
      <c r="A5" s="1" t="s">
        <v>29</v>
      </c>
      <c r="B5" s="1" t="s">
        <v>203</v>
      </c>
      <c r="C5" s="10">
        <v>246</v>
      </c>
      <c r="D5" s="10">
        <v>178</v>
      </c>
    </row>
    <row r="6" spans="1:4" x14ac:dyDescent="0.2">
      <c r="A6" s="1" t="s">
        <v>54</v>
      </c>
      <c r="C6" s="10">
        <v>277</v>
      </c>
      <c r="D6" s="10">
        <v>295</v>
      </c>
    </row>
    <row r="7" spans="1:4" x14ac:dyDescent="0.2">
      <c r="A7" s="1" t="s">
        <v>84</v>
      </c>
      <c r="C7" s="10">
        <v>1098</v>
      </c>
      <c r="D7" s="10">
        <v>775</v>
      </c>
    </row>
    <row r="8" spans="1:4" x14ac:dyDescent="0.2">
      <c r="A8" s="1" t="s">
        <v>173</v>
      </c>
      <c r="C8" s="10">
        <v>311</v>
      </c>
      <c r="D8" s="10">
        <v>222</v>
      </c>
    </row>
    <row r="9" spans="1:4" x14ac:dyDescent="0.2">
      <c r="A9" s="1" t="s">
        <v>199</v>
      </c>
      <c r="C9" s="10">
        <f>SUBTOTAL(109,Tabelle3[Werte pos. Potenzial aus Tabelle (S. 425) in MW])</f>
        <v>2669</v>
      </c>
      <c r="D9" s="10">
        <f>SUBTOTAL(109,Tabelle3[Werte pos. Potenzial aus Tabelle (S. 525) in MW])</f>
        <v>2219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Dropdown!$B$2:$B$46</xm:f>
          </x14:formula1>
          <xm:sqref>B2:B8</xm:sqref>
        </x14:dataValidation>
        <x14:dataValidation type="list" allowBlank="1" showInputMessage="1" showErrorMessage="1" xr:uid="{00000000-0002-0000-0300-000000000000}">
          <x14:formula1>
            <xm:f>Dropdown!$A$2:$A$54</xm:f>
          </x14:formula1>
          <xm:sqref>A2:A8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1"/>
  <dimension ref="A1:BO11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550</v>
      </c>
      <c r="Q1" s="2" t="s">
        <v>235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423</v>
      </c>
      <c r="X1" s="2" t="s">
        <v>225</v>
      </c>
      <c r="Y1" s="2" t="s">
        <v>157</v>
      </c>
      <c r="Z1" s="2" t="s">
        <v>227</v>
      </c>
      <c r="AA1" s="2" t="s">
        <v>228</v>
      </c>
      <c r="AB1" s="2" t="s">
        <v>158</v>
      </c>
      <c r="AC1" s="2" t="s">
        <v>214</v>
      </c>
      <c r="AD1" s="2" t="s">
        <v>215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183</v>
      </c>
      <c r="AK1" s="2" t="s">
        <v>182</v>
      </c>
      <c r="AL1" s="2" t="s">
        <v>12</v>
      </c>
      <c r="AM1" s="2" t="s">
        <v>231</v>
      </c>
      <c r="AN1" s="2" t="s">
        <v>232</v>
      </c>
      <c r="AO1" s="2" t="s">
        <v>230</v>
      </c>
      <c r="AP1" s="2" t="s">
        <v>332</v>
      </c>
      <c r="AQ1" s="2" t="s">
        <v>333</v>
      </c>
      <c r="AR1" s="2" t="s">
        <v>147</v>
      </c>
      <c r="AS1" s="2" t="s">
        <v>22</v>
      </c>
      <c r="AT1" s="2" t="s">
        <v>162</v>
      </c>
      <c r="AU1" s="2" t="s">
        <v>163</v>
      </c>
      <c r="AV1" s="2" t="s">
        <v>1</v>
      </c>
      <c r="AW1" s="2" t="s">
        <v>2</v>
      </c>
      <c r="AX1" s="2" t="s">
        <v>59</v>
      </c>
      <c r="AY1" s="2" t="s">
        <v>1089</v>
      </c>
      <c r="AZ1" s="2" t="s">
        <v>236</v>
      </c>
      <c r="BA1" s="2" t="s">
        <v>117</v>
      </c>
      <c r="BB1" s="2" t="s">
        <v>60</v>
      </c>
      <c r="BC1" s="2" t="s">
        <v>61</v>
      </c>
      <c r="BD1" s="2" t="s">
        <v>98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148</v>
      </c>
      <c r="BN1" s="2" t="s">
        <v>23</v>
      </c>
      <c r="BO1" s="2" t="s">
        <v>51</v>
      </c>
    </row>
    <row r="2" spans="1:67" x14ac:dyDescent="0.2">
      <c r="A2" s="5" t="s">
        <v>880</v>
      </c>
      <c r="B2" s="1" t="s">
        <v>129</v>
      </c>
      <c r="C2" s="1">
        <v>2010</v>
      </c>
      <c r="D2" s="1">
        <v>1</v>
      </c>
      <c r="E2" s="1">
        <v>1</v>
      </c>
      <c r="F2" s="1">
        <v>0</v>
      </c>
      <c r="G2" s="18"/>
      <c r="H2" s="18"/>
      <c r="I2" s="18">
        <v>314</v>
      </c>
      <c r="J2" s="18"/>
      <c r="K2" s="18"/>
      <c r="L2" s="18"/>
      <c r="M2" s="18"/>
      <c r="N2" s="18"/>
      <c r="O2" s="8"/>
      <c r="P2" s="8"/>
      <c r="Q2" s="8">
        <v>0.8</v>
      </c>
      <c r="R2" s="19"/>
      <c r="S2" s="18"/>
      <c r="T2" s="8"/>
      <c r="U2" s="18"/>
      <c r="V2" s="1">
        <v>0.25</v>
      </c>
      <c r="AJ2" s="18">
        <f>15*Umrechnungsfaktoren!$B$15/Umrechnungsfaktoren!$B$7</f>
        <v>16.706008583690984</v>
      </c>
      <c r="AK2" s="18">
        <f>18*Umrechnungsfaktoren!$B$15/Umrechnungsfaktoren!$B$7</f>
        <v>20.047210300429182</v>
      </c>
      <c r="AL2" s="18"/>
      <c r="AM2" s="7">
        <f>400*Umrechnungsfaktoren!$B$15/Umrechnungsfaktoren!$B$7</f>
        <v>445.4935622317596</v>
      </c>
      <c r="AN2" s="7">
        <f>1000*Umrechnungsfaktoren!$B$15/Umrechnungsfaktoren!$B$7</f>
        <v>1113.7339055793991</v>
      </c>
      <c r="AO2" s="18">
        <f>AVERAGE(Tabelle5897[[#This Row],[var. Kosten min. €_2018/MWh]:[var. Kosten max. €_2018/MWh]])</f>
        <v>779.61373390557935</v>
      </c>
      <c r="AP2" s="7">
        <f>0*Umrechnungsfaktoren!$B$15/Umrechnungsfaktoren!$B$7</f>
        <v>0</v>
      </c>
      <c r="AQ2" s="7"/>
      <c r="AS2" s="1" t="s">
        <v>237</v>
      </c>
      <c r="AT2" s="1">
        <v>435</v>
      </c>
      <c r="AU2" s="1">
        <v>435</v>
      </c>
      <c r="AV2" s="12"/>
      <c r="AX2" s="12"/>
      <c r="AY2" s="12"/>
      <c r="AZ2" s="12"/>
      <c r="BA2" s="12"/>
      <c r="BC2" s="12"/>
      <c r="BD2" s="12">
        <v>436</v>
      </c>
      <c r="BJ2" s="1">
        <v>436</v>
      </c>
      <c r="BK2" s="1">
        <v>436</v>
      </c>
      <c r="BL2" s="1">
        <v>436</v>
      </c>
    </row>
    <row r="3" spans="1:67" x14ac:dyDescent="0.2">
      <c r="A3" s="1" t="s">
        <v>880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G3" s="18"/>
      <c r="H3" s="18"/>
      <c r="I3" s="18">
        <v>314</v>
      </c>
      <c r="J3" s="18"/>
      <c r="K3" s="18"/>
      <c r="L3" s="18"/>
      <c r="M3" s="18"/>
      <c r="N3" s="18"/>
      <c r="O3" s="8"/>
      <c r="P3" s="8"/>
      <c r="Q3" s="8">
        <v>0.8</v>
      </c>
      <c r="R3" s="19"/>
      <c r="S3" s="18"/>
      <c r="T3" s="8"/>
      <c r="U3" s="18"/>
      <c r="V3" s="1">
        <v>0.25</v>
      </c>
      <c r="AJ3" s="18">
        <f>15*Umrechnungsfaktoren!$B$15/Umrechnungsfaktoren!$B$7</f>
        <v>16.706008583690984</v>
      </c>
      <c r="AK3" s="18">
        <f>18*Umrechnungsfaktoren!$B$15/Umrechnungsfaktoren!$B$7</f>
        <v>20.047210300429182</v>
      </c>
      <c r="AL3" s="18"/>
      <c r="AM3" s="7">
        <f>400*Umrechnungsfaktoren!$B$15/Umrechnungsfaktoren!$B$7</f>
        <v>445.4935622317596</v>
      </c>
      <c r="AN3" s="7">
        <f>1000*Umrechnungsfaktoren!$B$15/Umrechnungsfaktoren!$B$7</f>
        <v>1113.7339055793991</v>
      </c>
      <c r="AO3" s="18">
        <f>AVERAGE(Tabelle5897[[#This Row],[var. Kosten min. €_2018/MWh]:[var. Kosten max. €_2018/MWh]])</f>
        <v>779.61373390557935</v>
      </c>
      <c r="AP3" s="7">
        <f>0*Umrechnungsfaktoren!$B$15/Umrechnungsfaktoren!$B$7</f>
        <v>0</v>
      </c>
      <c r="AQ3" s="7"/>
      <c r="AS3" s="1" t="s">
        <v>237</v>
      </c>
      <c r="AV3" s="12"/>
      <c r="AX3" s="12"/>
      <c r="AY3" s="12"/>
      <c r="AZ3" s="12"/>
      <c r="BA3" s="12"/>
      <c r="BC3" s="12"/>
      <c r="BD3" s="12"/>
    </row>
    <row r="4" spans="1:67" x14ac:dyDescent="0.2">
      <c r="A4" s="5" t="s">
        <v>29</v>
      </c>
      <c r="B4" s="1" t="s">
        <v>129</v>
      </c>
      <c r="C4" s="1">
        <v>2010</v>
      </c>
      <c r="D4" s="1">
        <v>1</v>
      </c>
      <c r="E4" s="1">
        <v>1</v>
      </c>
      <c r="F4" s="1">
        <v>0</v>
      </c>
      <c r="G4" s="18"/>
      <c r="H4" s="18"/>
      <c r="I4" s="18">
        <v>660</v>
      </c>
      <c r="J4" s="18"/>
      <c r="K4" s="18"/>
      <c r="L4" s="18"/>
      <c r="M4" s="18"/>
      <c r="N4" s="18"/>
      <c r="O4" s="8">
        <v>0.8</v>
      </c>
      <c r="P4" s="8">
        <v>0.4</v>
      </c>
      <c r="Q4" s="8"/>
      <c r="R4" s="19"/>
      <c r="S4" s="18"/>
      <c r="T4" s="8">
        <v>0.9</v>
      </c>
      <c r="U4" s="18"/>
      <c r="V4" s="1">
        <v>0.25</v>
      </c>
      <c r="W4" s="1">
        <v>2</v>
      </c>
      <c r="AJ4" s="18"/>
      <c r="AK4" s="18"/>
      <c r="AL4" s="7">
        <f>1*Umrechnungsfaktoren!$B$15/Umrechnungsfaktoren!$B$7</f>
        <v>1.1137339055793991</v>
      </c>
      <c r="AM4" s="7"/>
      <c r="AN4" s="7"/>
      <c r="AO4" s="7">
        <f>100*Umrechnungsfaktoren!$B$15/Umrechnungsfaktoren!$B$7</f>
        <v>111.3733905579399</v>
      </c>
      <c r="AP4" s="7">
        <f>0*Umrechnungsfaktoren!$B$15/Umrechnungsfaktoren!$B$7</f>
        <v>0</v>
      </c>
      <c r="AQ4" s="7"/>
      <c r="AS4" s="1" t="s">
        <v>234</v>
      </c>
      <c r="AT4" s="1">
        <v>435</v>
      </c>
      <c r="AU4" s="1">
        <v>435</v>
      </c>
      <c r="AV4" s="12">
        <v>434</v>
      </c>
      <c r="AX4" s="12">
        <v>434</v>
      </c>
      <c r="AY4" s="12">
        <v>434</v>
      </c>
      <c r="AZ4" s="12"/>
      <c r="BA4" s="12"/>
      <c r="BB4" s="1">
        <v>434</v>
      </c>
      <c r="BC4" s="12"/>
      <c r="BD4" s="12">
        <v>436</v>
      </c>
      <c r="BE4" s="1">
        <v>434</v>
      </c>
      <c r="BJ4" s="1">
        <v>436</v>
      </c>
      <c r="BK4" s="1">
        <v>436</v>
      </c>
      <c r="BL4" s="1">
        <v>436</v>
      </c>
    </row>
    <row r="5" spans="1:67" x14ac:dyDescent="0.2">
      <c r="A5" s="1" t="s">
        <v>29</v>
      </c>
      <c r="B5" s="1" t="s">
        <v>129</v>
      </c>
      <c r="C5" s="1">
        <v>2020</v>
      </c>
      <c r="D5" s="1">
        <v>1</v>
      </c>
      <c r="E5" s="1">
        <v>1</v>
      </c>
      <c r="F5" s="1">
        <v>0</v>
      </c>
      <c r="G5" s="18"/>
      <c r="H5" s="18"/>
      <c r="I5" s="18">
        <v>660</v>
      </c>
      <c r="J5" s="18"/>
      <c r="K5" s="18"/>
      <c r="L5" s="18"/>
      <c r="M5" s="18"/>
      <c r="N5" s="18"/>
      <c r="O5" s="8">
        <v>0.8</v>
      </c>
      <c r="P5" s="8">
        <v>0.4</v>
      </c>
      <c r="Q5" s="8"/>
      <c r="R5" s="19"/>
      <c r="S5" s="18"/>
      <c r="T5" s="8">
        <v>0.9</v>
      </c>
      <c r="U5" s="18"/>
      <c r="V5" s="1">
        <v>0.25</v>
      </c>
      <c r="W5" s="1">
        <v>2</v>
      </c>
      <c r="AJ5" s="18"/>
      <c r="AK5" s="18"/>
      <c r="AL5" s="7">
        <f>1*Umrechnungsfaktoren!$B$15/Umrechnungsfaktoren!$B$7</f>
        <v>1.1137339055793991</v>
      </c>
      <c r="AM5" s="7"/>
      <c r="AN5" s="7"/>
      <c r="AO5" s="7">
        <f>100*Umrechnungsfaktoren!$B$15/Umrechnungsfaktoren!$B$7</f>
        <v>111.3733905579399</v>
      </c>
      <c r="AP5" s="7">
        <f>0*Umrechnungsfaktoren!$B$15/Umrechnungsfaktoren!$B$7</f>
        <v>0</v>
      </c>
      <c r="AQ5" s="7"/>
      <c r="AS5" s="1" t="s">
        <v>234</v>
      </c>
      <c r="AV5" s="12"/>
      <c r="AX5" s="12"/>
      <c r="AY5" s="12"/>
      <c r="AZ5" s="12"/>
      <c r="BA5" s="12"/>
      <c r="BC5" s="12"/>
      <c r="BD5" s="12"/>
    </row>
    <row r="6" spans="1:67" x14ac:dyDescent="0.2">
      <c r="A6" s="5" t="s">
        <v>54</v>
      </c>
      <c r="B6" s="1" t="s">
        <v>129</v>
      </c>
      <c r="C6" s="1">
        <v>2010</v>
      </c>
      <c r="D6" s="1">
        <v>0</v>
      </c>
      <c r="E6" s="1">
        <v>1</v>
      </c>
      <c r="F6" s="1">
        <v>0</v>
      </c>
      <c r="G6" s="18"/>
      <c r="H6" s="18"/>
      <c r="I6" s="18">
        <v>227</v>
      </c>
      <c r="J6" s="18"/>
      <c r="K6" s="18"/>
      <c r="L6" s="18"/>
      <c r="M6" s="18"/>
      <c r="N6" s="18"/>
      <c r="O6" s="8">
        <v>0.95</v>
      </c>
      <c r="P6" s="8">
        <v>0.25</v>
      </c>
      <c r="Q6" s="8"/>
      <c r="R6" s="19"/>
      <c r="S6" s="18"/>
      <c r="T6" s="8">
        <v>0.98</v>
      </c>
      <c r="U6" s="18"/>
      <c r="V6" s="1">
        <v>0.25</v>
      </c>
      <c r="W6" s="1">
        <v>4</v>
      </c>
      <c r="AJ6" s="18"/>
      <c r="AK6" s="18"/>
      <c r="AL6" s="7">
        <f>1*Umrechnungsfaktoren!$B$15/Umrechnungsfaktoren!$B$7</f>
        <v>1.1137339055793991</v>
      </c>
      <c r="AM6" s="7">
        <f>500*Umrechnungsfaktoren!$B$15/Umrechnungsfaktoren!$B$7</f>
        <v>556.86695278969955</v>
      </c>
      <c r="AN6" s="7">
        <f>1500*Umrechnungsfaktoren!$B$15/Umrechnungsfaktoren!$B$7</f>
        <v>1670.6008583690987</v>
      </c>
      <c r="AO6" s="18">
        <f>AVERAGE(Tabelle5897[[#This Row],[var. Kosten min. €_2018/MWh]:[var. Kosten max. €_2018/MWh]])</f>
        <v>1113.7339055793991</v>
      </c>
      <c r="AP6" s="7">
        <f>0*Umrechnungsfaktoren!$B$15/Umrechnungsfaktoren!$B$7</f>
        <v>0</v>
      </c>
      <c r="AQ6" s="7"/>
      <c r="AT6" s="1">
        <v>435</v>
      </c>
      <c r="AU6" s="1">
        <v>435</v>
      </c>
      <c r="AV6" s="12">
        <v>435</v>
      </c>
      <c r="AX6" s="12">
        <v>435</v>
      </c>
      <c r="AY6" s="12">
        <v>435</v>
      </c>
      <c r="AZ6" s="12"/>
      <c r="BA6" s="12"/>
      <c r="BB6" s="1">
        <v>435</v>
      </c>
      <c r="BC6" s="12"/>
      <c r="BD6" s="12">
        <v>436</v>
      </c>
      <c r="BJ6" s="1">
        <v>436</v>
      </c>
      <c r="BK6" s="1">
        <v>436</v>
      </c>
      <c r="BL6" s="1">
        <v>436</v>
      </c>
    </row>
    <row r="7" spans="1:67" x14ac:dyDescent="0.2">
      <c r="A7" s="1" t="s">
        <v>54</v>
      </c>
      <c r="B7" s="1" t="s">
        <v>129</v>
      </c>
      <c r="C7" s="1">
        <v>2020</v>
      </c>
      <c r="D7" s="1">
        <v>0</v>
      </c>
      <c r="E7" s="1">
        <v>1</v>
      </c>
      <c r="F7" s="1">
        <v>0</v>
      </c>
      <c r="G7" s="18"/>
      <c r="H7" s="18"/>
      <c r="I7" s="18">
        <v>227</v>
      </c>
      <c r="J7" s="18"/>
      <c r="K7" s="18"/>
      <c r="L7" s="18"/>
      <c r="M7" s="18"/>
      <c r="N7" s="18"/>
      <c r="O7" s="8">
        <v>0.95</v>
      </c>
      <c r="P7" s="8">
        <v>0.25</v>
      </c>
      <c r="Q7" s="8"/>
      <c r="R7" s="19"/>
      <c r="S7" s="18"/>
      <c r="T7" s="8">
        <v>0.98</v>
      </c>
      <c r="U7" s="18"/>
      <c r="V7" s="1">
        <v>0.25</v>
      </c>
      <c r="W7" s="1">
        <v>4</v>
      </c>
      <c r="AJ7" s="18"/>
      <c r="AK7" s="18"/>
      <c r="AL7" s="7">
        <f>1*Umrechnungsfaktoren!$B$15/Umrechnungsfaktoren!$B$7</f>
        <v>1.1137339055793991</v>
      </c>
      <c r="AM7" s="7">
        <f>500*Umrechnungsfaktoren!$B$15/Umrechnungsfaktoren!$B$7</f>
        <v>556.86695278969955</v>
      </c>
      <c r="AN7" s="7">
        <f>1500*Umrechnungsfaktoren!$B$15/Umrechnungsfaktoren!$B$7</f>
        <v>1670.6008583690987</v>
      </c>
      <c r="AO7" s="18">
        <f>AVERAGE(Tabelle5897[[#This Row],[var. Kosten min. €_2018/MWh]:[var. Kosten max. €_2018/MWh]])</f>
        <v>1113.7339055793991</v>
      </c>
      <c r="AP7" s="7">
        <f>0*Umrechnungsfaktoren!$B$15/Umrechnungsfaktoren!$B$7</f>
        <v>0</v>
      </c>
      <c r="AQ7" s="7"/>
      <c r="AV7" s="12"/>
      <c r="AX7" s="12"/>
      <c r="AY7" s="12"/>
      <c r="AZ7" s="12"/>
      <c r="BA7" s="12"/>
      <c r="BC7" s="12"/>
      <c r="BD7" s="12"/>
    </row>
    <row r="8" spans="1:67" x14ac:dyDescent="0.2">
      <c r="A8" s="1" t="s">
        <v>77</v>
      </c>
      <c r="B8" s="1" t="s">
        <v>129</v>
      </c>
      <c r="C8" s="1">
        <v>2010</v>
      </c>
      <c r="D8" s="1">
        <v>1</v>
      </c>
      <c r="E8" s="1">
        <v>0</v>
      </c>
      <c r="F8" s="1">
        <v>0</v>
      </c>
      <c r="G8" s="18"/>
      <c r="H8" s="18">
        <v>250</v>
      </c>
      <c r="I8" s="18">
        <v>312</v>
      </c>
      <c r="J8" s="18"/>
      <c r="K8" s="18"/>
      <c r="L8" s="18">
        <v>62</v>
      </c>
      <c r="M8" s="18"/>
      <c r="N8" s="18"/>
      <c r="O8" s="8"/>
      <c r="P8" s="8">
        <v>1</v>
      </c>
      <c r="Q8" s="8">
        <v>0.9</v>
      </c>
      <c r="R8" s="19">
        <v>250</v>
      </c>
      <c r="S8" s="18"/>
      <c r="T8" s="8"/>
      <c r="U8" s="18">
        <v>312</v>
      </c>
      <c r="V8" s="1">
        <v>0.25</v>
      </c>
      <c r="AC8" s="1">
        <v>1.5</v>
      </c>
      <c r="AJ8" s="18">
        <f>12*Umrechnungsfaktoren!$B$15/Umrechnungsfaktoren!$B$7</f>
        <v>13.364806866952788</v>
      </c>
      <c r="AK8" s="18">
        <f>15*Umrechnungsfaktoren!$B$15/Umrechnungsfaktoren!$B$7</f>
        <v>16.706008583690984</v>
      </c>
      <c r="AL8" s="18"/>
      <c r="AM8" s="7"/>
      <c r="AN8" s="7"/>
      <c r="AO8" s="7">
        <f>10*Umrechnungsfaktoren!$B$15/Umrechnungsfaktoren!$B$7</f>
        <v>11.137339055793991</v>
      </c>
      <c r="AP8" s="7">
        <f>0*Umrechnungsfaktoren!$B$15/Umrechnungsfaktoren!$B$7</f>
        <v>0</v>
      </c>
      <c r="AQ8" s="7"/>
      <c r="AT8" s="1">
        <v>435</v>
      </c>
      <c r="AU8" s="1">
        <v>435</v>
      </c>
      <c r="AV8" s="12">
        <v>435</v>
      </c>
      <c r="AW8" s="1">
        <v>435</v>
      </c>
      <c r="AX8" s="12"/>
      <c r="AY8" s="12">
        <v>435</v>
      </c>
      <c r="AZ8" s="12">
        <v>435</v>
      </c>
      <c r="BA8" s="12"/>
      <c r="BC8" s="12">
        <v>435</v>
      </c>
      <c r="BD8" s="12">
        <v>436</v>
      </c>
      <c r="BF8" s="1">
        <v>435</v>
      </c>
      <c r="BJ8" s="1">
        <v>436</v>
      </c>
      <c r="BK8" s="1">
        <v>436</v>
      </c>
      <c r="BL8" s="1">
        <v>436</v>
      </c>
    </row>
    <row r="9" spans="1:67" x14ac:dyDescent="0.2">
      <c r="A9" s="1" t="s">
        <v>77</v>
      </c>
      <c r="B9" s="1" t="s">
        <v>129</v>
      </c>
      <c r="C9" s="1">
        <v>2020</v>
      </c>
      <c r="D9" s="1">
        <v>1</v>
      </c>
      <c r="E9" s="1">
        <v>0</v>
      </c>
      <c r="F9" s="1">
        <v>0</v>
      </c>
      <c r="G9" s="18"/>
      <c r="H9" s="18">
        <v>250</v>
      </c>
      <c r="I9" s="18">
        <v>312</v>
      </c>
      <c r="J9" s="18"/>
      <c r="K9" s="18"/>
      <c r="L9" s="18">
        <v>62</v>
      </c>
      <c r="M9" s="18"/>
      <c r="N9" s="18"/>
      <c r="O9" s="8"/>
      <c r="P9" s="8">
        <v>1</v>
      </c>
      <c r="Q9" s="8">
        <v>0.9</v>
      </c>
      <c r="R9" s="19">
        <v>250</v>
      </c>
      <c r="S9" s="18"/>
      <c r="T9" s="8"/>
      <c r="U9" s="18">
        <v>312</v>
      </c>
      <c r="V9" s="1">
        <v>0.25</v>
      </c>
      <c r="AC9" s="1">
        <v>1.5</v>
      </c>
      <c r="AJ9" s="18">
        <f>12*Umrechnungsfaktoren!$B$15/Umrechnungsfaktoren!$B$7</f>
        <v>13.364806866952788</v>
      </c>
      <c r="AK9" s="18">
        <f>15*Umrechnungsfaktoren!$B$15/Umrechnungsfaktoren!$B$7</f>
        <v>16.706008583690984</v>
      </c>
      <c r="AL9" s="18"/>
      <c r="AM9" s="7"/>
      <c r="AN9" s="7"/>
      <c r="AO9" s="7">
        <f>10*Umrechnungsfaktoren!$B$15/Umrechnungsfaktoren!$B$7</f>
        <v>11.137339055793991</v>
      </c>
      <c r="AP9" s="7">
        <f>0*Umrechnungsfaktoren!$B$15/Umrechnungsfaktoren!$B$7</f>
        <v>0</v>
      </c>
      <c r="AQ9" s="7"/>
      <c r="AV9" s="12"/>
      <c r="AX9" s="12"/>
      <c r="AY9" s="12"/>
      <c r="AZ9" s="12"/>
      <c r="BA9" s="12"/>
      <c r="BC9" s="12"/>
      <c r="BD9" s="12"/>
    </row>
    <row r="10" spans="1:67" x14ac:dyDescent="0.2">
      <c r="A10" s="1" t="s">
        <v>84</v>
      </c>
      <c r="B10" s="1" t="s">
        <v>129</v>
      </c>
      <c r="C10" s="1">
        <v>2010</v>
      </c>
      <c r="D10" s="1">
        <v>0</v>
      </c>
      <c r="E10" s="1">
        <v>1</v>
      </c>
      <c r="F10" s="1">
        <v>0</v>
      </c>
      <c r="G10" s="18"/>
      <c r="H10" s="18"/>
      <c r="I10" s="18">
        <v>1097</v>
      </c>
      <c r="J10" s="18"/>
      <c r="K10" s="18"/>
      <c r="L10" s="18"/>
      <c r="M10" s="18"/>
      <c r="N10" s="18"/>
      <c r="O10" s="19"/>
      <c r="P10" s="8"/>
      <c r="Q10" s="8">
        <v>0.75</v>
      </c>
      <c r="R10" s="18"/>
      <c r="S10" s="8"/>
      <c r="T10" s="18"/>
      <c r="U10" s="18"/>
      <c r="V10" s="1">
        <v>0.25</v>
      </c>
      <c r="W10" s="1">
        <v>0.5</v>
      </c>
      <c r="AI10" s="18"/>
      <c r="AJ10" s="18"/>
      <c r="AK10" s="7"/>
      <c r="AL10" s="7">
        <f>1*Umrechnungsfaktoren!$B$15/Umrechnungsfaktoren!$B$7</f>
        <v>1.1137339055793991</v>
      </c>
      <c r="AM10" s="7"/>
      <c r="AN10" s="7"/>
      <c r="AO10" s="7">
        <f>2000*Umrechnungsfaktoren!$B$15/Umrechnungsfaktoren!$B$7</f>
        <v>2227.4678111587982</v>
      </c>
      <c r="AP10" s="7">
        <f>0*Umrechnungsfaktoren!$B$15/Umrechnungsfaktoren!$B$7</f>
        <v>0</v>
      </c>
      <c r="AU10" s="12"/>
      <c r="AV10" s="12">
        <v>435</v>
      </c>
      <c r="AW10" s="12"/>
      <c r="AX10" s="12"/>
      <c r="AY10" s="12"/>
      <c r="AZ10" s="12">
        <v>435</v>
      </c>
      <c r="BA10" s="12"/>
      <c r="BB10" s="12"/>
      <c r="BD10" s="12">
        <v>436</v>
      </c>
      <c r="BE10" s="12">
        <v>435</v>
      </c>
      <c r="BJ10" s="1">
        <v>436</v>
      </c>
      <c r="BK10" s="1">
        <v>436</v>
      </c>
      <c r="BL10" s="1">
        <v>436</v>
      </c>
    </row>
    <row r="11" spans="1:67" x14ac:dyDescent="0.2">
      <c r="A11" s="1" t="s">
        <v>84</v>
      </c>
      <c r="B11" s="1" t="s">
        <v>129</v>
      </c>
      <c r="C11" s="1">
        <v>2020</v>
      </c>
      <c r="D11" s="1">
        <v>0</v>
      </c>
      <c r="E11" s="1">
        <v>1</v>
      </c>
      <c r="F11" s="1">
        <v>0</v>
      </c>
      <c r="G11" s="18"/>
      <c r="H11" s="18"/>
      <c r="I11" s="18">
        <v>1097</v>
      </c>
      <c r="J11" s="18"/>
      <c r="K11" s="18"/>
      <c r="L11" s="18"/>
      <c r="M11" s="18"/>
      <c r="N11" s="18"/>
      <c r="O11" s="19"/>
      <c r="P11" s="8"/>
      <c r="Q11" s="8">
        <v>0.75</v>
      </c>
      <c r="R11" s="18"/>
      <c r="S11" s="8"/>
      <c r="T11" s="18"/>
      <c r="U11" s="18"/>
      <c r="V11" s="1">
        <v>0.25</v>
      </c>
      <c r="W11" s="1">
        <v>0.5</v>
      </c>
      <c r="AI11" s="18"/>
      <c r="AJ11" s="18"/>
      <c r="AK11" s="7"/>
      <c r="AL11" s="7">
        <f>1*Umrechnungsfaktoren!$B$15/Umrechnungsfaktoren!$B$7</f>
        <v>1.1137339055793991</v>
      </c>
      <c r="AM11" s="7"/>
      <c r="AN11" s="7"/>
      <c r="AO11" s="7">
        <f>2000*Umrechnungsfaktoren!$B$15/Umrechnungsfaktoren!$B$7</f>
        <v>2227.4678111587982</v>
      </c>
      <c r="AP11" s="7">
        <f>0*Umrechnungsfaktoren!$B$15/Umrechnungsfaktoren!$B$7</f>
        <v>0</v>
      </c>
      <c r="AU11" s="12"/>
      <c r="AW11" s="12"/>
      <c r="AX11" s="12"/>
      <c r="AY11" s="12"/>
      <c r="BA11" s="12"/>
      <c r="BB11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0500-000001000000}">
          <x14:formula1>
            <xm:f>Dropdown!$A$2:$A$54</xm:f>
          </x14:formula1>
          <xm:sqref>A2:A11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2"/>
  <dimension ref="A1:CE66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9" width="29.28515625" style="1" customWidth="1"/>
    <col min="10" max="10" width="28.85546875" style="1" bestFit="1" customWidth="1"/>
    <col min="11" max="11" width="28.85546875" style="1" customWidth="1"/>
    <col min="12" max="12" width="38.85546875" style="1" bestFit="1" customWidth="1"/>
    <col min="13" max="13" width="29.28515625" style="1" bestFit="1" customWidth="1"/>
    <col min="14" max="14" width="29.28515625" style="1" customWidth="1"/>
    <col min="15" max="15" width="38.42578125" style="1" bestFit="1" customWidth="1"/>
    <col min="16" max="19" width="24.5703125" style="1" customWidth="1"/>
    <col min="20" max="20" width="24.42578125" style="1" bestFit="1" customWidth="1"/>
    <col min="21" max="26" width="24.42578125" style="1" customWidth="1"/>
    <col min="27" max="27" width="37.7109375" style="1" bestFit="1" customWidth="1"/>
    <col min="28" max="29" width="24.7109375" style="1" customWidth="1"/>
    <col min="30" max="31" width="28.42578125" style="1" customWidth="1"/>
    <col min="32" max="32" width="27.42578125" style="1" bestFit="1" customWidth="1"/>
    <col min="33" max="34" width="27.42578125" style="1" customWidth="1"/>
    <col min="35" max="35" width="20.7109375" style="1" bestFit="1" customWidth="1"/>
    <col min="36" max="40" width="20.7109375" style="1" customWidth="1"/>
    <col min="41" max="41" width="25.85546875" style="1" bestFit="1" customWidth="1"/>
    <col min="42" max="42" width="29.7109375" style="1" bestFit="1" customWidth="1"/>
    <col min="43" max="43" width="24" style="1" bestFit="1" customWidth="1"/>
    <col min="44" max="44" width="38.28515625" style="1" bestFit="1" customWidth="1"/>
    <col min="45" max="49" width="38.28515625" style="1" customWidth="1"/>
    <col min="50" max="50" width="38.28515625" style="1" bestFit="1" customWidth="1"/>
    <col min="51" max="52" width="38.28515625" style="1" customWidth="1"/>
    <col min="53" max="53" width="33.42578125" style="1" bestFit="1" customWidth="1"/>
    <col min="54" max="54" width="33.42578125" style="1" customWidth="1"/>
    <col min="55" max="55" width="25.7109375" style="1" bestFit="1" customWidth="1"/>
    <col min="56" max="57" width="25.7109375" style="1" customWidth="1"/>
    <col min="58" max="58" width="56.7109375" style="1" bestFit="1" customWidth="1"/>
    <col min="59" max="61" width="35.5703125" style="1" customWidth="1"/>
    <col min="62" max="62" width="31.7109375" style="1" bestFit="1" customWidth="1"/>
    <col min="63" max="63" width="31.5703125" style="1" bestFit="1" customWidth="1"/>
    <col min="64" max="69" width="31.5703125" style="1" customWidth="1"/>
    <col min="70" max="70" width="37.42578125" style="1" bestFit="1" customWidth="1"/>
    <col min="71" max="71" width="37.42578125" style="1" customWidth="1"/>
    <col min="72" max="72" width="35.7109375" style="1" bestFit="1" customWidth="1"/>
    <col min="73" max="73" width="28.85546875" style="1" bestFit="1" customWidth="1"/>
    <col min="74" max="74" width="34" style="1" bestFit="1" customWidth="1"/>
    <col min="75" max="75" width="37.85546875" style="1" bestFit="1" customWidth="1"/>
    <col min="76" max="76" width="34.42578125" style="1" bestFit="1" customWidth="1"/>
    <col min="77" max="77" width="38.140625" style="1" bestFit="1" customWidth="1"/>
    <col min="78" max="78" width="22.85546875" style="1" bestFit="1" customWidth="1"/>
    <col min="79" max="79" width="28.5703125" style="1" bestFit="1" customWidth="1"/>
    <col min="80" max="80" width="28.28515625" style="1" bestFit="1" customWidth="1"/>
    <col min="81" max="81" width="28.28515625" style="1" customWidth="1"/>
    <col min="82" max="82" width="31" style="1" bestFit="1" customWidth="1"/>
    <col min="83" max="83" width="28.85546875" style="1" bestFit="1" customWidth="1"/>
    <col min="84" max="16384" width="11.42578125" style="1"/>
  </cols>
  <sheetData>
    <row r="1" spans="1:83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805</v>
      </c>
      <c r="H1" s="2" t="s">
        <v>806</v>
      </c>
      <c r="I1" s="2" t="s">
        <v>771</v>
      </c>
      <c r="J1" s="2" t="s">
        <v>49</v>
      </c>
      <c r="K1" s="2" t="s">
        <v>508</v>
      </c>
      <c r="L1" s="2" t="s">
        <v>149</v>
      </c>
      <c r="M1" s="2" t="s">
        <v>50</v>
      </c>
      <c r="N1" s="2" t="s">
        <v>541</v>
      </c>
      <c r="O1" s="2" t="s">
        <v>509</v>
      </c>
      <c r="P1" s="2" t="s">
        <v>97</v>
      </c>
      <c r="Q1" s="2" t="s">
        <v>154</v>
      </c>
      <c r="R1" s="2" t="s">
        <v>510</v>
      </c>
      <c r="S1" s="2" t="s">
        <v>156</v>
      </c>
      <c r="T1" s="2" t="s">
        <v>155</v>
      </c>
      <c r="U1" s="2" t="s">
        <v>511</v>
      </c>
      <c r="V1" s="2" t="s">
        <v>56</v>
      </c>
      <c r="W1" s="2" t="s">
        <v>55</v>
      </c>
      <c r="X1" s="2" t="s">
        <v>87</v>
      </c>
      <c r="Y1" s="2" t="s">
        <v>235</v>
      </c>
      <c r="Z1" s="2" t="s">
        <v>552</v>
      </c>
      <c r="AA1" s="2" t="s">
        <v>116</v>
      </c>
      <c r="AB1" s="2" t="s">
        <v>57</v>
      </c>
      <c r="AC1" s="2" t="s">
        <v>123</v>
      </c>
      <c r="AD1" s="2" t="s">
        <v>58</v>
      </c>
      <c r="AE1" s="2" t="s">
        <v>407</v>
      </c>
      <c r="AF1" s="2" t="s">
        <v>9</v>
      </c>
      <c r="AG1" s="2" t="s">
        <v>423</v>
      </c>
      <c r="AH1" s="2" t="s">
        <v>225</v>
      </c>
      <c r="AI1" s="2" t="s">
        <v>157</v>
      </c>
      <c r="AJ1" s="2" t="s">
        <v>227</v>
      </c>
      <c r="AK1" s="2" t="s">
        <v>228</v>
      </c>
      <c r="AL1" s="2" t="s">
        <v>158</v>
      </c>
      <c r="AM1" s="2" t="s">
        <v>214</v>
      </c>
      <c r="AN1" s="2" t="s">
        <v>215</v>
      </c>
      <c r="AO1" s="2" t="s">
        <v>3</v>
      </c>
      <c r="AP1" s="2" t="s">
        <v>10</v>
      </c>
      <c r="AQ1" s="2" t="s">
        <v>16</v>
      </c>
      <c r="AR1" s="2" t="s">
        <v>4</v>
      </c>
      <c r="AS1" s="2" t="s">
        <v>539</v>
      </c>
      <c r="AT1" s="2" t="s">
        <v>540</v>
      </c>
      <c r="AU1" s="2" t="s">
        <v>99</v>
      </c>
      <c r="AV1" s="2" t="s">
        <v>183</v>
      </c>
      <c r="AW1" s="2" t="s">
        <v>182</v>
      </c>
      <c r="AX1" s="2" t="s">
        <v>12</v>
      </c>
      <c r="AY1" s="2" t="s">
        <v>231</v>
      </c>
      <c r="AZ1" s="2" t="s">
        <v>232</v>
      </c>
      <c r="BA1" s="2" t="s">
        <v>230</v>
      </c>
      <c r="BB1" s="2" t="s">
        <v>332</v>
      </c>
      <c r="BC1" s="2" t="s">
        <v>333</v>
      </c>
      <c r="BD1" s="2" t="s">
        <v>15</v>
      </c>
      <c r="BE1" s="2" t="s">
        <v>147</v>
      </c>
      <c r="BF1" s="2" t="s">
        <v>22</v>
      </c>
      <c r="BG1" s="2" t="s">
        <v>162</v>
      </c>
      <c r="BH1" s="2" t="s">
        <v>163</v>
      </c>
      <c r="BI1" s="2" t="s">
        <v>807</v>
      </c>
      <c r="BJ1" s="2" t="s">
        <v>1</v>
      </c>
      <c r="BK1" s="2" t="s">
        <v>2</v>
      </c>
      <c r="BL1" s="2" t="s">
        <v>59</v>
      </c>
      <c r="BM1" s="2" t="s">
        <v>1089</v>
      </c>
      <c r="BN1" s="2" t="s">
        <v>236</v>
      </c>
      <c r="BO1" s="2" t="s">
        <v>517</v>
      </c>
      <c r="BP1" s="2" t="s">
        <v>117</v>
      </c>
      <c r="BQ1" s="2" t="s">
        <v>60</v>
      </c>
      <c r="BR1" s="2" t="s">
        <v>61</v>
      </c>
      <c r="BS1" s="2" t="s">
        <v>408</v>
      </c>
      <c r="BT1" s="2" t="s">
        <v>98</v>
      </c>
      <c r="BU1" s="2" t="s">
        <v>5</v>
      </c>
      <c r="BV1" s="2" t="s">
        <v>6</v>
      </c>
      <c r="BW1" s="2" t="s">
        <v>17</v>
      </c>
      <c r="BX1" s="2" t="s">
        <v>18</v>
      </c>
      <c r="BY1" s="2" t="s">
        <v>7</v>
      </c>
      <c r="BZ1" s="2" t="s">
        <v>19</v>
      </c>
      <c r="CA1" s="2" t="s">
        <v>20</v>
      </c>
      <c r="CB1" s="2" t="s">
        <v>21</v>
      </c>
      <c r="CC1" s="2" t="s">
        <v>148</v>
      </c>
      <c r="CD1" s="2" t="s">
        <v>23</v>
      </c>
      <c r="CE1" s="2" t="s">
        <v>51</v>
      </c>
    </row>
    <row r="2" spans="1:83" x14ac:dyDescent="0.2">
      <c r="A2" s="1" t="s">
        <v>54</v>
      </c>
      <c r="B2" s="1" t="s">
        <v>129</v>
      </c>
      <c r="C2" s="1">
        <v>2015</v>
      </c>
      <c r="D2" s="1">
        <v>1</v>
      </c>
      <c r="E2" s="1">
        <v>1</v>
      </c>
      <c r="F2" s="1">
        <v>0</v>
      </c>
      <c r="G2" s="1">
        <v>6.8659999999999997</v>
      </c>
      <c r="J2" s="18"/>
      <c r="K2" s="18"/>
      <c r="L2" s="18"/>
      <c r="M2" s="18">
        <v>281</v>
      </c>
      <c r="N2" s="18">
        <v>1126</v>
      </c>
      <c r="O2" s="18"/>
      <c r="P2" s="18"/>
      <c r="Q2" s="18"/>
      <c r="R2" s="18"/>
      <c r="S2" s="18"/>
      <c r="T2" s="18">
        <v>281</v>
      </c>
      <c r="U2" s="18"/>
      <c r="V2" s="18"/>
      <c r="W2" s="19"/>
      <c r="X2" s="8">
        <v>0.25</v>
      </c>
      <c r="Y2" s="8"/>
      <c r="Z2" s="48">
        <v>6100</v>
      </c>
      <c r="AA2" s="19">
        <v>1126</v>
      </c>
      <c r="AB2" s="18"/>
      <c r="AC2" s="8"/>
      <c r="AD2" s="18"/>
      <c r="AE2" s="8"/>
      <c r="AF2" s="1">
        <f t="shared" ref="AF2:AF13" si="0">5/60</f>
        <v>8.3333333333333329E-2</v>
      </c>
      <c r="AI2" s="1">
        <v>1</v>
      </c>
      <c r="AL2" s="1">
        <v>1</v>
      </c>
      <c r="AO2" s="1">
        <v>2</v>
      </c>
      <c r="AS2" s="1">
        <v>20</v>
      </c>
      <c r="AT2" s="1">
        <v>50</v>
      </c>
      <c r="AU2" s="1">
        <v>35</v>
      </c>
      <c r="AV2" s="18"/>
      <c r="AW2" s="18"/>
      <c r="AX2" s="7">
        <f>0.5*Umrechnungsfaktoren!$B$15/Umrechnungsfaktoren!$B$13</f>
        <v>0.5164179104477612</v>
      </c>
      <c r="AY2" s="7">
        <v>0</v>
      </c>
      <c r="AZ2" s="7">
        <f>164*Umrechnungsfaktoren!$B$15/Umrechnungsfaktoren!$B$13</f>
        <v>169.38507462686567</v>
      </c>
      <c r="BA2" s="7"/>
      <c r="BB2" s="7"/>
      <c r="BC2" s="7">
        <f>0.05*Umrechnungsfaktoren!$B$15/Umrechnungsfaktoren!$B$13</f>
        <v>5.164179104477612E-2</v>
      </c>
      <c r="BD2" s="7"/>
      <c r="BG2" s="1">
        <v>213</v>
      </c>
      <c r="BH2" s="1">
        <v>214</v>
      </c>
      <c r="BJ2" s="12" t="s">
        <v>544</v>
      </c>
      <c r="BK2" s="12" t="s">
        <v>543</v>
      </c>
      <c r="BL2" s="12"/>
      <c r="BM2" s="12">
        <v>213</v>
      </c>
      <c r="BN2" s="12"/>
      <c r="BO2" s="12">
        <v>213</v>
      </c>
      <c r="BP2" s="12"/>
      <c r="BR2" s="12"/>
      <c r="BS2" s="12"/>
      <c r="BT2" s="12">
        <v>242</v>
      </c>
      <c r="BU2" s="1">
        <v>213</v>
      </c>
      <c r="BV2" s="1">
        <v>213</v>
      </c>
      <c r="BY2" s="1">
        <v>213</v>
      </c>
      <c r="BZ2" s="1" t="s">
        <v>548</v>
      </c>
      <c r="CA2" s="1" t="s">
        <v>549</v>
      </c>
      <c r="CB2" s="1" t="s">
        <v>548</v>
      </c>
    </row>
    <row r="3" spans="1:83" x14ac:dyDescent="0.2">
      <c r="A3" s="1" t="s">
        <v>54</v>
      </c>
      <c r="B3" s="1" t="s">
        <v>129</v>
      </c>
      <c r="C3" s="1">
        <v>2020</v>
      </c>
      <c r="D3" s="1">
        <v>1</v>
      </c>
      <c r="E3" s="1">
        <v>1</v>
      </c>
      <c r="F3" s="1">
        <v>0</v>
      </c>
      <c r="J3" s="18"/>
      <c r="K3" s="18"/>
      <c r="L3" s="18"/>
      <c r="M3" s="18">
        <v>277</v>
      </c>
      <c r="N3" s="18">
        <v>1107</v>
      </c>
      <c r="O3" s="18"/>
      <c r="P3" s="18"/>
      <c r="Q3" s="18"/>
      <c r="R3" s="18"/>
      <c r="S3" s="18"/>
      <c r="T3" s="18">
        <v>277</v>
      </c>
      <c r="U3" s="18"/>
      <c r="V3" s="18"/>
      <c r="W3" s="19"/>
      <c r="X3" s="8">
        <v>0.25</v>
      </c>
      <c r="Y3" s="8"/>
      <c r="Z3" s="48">
        <v>6100</v>
      </c>
      <c r="AA3" s="19"/>
      <c r="AB3" s="18"/>
      <c r="AC3" s="8"/>
      <c r="AD3" s="18"/>
      <c r="AE3" s="8"/>
      <c r="AF3" s="1">
        <f t="shared" si="0"/>
        <v>8.3333333333333329E-2</v>
      </c>
      <c r="AI3" s="1">
        <v>1</v>
      </c>
      <c r="AL3" s="1">
        <v>1</v>
      </c>
      <c r="AO3" s="1">
        <v>2</v>
      </c>
      <c r="AS3" s="1">
        <v>20</v>
      </c>
      <c r="AT3" s="1">
        <v>50</v>
      </c>
      <c r="AU3" s="1">
        <v>35</v>
      </c>
      <c r="AV3" s="18"/>
      <c r="AW3" s="18"/>
      <c r="AX3" s="7">
        <f>0.5*Umrechnungsfaktoren!$B$15/Umrechnungsfaktoren!$B$13</f>
        <v>0.5164179104477612</v>
      </c>
      <c r="AY3" s="7">
        <v>0</v>
      </c>
      <c r="AZ3" s="7">
        <f>164*Umrechnungsfaktoren!$B$15/Umrechnungsfaktoren!$B$13</f>
        <v>169.38507462686567</v>
      </c>
      <c r="BA3" s="7"/>
      <c r="BB3" s="7"/>
      <c r="BC3" s="7">
        <f>0.05*Umrechnungsfaktoren!$B$15/Umrechnungsfaktoren!$B$13</f>
        <v>5.164179104477612E-2</v>
      </c>
      <c r="BD3" s="7"/>
      <c r="BG3" s="1">
        <v>213</v>
      </c>
      <c r="BH3" s="1">
        <v>214</v>
      </c>
      <c r="BJ3" s="12" t="s">
        <v>544</v>
      </c>
      <c r="BK3" s="12" t="s">
        <v>543</v>
      </c>
      <c r="BL3" s="12"/>
      <c r="BM3" s="12">
        <v>213</v>
      </c>
      <c r="BN3" s="12"/>
      <c r="BO3" s="12">
        <v>213</v>
      </c>
      <c r="BP3" s="12"/>
      <c r="BR3" s="12"/>
      <c r="BS3" s="12"/>
      <c r="BT3" s="12">
        <v>242</v>
      </c>
      <c r="BU3" s="1">
        <v>213</v>
      </c>
      <c r="BV3" s="1">
        <v>213</v>
      </c>
      <c r="BY3" s="1">
        <v>213</v>
      </c>
      <c r="BZ3" s="1" t="s">
        <v>548</v>
      </c>
      <c r="CA3" s="1" t="s">
        <v>549</v>
      </c>
      <c r="CB3" s="1" t="s">
        <v>548</v>
      </c>
    </row>
    <row r="4" spans="1:83" x14ac:dyDescent="0.2">
      <c r="A4" s="1" t="s">
        <v>54</v>
      </c>
      <c r="B4" s="1" t="s">
        <v>129</v>
      </c>
      <c r="C4" s="1">
        <v>2025</v>
      </c>
      <c r="D4" s="1">
        <v>1</v>
      </c>
      <c r="E4" s="1">
        <v>1</v>
      </c>
      <c r="F4" s="1">
        <v>0</v>
      </c>
      <c r="J4" s="18"/>
      <c r="K4" s="18"/>
      <c r="L4" s="18"/>
      <c r="M4" s="18">
        <v>257</v>
      </c>
      <c r="N4" s="18">
        <v>1029</v>
      </c>
      <c r="O4" s="18"/>
      <c r="P4" s="18"/>
      <c r="Q4" s="18"/>
      <c r="R4" s="18"/>
      <c r="S4" s="18"/>
      <c r="T4" s="18">
        <v>257</v>
      </c>
      <c r="U4" s="18"/>
      <c r="V4" s="18"/>
      <c r="W4" s="19"/>
      <c r="X4" s="8">
        <v>0.25</v>
      </c>
      <c r="Y4" s="8"/>
      <c r="Z4" s="48">
        <v>6100</v>
      </c>
      <c r="AA4" s="19"/>
      <c r="AB4" s="18"/>
      <c r="AC4" s="8"/>
      <c r="AD4" s="18"/>
      <c r="AE4" s="8"/>
      <c r="AF4" s="1">
        <f t="shared" si="0"/>
        <v>8.3333333333333329E-2</v>
      </c>
      <c r="AI4" s="1">
        <v>1</v>
      </c>
      <c r="AL4" s="1">
        <v>1</v>
      </c>
      <c r="AO4" s="1">
        <v>2</v>
      </c>
      <c r="AS4" s="1">
        <v>20</v>
      </c>
      <c r="AT4" s="1">
        <v>50</v>
      </c>
      <c r="AU4" s="1">
        <v>35</v>
      </c>
      <c r="AV4" s="18"/>
      <c r="AW4" s="18"/>
      <c r="AX4" s="7">
        <f>0.5*Umrechnungsfaktoren!$B$15/Umrechnungsfaktoren!$B$13</f>
        <v>0.5164179104477612</v>
      </c>
      <c r="AY4" s="7">
        <v>0</v>
      </c>
      <c r="AZ4" s="7">
        <f>164*Umrechnungsfaktoren!$B$15/Umrechnungsfaktoren!$B$13</f>
        <v>169.38507462686567</v>
      </c>
      <c r="BA4" s="7"/>
      <c r="BB4" s="7"/>
      <c r="BC4" s="7">
        <f>0.05*Umrechnungsfaktoren!$B$15/Umrechnungsfaktoren!$B$13</f>
        <v>5.164179104477612E-2</v>
      </c>
      <c r="BD4" s="7"/>
      <c r="BG4" s="1">
        <v>213</v>
      </c>
      <c r="BH4" s="1">
        <v>214</v>
      </c>
      <c r="BJ4" s="12" t="s">
        <v>544</v>
      </c>
      <c r="BK4" s="12" t="s">
        <v>543</v>
      </c>
      <c r="BL4" s="12"/>
      <c r="BM4" s="12">
        <v>213</v>
      </c>
      <c r="BN4" s="12"/>
      <c r="BO4" s="12">
        <v>213</v>
      </c>
      <c r="BP4" s="12"/>
      <c r="BR4" s="12"/>
      <c r="BS4" s="12"/>
      <c r="BT4" s="12">
        <v>242</v>
      </c>
      <c r="BU4" s="1">
        <v>213</v>
      </c>
      <c r="BV4" s="1">
        <v>213</v>
      </c>
      <c r="BY4" s="1">
        <v>213</v>
      </c>
      <c r="BZ4" s="1" t="s">
        <v>548</v>
      </c>
      <c r="CA4" s="1" t="s">
        <v>549</v>
      </c>
      <c r="CB4" s="1" t="s">
        <v>548</v>
      </c>
    </row>
    <row r="5" spans="1:83" x14ac:dyDescent="0.2">
      <c r="A5" s="1" t="s">
        <v>54</v>
      </c>
      <c r="B5" s="1" t="s">
        <v>129</v>
      </c>
      <c r="C5" s="1">
        <v>2030</v>
      </c>
      <c r="D5" s="1">
        <v>1</v>
      </c>
      <c r="E5" s="1">
        <v>1</v>
      </c>
      <c r="F5" s="1">
        <v>0</v>
      </c>
      <c r="J5" s="18"/>
      <c r="K5" s="18"/>
      <c r="L5" s="18"/>
      <c r="M5" s="18">
        <v>238</v>
      </c>
      <c r="N5" s="18">
        <v>951</v>
      </c>
      <c r="O5" s="18"/>
      <c r="P5" s="18"/>
      <c r="Q5" s="18"/>
      <c r="R5" s="18"/>
      <c r="S5" s="18"/>
      <c r="T5" s="18">
        <v>238</v>
      </c>
      <c r="U5" s="18"/>
      <c r="V5" s="18"/>
      <c r="W5" s="19"/>
      <c r="X5" s="8">
        <v>0.25</v>
      </c>
      <c r="Y5" s="8"/>
      <c r="Z5" s="48">
        <v>6100</v>
      </c>
      <c r="AA5" s="19"/>
      <c r="AB5" s="18"/>
      <c r="AC5" s="8"/>
      <c r="AD5" s="18"/>
      <c r="AE5" s="8"/>
      <c r="AF5" s="1">
        <f t="shared" si="0"/>
        <v>8.3333333333333329E-2</v>
      </c>
      <c r="AI5" s="1">
        <v>1</v>
      </c>
      <c r="AL5" s="1">
        <v>1</v>
      </c>
      <c r="AO5" s="1">
        <v>2</v>
      </c>
      <c r="AS5" s="1">
        <v>20</v>
      </c>
      <c r="AT5" s="1">
        <v>50</v>
      </c>
      <c r="AU5" s="1">
        <v>35</v>
      </c>
      <c r="AV5" s="18"/>
      <c r="AW5" s="18"/>
      <c r="AX5" s="7">
        <f>0.5*Umrechnungsfaktoren!$B$15/Umrechnungsfaktoren!$B$13</f>
        <v>0.5164179104477612</v>
      </c>
      <c r="AY5" s="7">
        <v>0</v>
      </c>
      <c r="AZ5" s="7">
        <f>164*Umrechnungsfaktoren!$B$15/Umrechnungsfaktoren!$B$13</f>
        <v>169.38507462686567</v>
      </c>
      <c r="BA5" s="7"/>
      <c r="BB5" s="7"/>
      <c r="BC5" s="7">
        <f>0.05*Umrechnungsfaktoren!$B$15/Umrechnungsfaktoren!$B$13</f>
        <v>5.164179104477612E-2</v>
      </c>
      <c r="BD5" s="7"/>
      <c r="BG5" s="1">
        <v>213</v>
      </c>
      <c r="BH5" s="1">
        <v>214</v>
      </c>
      <c r="BJ5" s="12" t="s">
        <v>544</v>
      </c>
      <c r="BK5" s="12" t="s">
        <v>543</v>
      </c>
      <c r="BL5" s="12"/>
      <c r="BM5" s="12">
        <v>213</v>
      </c>
      <c r="BN5" s="12"/>
      <c r="BO5" s="12">
        <v>213</v>
      </c>
      <c r="BP5" s="12"/>
      <c r="BR5" s="12"/>
      <c r="BS5" s="12"/>
      <c r="BT5" s="12">
        <v>242</v>
      </c>
      <c r="BU5" s="1">
        <v>213</v>
      </c>
      <c r="BV5" s="1">
        <v>213</v>
      </c>
      <c r="BY5" s="1">
        <v>213</v>
      </c>
      <c r="BZ5" s="1" t="s">
        <v>548</v>
      </c>
      <c r="CA5" s="1" t="s">
        <v>549</v>
      </c>
      <c r="CB5" s="1" t="s">
        <v>548</v>
      </c>
    </row>
    <row r="6" spans="1:83" x14ac:dyDescent="0.2">
      <c r="A6" s="1" t="s">
        <v>29</v>
      </c>
      <c r="B6" s="1" t="s">
        <v>129</v>
      </c>
      <c r="C6" s="1">
        <v>2015</v>
      </c>
      <c r="D6" s="1">
        <v>1</v>
      </c>
      <c r="E6" s="1">
        <v>1</v>
      </c>
      <c r="F6" s="1">
        <v>0</v>
      </c>
      <c r="G6" s="1">
        <f>1.837+5.907</f>
        <v>7.7439999999999998</v>
      </c>
      <c r="J6" s="18"/>
      <c r="K6" s="18"/>
      <c r="L6" s="18"/>
      <c r="M6" s="18">
        <f>603-10</f>
        <v>593</v>
      </c>
      <c r="N6" s="18">
        <v>988</v>
      </c>
      <c r="O6" s="18"/>
      <c r="P6" s="18"/>
      <c r="Q6" s="18"/>
      <c r="R6" s="18"/>
      <c r="S6" s="18"/>
      <c r="T6" s="18">
        <v>603</v>
      </c>
      <c r="U6" s="18"/>
      <c r="V6" s="18"/>
      <c r="W6" s="19"/>
      <c r="X6" s="8">
        <v>0.6</v>
      </c>
      <c r="Y6" s="8"/>
      <c r="Z6" s="48">
        <v>7700</v>
      </c>
      <c r="AA6" s="19">
        <f>239+767</f>
        <v>1006</v>
      </c>
      <c r="AB6" s="18"/>
      <c r="AC6" s="8"/>
      <c r="AD6" s="18"/>
      <c r="AE6" s="8"/>
      <c r="AF6" s="1">
        <f t="shared" si="0"/>
        <v>8.3333333333333329E-2</v>
      </c>
      <c r="AI6" s="1">
        <v>1</v>
      </c>
      <c r="AL6" s="1">
        <v>1</v>
      </c>
      <c r="AO6" s="1">
        <v>2</v>
      </c>
      <c r="AS6" s="1">
        <v>20</v>
      </c>
      <c r="AT6" s="1">
        <v>50</v>
      </c>
      <c r="AU6" s="1">
        <v>35</v>
      </c>
      <c r="AV6" s="18"/>
      <c r="AW6" s="18"/>
      <c r="AX6" s="7">
        <f>0.5*Umrechnungsfaktoren!$B$15/Umrechnungsfaktoren!$B$13</f>
        <v>0.5164179104477612</v>
      </c>
      <c r="AY6" s="7">
        <v>0</v>
      </c>
      <c r="AZ6" s="7">
        <f>96*Umrechnungsfaktoren!$B$15/Umrechnungsfaktoren!$B$13</f>
        <v>99.152238805970143</v>
      </c>
      <c r="BA6" s="7"/>
      <c r="BB6" s="7"/>
      <c r="BC6" s="7">
        <f>0.05*Umrechnungsfaktoren!$B$15/Umrechnungsfaktoren!$B$13</f>
        <v>5.164179104477612E-2</v>
      </c>
      <c r="BD6" s="7"/>
      <c r="BG6" s="1">
        <v>213</v>
      </c>
      <c r="BH6" s="1">
        <v>214</v>
      </c>
      <c r="BJ6" s="12" t="s">
        <v>544</v>
      </c>
      <c r="BK6" s="12" t="s">
        <v>543</v>
      </c>
      <c r="BL6" s="12"/>
      <c r="BM6" s="12">
        <v>213</v>
      </c>
      <c r="BN6" s="12"/>
      <c r="BO6" s="12">
        <v>213</v>
      </c>
      <c r="BP6" s="12"/>
      <c r="BR6" s="12"/>
      <c r="BS6" s="12"/>
      <c r="BT6" s="12">
        <v>242</v>
      </c>
      <c r="BU6" s="1">
        <v>213</v>
      </c>
      <c r="BV6" s="1">
        <v>213</v>
      </c>
      <c r="BY6" s="1">
        <v>213</v>
      </c>
      <c r="BZ6" s="1" t="s">
        <v>548</v>
      </c>
      <c r="CA6" s="1" t="s">
        <v>549</v>
      </c>
      <c r="CB6" s="1" t="s">
        <v>548</v>
      </c>
    </row>
    <row r="7" spans="1:83" x14ac:dyDescent="0.2">
      <c r="A7" s="1" t="s">
        <v>29</v>
      </c>
      <c r="B7" s="1" t="s">
        <v>129</v>
      </c>
      <c r="C7" s="1">
        <v>2020</v>
      </c>
      <c r="D7" s="1">
        <v>1</v>
      </c>
      <c r="E7" s="1">
        <v>1</v>
      </c>
      <c r="F7" s="1">
        <v>0</v>
      </c>
      <c r="J7" s="18"/>
      <c r="K7" s="18"/>
      <c r="L7" s="18"/>
      <c r="M7" s="18">
        <f>$M$6/603*549</f>
        <v>539.8955223880597</v>
      </c>
      <c r="N7" s="18">
        <f>1270/1006*N6</f>
        <v>1247.2763419483101</v>
      </c>
      <c r="O7" s="18"/>
      <c r="P7" s="18"/>
      <c r="Q7" s="18"/>
      <c r="R7" s="18"/>
      <c r="S7" s="18"/>
      <c r="T7" s="18">
        <v>549</v>
      </c>
      <c r="U7" s="18"/>
      <c r="V7" s="18"/>
      <c r="W7" s="19"/>
      <c r="X7" s="8">
        <v>0.6</v>
      </c>
      <c r="Y7" s="8"/>
      <c r="Z7" s="48">
        <v>7700</v>
      </c>
      <c r="AA7" s="19"/>
      <c r="AB7" s="18"/>
      <c r="AC7" s="8"/>
      <c r="AD7" s="18"/>
      <c r="AE7" s="8"/>
      <c r="AF7" s="1">
        <f t="shared" si="0"/>
        <v>8.3333333333333329E-2</v>
      </c>
      <c r="AI7" s="1">
        <v>1</v>
      </c>
      <c r="AL7" s="1">
        <v>1</v>
      </c>
      <c r="AO7" s="1">
        <v>2</v>
      </c>
      <c r="AS7" s="1">
        <v>20</v>
      </c>
      <c r="AT7" s="1">
        <v>50</v>
      </c>
      <c r="AU7" s="1">
        <v>35</v>
      </c>
      <c r="AV7" s="18"/>
      <c r="AW7" s="18"/>
      <c r="AX7" s="7">
        <f>0.5*Umrechnungsfaktoren!$B$15/Umrechnungsfaktoren!$B$13</f>
        <v>0.5164179104477612</v>
      </c>
      <c r="AY7" s="7">
        <v>0</v>
      </c>
      <c r="AZ7" s="7">
        <f>96*Umrechnungsfaktoren!$B$15/Umrechnungsfaktoren!$B$13</f>
        <v>99.152238805970143</v>
      </c>
      <c r="BA7" s="7"/>
      <c r="BB7" s="7"/>
      <c r="BC7" s="7">
        <f>0.05*Umrechnungsfaktoren!$B$15/Umrechnungsfaktoren!$B$13</f>
        <v>5.164179104477612E-2</v>
      </c>
      <c r="BD7" s="7"/>
      <c r="BG7" s="1">
        <v>213</v>
      </c>
      <c r="BH7" s="1">
        <v>214</v>
      </c>
      <c r="BJ7" s="12" t="s">
        <v>544</v>
      </c>
      <c r="BK7" s="12" t="s">
        <v>543</v>
      </c>
      <c r="BL7" s="12"/>
      <c r="BM7" s="12">
        <v>213</v>
      </c>
      <c r="BN7" s="12"/>
      <c r="BO7" s="12">
        <v>213</v>
      </c>
      <c r="BP7" s="12"/>
      <c r="BR7" s="12"/>
      <c r="BS7" s="12"/>
      <c r="BT7" s="12">
        <v>242</v>
      </c>
      <c r="BU7" s="1">
        <v>213</v>
      </c>
      <c r="BV7" s="1">
        <v>213</v>
      </c>
      <c r="BY7" s="1">
        <v>213</v>
      </c>
      <c r="BZ7" s="1" t="s">
        <v>548</v>
      </c>
      <c r="CA7" s="1" t="s">
        <v>549</v>
      </c>
      <c r="CB7" s="1" t="s">
        <v>548</v>
      </c>
    </row>
    <row r="8" spans="1:83" x14ac:dyDescent="0.2">
      <c r="A8" s="1" t="s">
        <v>29</v>
      </c>
      <c r="B8" s="1" t="s">
        <v>129</v>
      </c>
      <c r="C8" s="1">
        <v>2025</v>
      </c>
      <c r="D8" s="1">
        <v>1</v>
      </c>
      <c r="E8" s="1">
        <v>1</v>
      </c>
      <c r="F8" s="1">
        <v>0</v>
      </c>
      <c r="J8" s="18"/>
      <c r="K8" s="18"/>
      <c r="L8" s="18"/>
      <c r="M8" s="18">
        <f>$M$6/603*718</f>
        <v>706.09286898839139</v>
      </c>
      <c r="N8" s="18">
        <f>1257/1006*N6</f>
        <v>1234.5089463220675</v>
      </c>
      <c r="O8" s="18"/>
      <c r="P8" s="18"/>
      <c r="Q8" s="18"/>
      <c r="R8" s="18"/>
      <c r="S8" s="18"/>
      <c r="T8" s="18">
        <v>718</v>
      </c>
      <c r="U8" s="18"/>
      <c r="V8" s="18"/>
      <c r="W8" s="19"/>
      <c r="X8" s="8">
        <v>0.6</v>
      </c>
      <c r="Y8" s="8"/>
      <c r="Z8" s="48">
        <v>7700</v>
      </c>
      <c r="AA8" s="19"/>
      <c r="AB8" s="18"/>
      <c r="AC8" s="8"/>
      <c r="AD8" s="18"/>
      <c r="AE8" s="8"/>
      <c r="AF8" s="1">
        <f t="shared" si="0"/>
        <v>8.3333333333333329E-2</v>
      </c>
      <c r="AI8" s="1">
        <v>1</v>
      </c>
      <c r="AL8" s="1">
        <v>1</v>
      </c>
      <c r="AO8" s="1">
        <v>2</v>
      </c>
      <c r="AS8" s="1">
        <v>20</v>
      </c>
      <c r="AT8" s="1">
        <v>50</v>
      </c>
      <c r="AU8" s="1">
        <v>35</v>
      </c>
      <c r="AV8" s="18"/>
      <c r="AW8" s="18"/>
      <c r="AX8" s="7">
        <f>0.5*Umrechnungsfaktoren!$B$15/Umrechnungsfaktoren!$B$13</f>
        <v>0.5164179104477612</v>
      </c>
      <c r="AY8" s="7">
        <v>0</v>
      </c>
      <c r="AZ8" s="7">
        <f>96*Umrechnungsfaktoren!$B$15/Umrechnungsfaktoren!$B$13</f>
        <v>99.152238805970143</v>
      </c>
      <c r="BA8" s="7"/>
      <c r="BB8" s="7"/>
      <c r="BC8" s="7">
        <f>0.05*Umrechnungsfaktoren!$B$15/Umrechnungsfaktoren!$B$13</f>
        <v>5.164179104477612E-2</v>
      </c>
      <c r="BD8" s="7"/>
      <c r="BG8" s="1">
        <v>213</v>
      </c>
      <c r="BH8" s="1">
        <v>214</v>
      </c>
      <c r="BJ8" s="12" t="s">
        <v>544</v>
      </c>
      <c r="BK8" s="12" t="s">
        <v>543</v>
      </c>
      <c r="BL8" s="12"/>
      <c r="BM8" s="12">
        <v>213</v>
      </c>
      <c r="BN8" s="12"/>
      <c r="BO8" s="12">
        <v>213</v>
      </c>
      <c r="BP8" s="12"/>
      <c r="BR8" s="12"/>
      <c r="BS8" s="12"/>
      <c r="BT8" s="12">
        <v>242</v>
      </c>
      <c r="BU8" s="1">
        <v>213</v>
      </c>
      <c r="BV8" s="1">
        <v>213</v>
      </c>
      <c r="BY8" s="1">
        <v>213</v>
      </c>
      <c r="BZ8" s="1" t="s">
        <v>548</v>
      </c>
      <c r="CA8" s="1" t="s">
        <v>549</v>
      </c>
      <c r="CB8" s="1" t="s">
        <v>548</v>
      </c>
    </row>
    <row r="9" spans="1:83" x14ac:dyDescent="0.2">
      <c r="A9" s="1" t="s">
        <v>29</v>
      </c>
      <c r="B9" s="1" t="s">
        <v>129</v>
      </c>
      <c r="C9" s="1">
        <v>2030</v>
      </c>
      <c r="D9" s="1">
        <v>1</v>
      </c>
      <c r="E9" s="1">
        <v>1</v>
      </c>
      <c r="F9" s="1">
        <v>0</v>
      </c>
      <c r="J9" s="18"/>
      <c r="K9" s="18"/>
      <c r="L9" s="18"/>
      <c r="M9" s="18">
        <f>$M$6/603*711</f>
        <v>699.20895522388059</v>
      </c>
      <c r="N9" s="18">
        <f>1643/1006*N6</f>
        <v>1613.6023856858847</v>
      </c>
      <c r="O9" s="18"/>
      <c r="P9" s="18"/>
      <c r="Q9" s="18"/>
      <c r="R9" s="18"/>
      <c r="S9" s="18"/>
      <c r="T9" s="18">
        <v>711</v>
      </c>
      <c r="U9" s="18"/>
      <c r="V9" s="18"/>
      <c r="W9" s="19"/>
      <c r="X9" s="8">
        <v>0.6</v>
      </c>
      <c r="Y9" s="8"/>
      <c r="Z9" s="48">
        <v>7700</v>
      </c>
      <c r="AA9" s="19"/>
      <c r="AB9" s="18"/>
      <c r="AC9" s="8"/>
      <c r="AD9" s="18"/>
      <c r="AE9" s="8"/>
      <c r="AF9" s="1">
        <f t="shared" si="0"/>
        <v>8.3333333333333329E-2</v>
      </c>
      <c r="AI9" s="1">
        <v>1</v>
      </c>
      <c r="AL9" s="1">
        <v>1</v>
      </c>
      <c r="AO9" s="1">
        <v>2</v>
      </c>
      <c r="AS9" s="1">
        <v>20</v>
      </c>
      <c r="AT9" s="1">
        <v>50</v>
      </c>
      <c r="AU9" s="1">
        <v>35</v>
      </c>
      <c r="AV9" s="18"/>
      <c r="AW9" s="18"/>
      <c r="AX9" s="7">
        <f>0.5*Umrechnungsfaktoren!$B$15/Umrechnungsfaktoren!$B$13</f>
        <v>0.5164179104477612</v>
      </c>
      <c r="AY9" s="7">
        <v>0</v>
      </c>
      <c r="AZ9" s="7">
        <f>96*Umrechnungsfaktoren!$B$15/Umrechnungsfaktoren!$B$13</f>
        <v>99.152238805970143</v>
      </c>
      <c r="BA9" s="7"/>
      <c r="BB9" s="7"/>
      <c r="BC9" s="7">
        <f>0.05*Umrechnungsfaktoren!$B$15/Umrechnungsfaktoren!$B$13</f>
        <v>5.164179104477612E-2</v>
      </c>
      <c r="BD9" s="7"/>
      <c r="BG9" s="1">
        <v>213</v>
      </c>
      <c r="BH9" s="1">
        <v>214</v>
      </c>
      <c r="BJ9" s="12" t="s">
        <v>544</v>
      </c>
      <c r="BK9" s="12" t="s">
        <v>543</v>
      </c>
      <c r="BL9" s="12"/>
      <c r="BM9" s="12">
        <v>213</v>
      </c>
      <c r="BN9" s="12"/>
      <c r="BO9" s="12">
        <v>213</v>
      </c>
      <c r="BP9" s="12"/>
      <c r="BR9" s="12"/>
      <c r="BS9" s="12"/>
      <c r="BT9" s="12">
        <v>242</v>
      </c>
      <c r="BU9" s="1">
        <v>213</v>
      </c>
      <c r="BV9" s="1">
        <v>213</v>
      </c>
      <c r="BY9" s="1">
        <v>213</v>
      </c>
      <c r="BZ9" s="1" t="s">
        <v>548</v>
      </c>
      <c r="CA9" s="1" t="s">
        <v>549</v>
      </c>
      <c r="CB9" s="1" t="s">
        <v>548</v>
      </c>
    </row>
    <row r="10" spans="1:83" x14ac:dyDescent="0.2">
      <c r="A10" s="1" t="s">
        <v>77</v>
      </c>
      <c r="B10" s="1" t="s">
        <v>129</v>
      </c>
      <c r="C10" s="1">
        <v>2015</v>
      </c>
      <c r="D10" s="1">
        <v>1</v>
      </c>
      <c r="E10" s="1">
        <v>1</v>
      </c>
      <c r="F10" s="1">
        <v>0</v>
      </c>
      <c r="G10" s="1">
        <f>2.37+0.789</f>
        <v>3.1590000000000003</v>
      </c>
      <c r="J10" s="18"/>
      <c r="K10" s="18"/>
      <c r="L10" s="18"/>
      <c r="M10" s="18">
        <f>316+105-110</f>
        <v>311</v>
      </c>
      <c r="N10" s="18"/>
      <c r="O10" s="18"/>
      <c r="P10" s="18"/>
      <c r="Q10" s="18"/>
      <c r="R10" s="18"/>
      <c r="S10" s="18"/>
      <c r="T10" s="18">
        <f>316+105</f>
        <v>421</v>
      </c>
      <c r="U10" s="18"/>
      <c r="V10" s="18"/>
      <c r="W10" s="19"/>
      <c r="X10" s="8">
        <v>1</v>
      </c>
      <c r="Y10" s="8"/>
      <c r="Z10" s="48">
        <v>7500</v>
      </c>
      <c r="AA10" s="19">
        <f>316+105</f>
        <v>421</v>
      </c>
      <c r="AB10" s="18"/>
      <c r="AC10" s="8"/>
      <c r="AD10" s="18"/>
      <c r="AE10" s="8"/>
      <c r="AF10" s="1">
        <f t="shared" si="0"/>
        <v>8.3333333333333329E-2</v>
      </c>
      <c r="AI10" s="1">
        <v>1</v>
      </c>
      <c r="AL10" s="1">
        <v>1</v>
      </c>
      <c r="AO10" s="1">
        <v>2</v>
      </c>
      <c r="AS10" s="1">
        <v>20</v>
      </c>
      <c r="AT10" s="1">
        <v>50</v>
      </c>
      <c r="AU10" s="1">
        <v>35</v>
      </c>
      <c r="AV10" s="18"/>
      <c r="AW10" s="18"/>
      <c r="AX10" s="7">
        <f>0.5*Umrechnungsfaktoren!$B$15/Umrechnungsfaktoren!$B$13</f>
        <v>0.5164179104477612</v>
      </c>
      <c r="AY10" s="7">
        <v>0</v>
      </c>
      <c r="AZ10" s="7">
        <f>433*Umrechnungsfaktoren!$B$15/Umrechnungsfaktoren!$B$13</f>
        <v>447.2179104477612</v>
      </c>
      <c r="BA10" s="7"/>
      <c r="BB10" s="7"/>
      <c r="BC10" s="7">
        <f>0.05*Umrechnungsfaktoren!$B$15/Umrechnungsfaktoren!$B$13</f>
        <v>5.164179104477612E-2</v>
      </c>
      <c r="BD10" s="7"/>
      <c r="BG10" s="1">
        <v>213</v>
      </c>
      <c r="BH10" s="1">
        <v>214</v>
      </c>
      <c r="BJ10" s="12" t="s">
        <v>544</v>
      </c>
      <c r="BK10" s="12" t="s">
        <v>543</v>
      </c>
      <c r="BL10" s="12"/>
      <c r="BM10" s="12">
        <v>213</v>
      </c>
      <c r="BN10" s="12"/>
      <c r="BO10" s="12">
        <v>213</v>
      </c>
      <c r="BP10" s="12"/>
      <c r="BR10" s="12"/>
      <c r="BS10" s="12"/>
      <c r="BT10" s="12">
        <v>242</v>
      </c>
      <c r="BU10" s="1">
        <v>213</v>
      </c>
      <c r="BV10" s="1">
        <v>213</v>
      </c>
      <c r="BY10" s="1">
        <v>213</v>
      </c>
      <c r="BZ10" s="1" t="s">
        <v>548</v>
      </c>
      <c r="CA10" s="1" t="s">
        <v>549</v>
      </c>
      <c r="CB10" s="1" t="s">
        <v>548</v>
      </c>
    </row>
    <row r="11" spans="1:83" x14ac:dyDescent="0.2">
      <c r="A11" s="1" t="s">
        <v>77</v>
      </c>
      <c r="B11" s="1" t="s">
        <v>129</v>
      </c>
      <c r="C11" s="1">
        <v>2020</v>
      </c>
      <c r="D11" s="1">
        <v>1</v>
      </c>
      <c r="E11" s="1">
        <v>1</v>
      </c>
      <c r="F11" s="1">
        <v>0</v>
      </c>
      <c r="J11" s="18"/>
      <c r="K11" s="18"/>
      <c r="L11" s="18"/>
      <c r="M11" s="18">
        <f>311/421*391</f>
        <v>288.83847980997626</v>
      </c>
      <c r="N11" s="18"/>
      <c r="O11" s="18"/>
      <c r="P11" s="18"/>
      <c r="Q11" s="18"/>
      <c r="R11" s="18"/>
      <c r="S11" s="18"/>
      <c r="T11" s="18">
        <v>391</v>
      </c>
      <c r="U11" s="18"/>
      <c r="V11" s="18"/>
      <c r="W11" s="19"/>
      <c r="X11" s="8">
        <v>1</v>
      </c>
      <c r="Y11" s="8"/>
      <c r="Z11" s="48">
        <v>7500</v>
      </c>
      <c r="AA11" s="19"/>
      <c r="AB11" s="18"/>
      <c r="AC11" s="8"/>
      <c r="AD11" s="18"/>
      <c r="AE11" s="8"/>
      <c r="AF11" s="1">
        <f t="shared" si="0"/>
        <v>8.3333333333333329E-2</v>
      </c>
      <c r="AI11" s="1">
        <v>1</v>
      </c>
      <c r="AL11" s="1">
        <v>1</v>
      </c>
      <c r="AO11" s="1">
        <v>2</v>
      </c>
      <c r="AS11" s="1">
        <v>20</v>
      </c>
      <c r="AT11" s="1">
        <v>50</v>
      </c>
      <c r="AU11" s="1">
        <v>35</v>
      </c>
      <c r="AV11" s="18"/>
      <c r="AW11" s="18"/>
      <c r="AX11" s="7">
        <f>0.5*Umrechnungsfaktoren!$B$15/Umrechnungsfaktoren!$B$13</f>
        <v>0.5164179104477612</v>
      </c>
      <c r="AY11" s="7">
        <v>0</v>
      </c>
      <c r="AZ11" s="7">
        <f>433*Umrechnungsfaktoren!$B$15/Umrechnungsfaktoren!$B$13</f>
        <v>447.2179104477612</v>
      </c>
      <c r="BA11" s="7"/>
      <c r="BB11" s="7"/>
      <c r="BC11" s="7">
        <f>0.05*Umrechnungsfaktoren!$B$15/Umrechnungsfaktoren!$B$13</f>
        <v>5.164179104477612E-2</v>
      </c>
      <c r="BD11" s="7"/>
      <c r="BG11" s="1">
        <v>213</v>
      </c>
      <c r="BH11" s="1">
        <v>214</v>
      </c>
      <c r="BJ11" s="12" t="s">
        <v>544</v>
      </c>
      <c r="BK11" s="12" t="s">
        <v>543</v>
      </c>
      <c r="BL11" s="12"/>
      <c r="BM11" s="12">
        <v>213</v>
      </c>
      <c r="BN11" s="12"/>
      <c r="BO11" s="12">
        <v>213</v>
      </c>
      <c r="BP11" s="12"/>
      <c r="BR11" s="12"/>
      <c r="BS11" s="12"/>
      <c r="BT11" s="12">
        <v>242</v>
      </c>
      <c r="BU11" s="1">
        <v>213</v>
      </c>
      <c r="BV11" s="1">
        <v>213</v>
      </c>
      <c r="BY11" s="1">
        <v>213</v>
      </c>
      <c r="BZ11" s="1" t="s">
        <v>548</v>
      </c>
      <c r="CA11" s="1" t="s">
        <v>549</v>
      </c>
      <c r="CB11" s="1" t="s">
        <v>548</v>
      </c>
    </row>
    <row r="12" spans="1:83" x14ac:dyDescent="0.2">
      <c r="A12" s="1" t="s">
        <v>77</v>
      </c>
      <c r="B12" s="1" t="s">
        <v>129</v>
      </c>
      <c r="C12" s="1">
        <v>2025</v>
      </c>
      <c r="D12" s="1">
        <v>1</v>
      </c>
      <c r="E12" s="1">
        <v>1</v>
      </c>
      <c r="F12" s="1">
        <v>0</v>
      </c>
      <c r="J12" s="18"/>
      <c r="K12" s="18"/>
      <c r="L12" s="18"/>
      <c r="M12" s="18">
        <f>311/421*346</f>
        <v>255.59619952494063</v>
      </c>
      <c r="N12" s="18"/>
      <c r="O12" s="18"/>
      <c r="P12" s="18"/>
      <c r="Q12" s="18"/>
      <c r="R12" s="18"/>
      <c r="S12" s="18"/>
      <c r="T12" s="18">
        <v>346</v>
      </c>
      <c r="U12" s="18"/>
      <c r="V12" s="18"/>
      <c r="W12" s="19"/>
      <c r="X12" s="8">
        <v>1</v>
      </c>
      <c r="Y12" s="8"/>
      <c r="Z12" s="48">
        <v>7500</v>
      </c>
      <c r="AA12" s="19"/>
      <c r="AB12" s="18"/>
      <c r="AC12" s="8"/>
      <c r="AD12" s="18"/>
      <c r="AE12" s="8"/>
      <c r="AF12" s="1">
        <f t="shared" si="0"/>
        <v>8.3333333333333329E-2</v>
      </c>
      <c r="AI12" s="1">
        <v>1</v>
      </c>
      <c r="AL12" s="1">
        <v>1</v>
      </c>
      <c r="AO12" s="1">
        <v>2</v>
      </c>
      <c r="AS12" s="1">
        <v>20</v>
      </c>
      <c r="AT12" s="1">
        <v>50</v>
      </c>
      <c r="AU12" s="1">
        <v>35</v>
      </c>
      <c r="AV12" s="18"/>
      <c r="AW12" s="18"/>
      <c r="AX12" s="7">
        <f>0.5*Umrechnungsfaktoren!$B$15/Umrechnungsfaktoren!$B$13</f>
        <v>0.5164179104477612</v>
      </c>
      <c r="AY12" s="7">
        <v>0</v>
      </c>
      <c r="AZ12" s="7">
        <f>433*Umrechnungsfaktoren!$B$15/Umrechnungsfaktoren!$B$13</f>
        <v>447.2179104477612</v>
      </c>
      <c r="BA12" s="7"/>
      <c r="BB12" s="7"/>
      <c r="BC12" s="7">
        <f>0.05*Umrechnungsfaktoren!$B$15/Umrechnungsfaktoren!$B$13</f>
        <v>5.164179104477612E-2</v>
      </c>
      <c r="BD12" s="7"/>
      <c r="BG12" s="1">
        <v>213</v>
      </c>
      <c r="BH12" s="1">
        <v>214</v>
      </c>
      <c r="BJ12" s="12" t="s">
        <v>544</v>
      </c>
      <c r="BK12" s="12" t="s">
        <v>543</v>
      </c>
      <c r="BL12" s="12"/>
      <c r="BM12" s="12">
        <v>213</v>
      </c>
      <c r="BN12" s="12"/>
      <c r="BO12" s="12">
        <v>213</v>
      </c>
      <c r="BP12" s="12"/>
      <c r="BR12" s="12"/>
      <c r="BS12" s="12"/>
      <c r="BT12" s="12">
        <v>242</v>
      </c>
      <c r="BU12" s="1">
        <v>213</v>
      </c>
      <c r="BV12" s="1">
        <v>213</v>
      </c>
      <c r="BY12" s="1">
        <v>213</v>
      </c>
      <c r="BZ12" s="1" t="s">
        <v>548</v>
      </c>
      <c r="CA12" s="1" t="s">
        <v>549</v>
      </c>
      <c r="CB12" s="1" t="s">
        <v>548</v>
      </c>
    </row>
    <row r="13" spans="1:83" x14ac:dyDescent="0.2">
      <c r="A13" s="1" t="s">
        <v>77</v>
      </c>
      <c r="B13" s="1" t="s">
        <v>129</v>
      </c>
      <c r="C13" s="1">
        <v>2030</v>
      </c>
      <c r="D13" s="1">
        <v>1</v>
      </c>
      <c r="E13" s="1">
        <v>1</v>
      </c>
      <c r="F13" s="1">
        <v>0</v>
      </c>
      <c r="J13" s="18"/>
      <c r="K13" s="18"/>
      <c r="L13" s="18"/>
      <c r="M13" s="18">
        <f>311/421*307</f>
        <v>226.78622327790976</v>
      </c>
      <c r="N13" s="18"/>
      <c r="O13" s="18"/>
      <c r="P13" s="18"/>
      <c r="Q13" s="18"/>
      <c r="R13" s="18"/>
      <c r="S13" s="18"/>
      <c r="T13" s="18">
        <v>307</v>
      </c>
      <c r="U13" s="18"/>
      <c r="V13" s="18"/>
      <c r="W13" s="19"/>
      <c r="X13" s="8">
        <v>1</v>
      </c>
      <c r="Y13" s="8"/>
      <c r="Z13" s="48">
        <v>7500</v>
      </c>
      <c r="AA13" s="19"/>
      <c r="AB13" s="18"/>
      <c r="AC13" s="8"/>
      <c r="AD13" s="18"/>
      <c r="AE13" s="8"/>
      <c r="AF13" s="1">
        <f t="shared" si="0"/>
        <v>8.3333333333333329E-2</v>
      </c>
      <c r="AI13" s="1">
        <v>1</v>
      </c>
      <c r="AL13" s="1">
        <v>1</v>
      </c>
      <c r="AO13" s="1">
        <v>2</v>
      </c>
      <c r="AS13" s="1">
        <v>20</v>
      </c>
      <c r="AT13" s="1">
        <v>50</v>
      </c>
      <c r="AU13" s="1">
        <v>35</v>
      </c>
      <c r="AV13" s="18"/>
      <c r="AW13" s="18"/>
      <c r="AX13" s="7">
        <f>0.5*Umrechnungsfaktoren!$B$15/Umrechnungsfaktoren!$B$13</f>
        <v>0.5164179104477612</v>
      </c>
      <c r="AY13" s="7">
        <v>0</v>
      </c>
      <c r="AZ13" s="7">
        <f>433*Umrechnungsfaktoren!$B$15/Umrechnungsfaktoren!$B$13</f>
        <v>447.2179104477612</v>
      </c>
      <c r="BA13" s="7"/>
      <c r="BB13" s="7"/>
      <c r="BC13" s="7">
        <f>0.05*Umrechnungsfaktoren!$B$15/Umrechnungsfaktoren!$B$13</f>
        <v>5.164179104477612E-2</v>
      </c>
      <c r="BD13" s="7"/>
      <c r="BG13" s="1">
        <v>213</v>
      </c>
      <c r="BH13" s="1">
        <v>214</v>
      </c>
      <c r="BJ13" s="12" t="s">
        <v>544</v>
      </c>
      <c r="BK13" s="12" t="s">
        <v>543</v>
      </c>
      <c r="BL13" s="12"/>
      <c r="BM13" s="12">
        <v>213</v>
      </c>
      <c r="BN13" s="12"/>
      <c r="BO13" s="12">
        <v>213</v>
      </c>
      <c r="BP13" s="12"/>
      <c r="BR13" s="12"/>
      <c r="BS13" s="12"/>
      <c r="BT13" s="12">
        <v>242</v>
      </c>
      <c r="BU13" s="1">
        <v>213</v>
      </c>
      <c r="BV13" s="1">
        <v>213</v>
      </c>
      <c r="BY13" s="1">
        <v>213</v>
      </c>
      <c r="BZ13" s="1" t="s">
        <v>548</v>
      </c>
      <c r="CA13" s="1" t="s">
        <v>549</v>
      </c>
      <c r="CB13" s="1" t="s">
        <v>548</v>
      </c>
    </row>
    <row r="14" spans="1:83" x14ac:dyDescent="0.2">
      <c r="A14" s="1" t="s">
        <v>188</v>
      </c>
      <c r="B14" s="1" t="s">
        <v>129</v>
      </c>
      <c r="C14" s="1">
        <v>2015</v>
      </c>
      <c r="D14" s="1">
        <v>0</v>
      </c>
      <c r="E14" s="1">
        <v>1</v>
      </c>
      <c r="F14" s="1">
        <v>0</v>
      </c>
      <c r="G14" s="1">
        <v>20.399999999999999</v>
      </c>
      <c r="J14" s="18"/>
      <c r="K14" s="18"/>
      <c r="L14" s="18"/>
      <c r="M14" s="18"/>
      <c r="N14" s="18">
        <v>2720</v>
      </c>
      <c r="O14" s="18"/>
      <c r="P14" s="18"/>
      <c r="Q14" s="18"/>
      <c r="R14" s="18"/>
      <c r="S14" s="18"/>
      <c r="T14" s="18"/>
      <c r="U14" s="18"/>
      <c r="V14" s="18"/>
      <c r="W14" s="19"/>
      <c r="X14" s="8"/>
      <c r="Y14" s="8"/>
      <c r="Z14" s="48"/>
      <c r="AA14" s="19"/>
      <c r="AB14" s="18"/>
      <c r="AC14" s="8"/>
      <c r="AD14" s="18"/>
      <c r="AE14" s="8"/>
      <c r="AV14" s="18"/>
      <c r="AW14" s="18"/>
      <c r="AX14" s="7">
        <f>0.5*Umrechnungsfaktoren!$B$15/Umrechnungsfaktoren!$B$13</f>
        <v>0.5164179104477612</v>
      </c>
      <c r="AY14" s="7">
        <v>0</v>
      </c>
      <c r="AZ14" s="7">
        <f>433*Umrechnungsfaktoren!$B$15/Umrechnungsfaktoren!$B$13</f>
        <v>447.2179104477612</v>
      </c>
      <c r="BA14" s="7"/>
      <c r="BB14" s="7"/>
      <c r="BC14" s="7">
        <f>0.05*Umrechnungsfaktoren!$B$15/Umrechnungsfaktoren!$B$13</f>
        <v>5.164179104477612E-2</v>
      </c>
      <c r="BD14" s="7"/>
      <c r="BG14" s="1">
        <v>213</v>
      </c>
      <c r="BH14" s="1">
        <v>214</v>
      </c>
      <c r="BJ14" s="12" t="s">
        <v>545</v>
      </c>
      <c r="BL14" s="12"/>
      <c r="BM14" s="12">
        <v>213</v>
      </c>
      <c r="BN14" s="12"/>
      <c r="BO14" s="12">
        <v>213</v>
      </c>
      <c r="BP14" s="12"/>
      <c r="BR14" s="12"/>
      <c r="BS14" s="12"/>
      <c r="BT14" s="12"/>
      <c r="BY14" s="1">
        <v>213</v>
      </c>
      <c r="BZ14" s="1" t="s">
        <v>548</v>
      </c>
      <c r="CA14" s="1" t="s">
        <v>549</v>
      </c>
      <c r="CB14" s="1" t="s">
        <v>548</v>
      </c>
    </row>
    <row r="15" spans="1:83" x14ac:dyDescent="0.2">
      <c r="A15" s="1" t="s">
        <v>188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J15" s="18"/>
      <c r="K15" s="18"/>
      <c r="L15" s="18"/>
      <c r="M15" s="18"/>
      <c r="N15" s="18">
        <f>3095/3335*N14</f>
        <v>2524.257871064468</v>
      </c>
      <c r="O15" s="18"/>
      <c r="P15" s="18"/>
      <c r="Q15" s="18"/>
      <c r="R15" s="18"/>
      <c r="S15" s="18"/>
      <c r="T15" s="18"/>
      <c r="U15" s="18"/>
      <c r="V15" s="18"/>
      <c r="W15" s="19"/>
      <c r="X15" s="8"/>
      <c r="Y15" s="8"/>
      <c r="Z15" s="48"/>
      <c r="AA15" s="19"/>
      <c r="AB15" s="18"/>
      <c r="AC15" s="8"/>
      <c r="AD15" s="18"/>
      <c r="AE15" s="8"/>
      <c r="AV15" s="18"/>
      <c r="AW15" s="18"/>
      <c r="AX15" s="7">
        <f>0.5*Umrechnungsfaktoren!$B$15/Umrechnungsfaktoren!$B$13</f>
        <v>0.5164179104477612</v>
      </c>
      <c r="AY15" s="7">
        <v>0</v>
      </c>
      <c r="AZ15" s="7">
        <f>433*Umrechnungsfaktoren!$B$15/Umrechnungsfaktoren!$B$13</f>
        <v>447.2179104477612</v>
      </c>
      <c r="BA15" s="7"/>
      <c r="BB15" s="7"/>
      <c r="BC15" s="7">
        <f>0.05*Umrechnungsfaktoren!$B$15/Umrechnungsfaktoren!$B$13</f>
        <v>5.164179104477612E-2</v>
      </c>
      <c r="BD15" s="7"/>
      <c r="BG15" s="1">
        <v>213</v>
      </c>
      <c r="BH15" s="1">
        <v>214</v>
      </c>
      <c r="BJ15" s="12" t="s">
        <v>545</v>
      </c>
      <c r="BL15" s="12"/>
      <c r="BM15" s="12">
        <v>213</v>
      </c>
      <c r="BN15" s="12"/>
      <c r="BO15" s="12">
        <v>213</v>
      </c>
      <c r="BP15" s="12"/>
      <c r="BR15" s="12"/>
      <c r="BS15" s="12"/>
      <c r="BT15" s="12"/>
      <c r="BY15" s="1">
        <v>213</v>
      </c>
      <c r="BZ15" s="1" t="s">
        <v>548</v>
      </c>
      <c r="CA15" s="1" t="s">
        <v>549</v>
      </c>
      <c r="CB15" s="1" t="s">
        <v>548</v>
      </c>
    </row>
    <row r="16" spans="1:83" x14ac:dyDescent="0.2">
      <c r="A16" s="1" t="s">
        <v>188</v>
      </c>
      <c r="B16" s="1" t="s">
        <v>129</v>
      </c>
      <c r="C16" s="1">
        <v>2025</v>
      </c>
      <c r="D16" s="1">
        <v>0</v>
      </c>
      <c r="E16" s="1">
        <v>1</v>
      </c>
      <c r="F16" s="1">
        <v>0</v>
      </c>
      <c r="J16" s="18"/>
      <c r="K16" s="18"/>
      <c r="L16" s="18"/>
      <c r="M16" s="18"/>
      <c r="N16" s="18">
        <f>2743/3335*N14</f>
        <v>2237.1694152923537</v>
      </c>
      <c r="O16" s="18"/>
      <c r="P16" s="18"/>
      <c r="Q16" s="18"/>
      <c r="R16" s="18"/>
      <c r="S16" s="18"/>
      <c r="T16" s="18"/>
      <c r="U16" s="18"/>
      <c r="V16" s="18"/>
      <c r="W16" s="19"/>
      <c r="X16" s="8"/>
      <c r="Y16" s="8"/>
      <c r="Z16" s="48"/>
      <c r="AA16" s="19"/>
      <c r="AB16" s="18"/>
      <c r="AC16" s="8"/>
      <c r="AD16" s="18"/>
      <c r="AE16" s="8"/>
      <c r="AV16" s="18"/>
      <c r="AW16" s="18"/>
      <c r="AX16" s="7">
        <f>0.5*Umrechnungsfaktoren!$B$15/Umrechnungsfaktoren!$B$13</f>
        <v>0.5164179104477612</v>
      </c>
      <c r="AY16" s="7">
        <v>0</v>
      </c>
      <c r="AZ16" s="7">
        <f>433*Umrechnungsfaktoren!$B$15/Umrechnungsfaktoren!$B$13</f>
        <v>447.2179104477612</v>
      </c>
      <c r="BA16" s="7"/>
      <c r="BB16" s="7"/>
      <c r="BC16" s="7">
        <f>0.05*Umrechnungsfaktoren!$B$15/Umrechnungsfaktoren!$B$13</f>
        <v>5.164179104477612E-2</v>
      </c>
      <c r="BD16" s="7"/>
      <c r="BG16" s="1">
        <v>213</v>
      </c>
      <c r="BH16" s="1">
        <v>214</v>
      </c>
      <c r="BJ16" s="12" t="s">
        <v>545</v>
      </c>
      <c r="BL16" s="12"/>
      <c r="BM16" s="12">
        <v>213</v>
      </c>
      <c r="BN16" s="12"/>
      <c r="BO16" s="12">
        <v>213</v>
      </c>
      <c r="BP16" s="12"/>
      <c r="BR16" s="12"/>
      <c r="BS16" s="12"/>
      <c r="BT16" s="12"/>
      <c r="BY16" s="1">
        <v>213</v>
      </c>
      <c r="BZ16" s="1" t="s">
        <v>548</v>
      </c>
      <c r="CA16" s="1" t="s">
        <v>549</v>
      </c>
      <c r="CB16" s="1" t="s">
        <v>548</v>
      </c>
    </row>
    <row r="17" spans="1:83" x14ac:dyDescent="0.2">
      <c r="A17" s="1" t="s">
        <v>188</v>
      </c>
      <c r="B17" s="1" t="s">
        <v>129</v>
      </c>
      <c r="C17" s="1">
        <v>2030</v>
      </c>
      <c r="D17" s="1">
        <v>0</v>
      </c>
      <c r="E17" s="1">
        <v>1</v>
      </c>
      <c r="F17" s="1">
        <v>0</v>
      </c>
      <c r="J17" s="18"/>
      <c r="K17" s="18"/>
      <c r="L17" s="18"/>
      <c r="M17" s="18"/>
      <c r="N17" s="18">
        <f>2433/3335*N14</f>
        <v>1984.3358320839582</v>
      </c>
      <c r="O17" s="18"/>
      <c r="P17" s="18"/>
      <c r="Q17" s="18"/>
      <c r="R17" s="18"/>
      <c r="S17" s="18"/>
      <c r="T17" s="18"/>
      <c r="U17" s="18"/>
      <c r="V17" s="18"/>
      <c r="W17" s="19"/>
      <c r="X17" s="8"/>
      <c r="Y17" s="8"/>
      <c r="Z17" s="48"/>
      <c r="AA17" s="19"/>
      <c r="AB17" s="18"/>
      <c r="AC17" s="8"/>
      <c r="AD17" s="18"/>
      <c r="AE17" s="8"/>
      <c r="AV17" s="18"/>
      <c r="AW17" s="18"/>
      <c r="AX17" s="7">
        <f>0.5*Umrechnungsfaktoren!$B$15/Umrechnungsfaktoren!$B$13</f>
        <v>0.5164179104477612</v>
      </c>
      <c r="AY17" s="7">
        <v>0</v>
      </c>
      <c r="AZ17" s="7">
        <f>433*Umrechnungsfaktoren!$B$15/Umrechnungsfaktoren!$B$13</f>
        <v>447.2179104477612</v>
      </c>
      <c r="BA17" s="7"/>
      <c r="BB17" s="7"/>
      <c r="BC17" s="7">
        <f>0.05*Umrechnungsfaktoren!$B$15/Umrechnungsfaktoren!$B$13</f>
        <v>5.164179104477612E-2</v>
      </c>
      <c r="BD17" s="7"/>
      <c r="BG17" s="1">
        <v>213</v>
      </c>
      <c r="BH17" s="1">
        <v>214</v>
      </c>
      <c r="BJ17" s="12" t="s">
        <v>545</v>
      </c>
      <c r="BL17" s="12"/>
      <c r="BM17" s="12">
        <v>213</v>
      </c>
      <c r="BN17" s="12"/>
      <c r="BO17" s="12">
        <v>213</v>
      </c>
      <c r="BP17" s="12"/>
      <c r="BR17" s="12"/>
      <c r="BS17" s="12"/>
      <c r="BT17" s="12"/>
      <c r="BY17" s="1">
        <v>213</v>
      </c>
      <c r="BZ17" s="1" t="s">
        <v>548</v>
      </c>
      <c r="CA17" s="1" t="s">
        <v>549</v>
      </c>
      <c r="CB17" s="1" t="s">
        <v>548</v>
      </c>
    </row>
    <row r="18" spans="1:83" x14ac:dyDescent="0.2">
      <c r="A18" s="1" t="s">
        <v>84</v>
      </c>
      <c r="B18" s="1" t="s">
        <v>129</v>
      </c>
      <c r="C18" s="1">
        <v>2015</v>
      </c>
      <c r="D18" s="1">
        <v>1</v>
      </c>
      <c r="E18" s="1">
        <v>1</v>
      </c>
      <c r="F18" s="1">
        <v>0</v>
      </c>
      <c r="G18" s="1">
        <f>6.123</f>
        <v>6.1230000000000002</v>
      </c>
      <c r="J18" s="24"/>
      <c r="K18" s="24"/>
      <c r="L18" s="24"/>
      <c r="M18" s="24">
        <f>753-40</f>
        <v>713</v>
      </c>
      <c r="N18" s="24">
        <v>1114</v>
      </c>
      <c r="O18" s="24"/>
      <c r="P18" s="24"/>
      <c r="Q18" s="24"/>
      <c r="R18" s="24"/>
      <c r="S18" s="24"/>
      <c r="T18" s="24">
        <v>753</v>
      </c>
      <c r="U18" s="24"/>
      <c r="V18" s="24"/>
      <c r="W18" s="25"/>
      <c r="X18" s="26">
        <v>0.75</v>
      </c>
      <c r="Y18" s="26"/>
      <c r="Z18" s="49">
        <v>6100</v>
      </c>
      <c r="AA18" s="25">
        <v>1004</v>
      </c>
      <c r="AB18" s="24"/>
      <c r="AC18" s="26"/>
      <c r="AD18" s="24"/>
      <c r="AE18" s="26"/>
      <c r="AF18" s="1">
        <f t="shared" ref="AF18:AF25" si="1">5/60</f>
        <v>8.3333333333333329E-2</v>
      </c>
      <c r="AG18" s="23"/>
      <c r="AH18" s="23"/>
      <c r="AI18" s="1">
        <v>1</v>
      </c>
      <c r="AK18" s="23"/>
      <c r="AL18" s="1">
        <v>1</v>
      </c>
      <c r="AM18" s="23"/>
      <c r="AN18" s="23"/>
      <c r="AO18" s="23">
        <v>2</v>
      </c>
      <c r="AP18" s="23"/>
      <c r="AQ18" s="23"/>
      <c r="AR18" s="23"/>
      <c r="AS18" s="1">
        <v>20</v>
      </c>
      <c r="AT18" s="1">
        <v>50</v>
      </c>
      <c r="AU18" s="1">
        <v>35</v>
      </c>
      <c r="AV18" s="24"/>
      <c r="AW18" s="24"/>
      <c r="AX18" s="7">
        <f>0.5*Umrechnungsfaktoren!$B$15/Umrechnungsfaktoren!$B$13</f>
        <v>0.5164179104477612</v>
      </c>
      <c r="AY18" s="7">
        <v>0</v>
      </c>
      <c r="AZ18" s="7">
        <f>392*Umrechnungsfaktoren!$B$15/Umrechnungsfaktoren!$B$13</f>
        <v>404.87164179104474</v>
      </c>
      <c r="BA18" s="27"/>
      <c r="BB18" s="27"/>
      <c r="BC18" s="27">
        <f>0.05*Umrechnungsfaktoren!$B$15/Umrechnungsfaktoren!$B$13</f>
        <v>5.164179104477612E-2</v>
      </c>
      <c r="BD18" s="27"/>
      <c r="BE18" s="23"/>
      <c r="BF18" s="23"/>
      <c r="BG18" s="1">
        <v>213</v>
      </c>
      <c r="BH18" s="1">
        <v>214</v>
      </c>
      <c r="BI18" s="23"/>
      <c r="BJ18" s="12" t="s">
        <v>544</v>
      </c>
      <c r="BK18" s="12" t="s">
        <v>543</v>
      </c>
      <c r="BL18" s="28"/>
      <c r="BM18" s="12">
        <v>213</v>
      </c>
      <c r="BN18" s="28"/>
      <c r="BO18" s="12">
        <v>213</v>
      </c>
      <c r="BP18" s="28"/>
      <c r="BQ18" s="23"/>
      <c r="BR18" s="28"/>
      <c r="BS18" s="28"/>
      <c r="BT18" s="28">
        <v>242</v>
      </c>
      <c r="BU18" s="1">
        <v>213</v>
      </c>
      <c r="BV18" s="1">
        <v>213</v>
      </c>
      <c r="BW18" s="23"/>
      <c r="BX18" s="23"/>
      <c r="BY18" s="1">
        <v>213</v>
      </c>
      <c r="BZ18" s="1" t="s">
        <v>548</v>
      </c>
      <c r="CA18" s="1" t="s">
        <v>549</v>
      </c>
      <c r="CB18" s="1" t="s">
        <v>548</v>
      </c>
      <c r="CC18" s="23"/>
      <c r="CD18" s="23"/>
      <c r="CE18" s="23"/>
    </row>
    <row r="19" spans="1:83" x14ac:dyDescent="0.2">
      <c r="A19" s="1" t="s">
        <v>84</v>
      </c>
      <c r="B19" s="1" t="s">
        <v>129</v>
      </c>
      <c r="C19" s="1">
        <v>2020</v>
      </c>
      <c r="D19" s="1">
        <v>1</v>
      </c>
      <c r="E19" s="1">
        <v>1</v>
      </c>
      <c r="F19" s="1">
        <v>0</v>
      </c>
      <c r="J19" s="24"/>
      <c r="K19" s="24"/>
      <c r="L19" s="24"/>
      <c r="M19" s="24">
        <f>713/753*750</f>
        <v>710.15936254980079</v>
      </c>
      <c r="N19" s="24">
        <f>1164/1169*N18</f>
        <v>1109.2352437981181</v>
      </c>
      <c r="O19" s="24"/>
      <c r="P19" s="24"/>
      <c r="Q19" s="24"/>
      <c r="R19" s="24"/>
      <c r="S19" s="24"/>
      <c r="T19" s="24">
        <v>750</v>
      </c>
      <c r="U19" s="24"/>
      <c r="V19" s="24"/>
      <c r="W19" s="25"/>
      <c r="X19" s="26">
        <v>0.75</v>
      </c>
      <c r="Y19" s="26"/>
      <c r="Z19" s="49">
        <v>6100</v>
      </c>
      <c r="AA19" s="25"/>
      <c r="AB19" s="24"/>
      <c r="AC19" s="26"/>
      <c r="AD19" s="24"/>
      <c r="AE19" s="26"/>
      <c r="AF19" s="1">
        <f t="shared" si="1"/>
        <v>8.3333333333333329E-2</v>
      </c>
      <c r="AG19" s="23"/>
      <c r="AH19" s="23"/>
      <c r="AI19" s="1">
        <v>1</v>
      </c>
      <c r="AK19" s="23"/>
      <c r="AL19" s="1">
        <v>1</v>
      </c>
      <c r="AM19" s="23"/>
      <c r="AN19" s="23"/>
      <c r="AO19" s="23">
        <v>2</v>
      </c>
      <c r="AP19" s="23"/>
      <c r="AQ19" s="23"/>
      <c r="AR19" s="23"/>
      <c r="AS19" s="1">
        <v>20</v>
      </c>
      <c r="AT19" s="1">
        <v>50</v>
      </c>
      <c r="AU19" s="1">
        <v>35</v>
      </c>
      <c r="AV19" s="24"/>
      <c r="AW19" s="24"/>
      <c r="AX19" s="7">
        <f>0.5*Umrechnungsfaktoren!$B$15/Umrechnungsfaktoren!$B$13</f>
        <v>0.5164179104477612</v>
      </c>
      <c r="AY19" s="7">
        <v>0</v>
      </c>
      <c r="AZ19" s="7">
        <f>392*Umrechnungsfaktoren!$B$15/Umrechnungsfaktoren!$B$13</f>
        <v>404.87164179104474</v>
      </c>
      <c r="BA19" s="27"/>
      <c r="BB19" s="27"/>
      <c r="BC19" s="27">
        <f>0.05*Umrechnungsfaktoren!$B$15/Umrechnungsfaktoren!$B$13</f>
        <v>5.164179104477612E-2</v>
      </c>
      <c r="BD19" s="27"/>
      <c r="BE19" s="23"/>
      <c r="BF19" s="23"/>
      <c r="BG19" s="1">
        <v>213</v>
      </c>
      <c r="BH19" s="1">
        <v>214</v>
      </c>
      <c r="BI19" s="23"/>
      <c r="BJ19" s="12" t="s">
        <v>544</v>
      </c>
      <c r="BK19" s="12" t="s">
        <v>543</v>
      </c>
      <c r="BL19" s="28"/>
      <c r="BM19" s="12">
        <v>213</v>
      </c>
      <c r="BN19" s="28"/>
      <c r="BO19" s="12">
        <v>213</v>
      </c>
      <c r="BP19" s="28"/>
      <c r="BQ19" s="23"/>
      <c r="BR19" s="28"/>
      <c r="BS19" s="28"/>
      <c r="BT19" s="28">
        <v>242</v>
      </c>
      <c r="BU19" s="1">
        <v>213</v>
      </c>
      <c r="BV19" s="1">
        <v>213</v>
      </c>
      <c r="BW19" s="23"/>
      <c r="BX19" s="23"/>
      <c r="BY19" s="1">
        <v>213</v>
      </c>
      <c r="BZ19" s="1" t="s">
        <v>548</v>
      </c>
      <c r="CA19" s="1" t="s">
        <v>549</v>
      </c>
      <c r="CB19" s="1" t="s">
        <v>548</v>
      </c>
      <c r="CC19" s="23"/>
      <c r="CD19" s="23"/>
      <c r="CE19" s="23"/>
    </row>
    <row r="20" spans="1:83" x14ac:dyDescent="0.2">
      <c r="A20" s="1" t="s">
        <v>84</v>
      </c>
      <c r="B20" s="1" t="s">
        <v>129</v>
      </c>
      <c r="C20" s="1">
        <v>2025</v>
      </c>
      <c r="D20" s="1">
        <v>1</v>
      </c>
      <c r="E20" s="1">
        <v>1</v>
      </c>
      <c r="F20" s="1">
        <v>0</v>
      </c>
      <c r="J20" s="24"/>
      <c r="K20" s="24"/>
      <c r="L20" s="24"/>
      <c r="M20" s="24">
        <f>713/753*773</f>
        <v>731.93758300132811</v>
      </c>
      <c r="N20" s="24">
        <f>1210/1169*N18</f>
        <v>1153.071000855432</v>
      </c>
      <c r="O20" s="24"/>
      <c r="P20" s="24"/>
      <c r="Q20" s="24"/>
      <c r="R20" s="24"/>
      <c r="S20" s="24"/>
      <c r="T20" s="24">
        <v>773</v>
      </c>
      <c r="U20" s="24"/>
      <c r="V20" s="24"/>
      <c r="W20" s="25"/>
      <c r="X20" s="26">
        <v>0.75</v>
      </c>
      <c r="Y20" s="26"/>
      <c r="Z20" s="49">
        <v>6100</v>
      </c>
      <c r="AA20" s="25"/>
      <c r="AB20" s="24"/>
      <c r="AC20" s="26"/>
      <c r="AD20" s="24"/>
      <c r="AE20" s="26"/>
      <c r="AF20" s="1">
        <f t="shared" si="1"/>
        <v>8.3333333333333329E-2</v>
      </c>
      <c r="AG20" s="23"/>
      <c r="AH20" s="23"/>
      <c r="AI20" s="1">
        <v>1</v>
      </c>
      <c r="AK20" s="23"/>
      <c r="AL20" s="1">
        <v>1</v>
      </c>
      <c r="AM20" s="23"/>
      <c r="AN20" s="23"/>
      <c r="AO20" s="23">
        <v>2</v>
      </c>
      <c r="AP20" s="23"/>
      <c r="AQ20" s="23"/>
      <c r="AR20" s="23"/>
      <c r="AS20" s="1">
        <v>20</v>
      </c>
      <c r="AT20" s="1">
        <v>50</v>
      </c>
      <c r="AU20" s="1">
        <v>35</v>
      </c>
      <c r="AV20" s="24"/>
      <c r="AW20" s="24"/>
      <c r="AX20" s="7">
        <f>0.5*Umrechnungsfaktoren!$B$15/Umrechnungsfaktoren!$B$13</f>
        <v>0.5164179104477612</v>
      </c>
      <c r="AY20" s="7">
        <v>0</v>
      </c>
      <c r="AZ20" s="7">
        <f>392*Umrechnungsfaktoren!$B$15/Umrechnungsfaktoren!$B$13</f>
        <v>404.87164179104474</v>
      </c>
      <c r="BA20" s="27"/>
      <c r="BB20" s="27"/>
      <c r="BC20" s="27">
        <f>0.05*Umrechnungsfaktoren!$B$15/Umrechnungsfaktoren!$B$13</f>
        <v>5.164179104477612E-2</v>
      </c>
      <c r="BD20" s="27"/>
      <c r="BE20" s="23"/>
      <c r="BF20" s="23"/>
      <c r="BG20" s="1">
        <v>213</v>
      </c>
      <c r="BH20" s="1">
        <v>214</v>
      </c>
      <c r="BI20" s="23"/>
      <c r="BJ20" s="12" t="s">
        <v>544</v>
      </c>
      <c r="BK20" s="12" t="s">
        <v>543</v>
      </c>
      <c r="BL20" s="28"/>
      <c r="BM20" s="12">
        <v>213</v>
      </c>
      <c r="BN20" s="28"/>
      <c r="BO20" s="12">
        <v>213</v>
      </c>
      <c r="BP20" s="28"/>
      <c r="BQ20" s="23"/>
      <c r="BR20" s="28"/>
      <c r="BS20" s="28"/>
      <c r="BT20" s="28">
        <v>242</v>
      </c>
      <c r="BU20" s="1">
        <v>213</v>
      </c>
      <c r="BV20" s="1">
        <v>213</v>
      </c>
      <c r="BW20" s="23"/>
      <c r="BX20" s="23"/>
      <c r="BY20" s="1">
        <v>213</v>
      </c>
      <c r="BZ20" s="1" t="s">
        <v>548</v>
      </c>
      <c r="CA20" s="1" t="s">
        <v>549</v>
      </c>
      <c r="CB20" s="1" t="s">
        <v>548</v>
      </c>
      <c r="CC20" s="23"/>
      <c r="CD20" s="23"/>
      <c r="CE20" s="23"/>
    </row>
    <row r="21" spans="1:83" x14ac:dyDescent="0.2">
      <c r="A21" s="1" t="s">
        <v>84</v>
      </c>
      <c r="B21" s="1" t="s">
        <v>129</v>
      </c>
      <c r="C21" s="1">
        <v>2030</v>
      </c>
      <c r="D21" s="1">
        <v>1</v>
      </c>
      <c r="E21" s="1">
        <v>1</v>
      </c>
      <c r="F21" s="1">
        <v>0</v>
      </c>
      <c r="J21" s="24"/>
      <c r="K21" s="24"/>
      <c r="L21" s="24"/>
      <c r="M21" s="24">
        <f>713/753*755</f>
        <v>714.89375830013284</v>
      </c>
      <c r="N21" s="24">
        <f>1172/1169*N18</f>
        <v>1116.8588537211292</v>
      </c>
      <c r="O21" s="24"/>
      <c r="P21" s="24"/>
      <c r="Q21" s="24"/>
      <c r="R21" s="24"/>
      <c r="S21" s="24"/>
      <c r="T21" s="24">
        <v>755</v>
      </c>
      <c r="U21" s="24"/>
      <c r="V21" s="24"/>
      <c r="W21" s="25"/>
      <c r="X21" s="26">
        <v>0.75</v>
      </c>
      <c r="Y21" s="26"/>
      <c r="Z21" s="49">
        <v>6100</v>
      </c>
      <c r="AA21" s="25"/>
      <c r="AB21" s="24"/>
      <c r="AC21" s="26"/>
      <c r="AD21" s="24"/>
      <c r="AE21" s="26"/>
      <c r="AF21" s="1">
        <f t="shared" si="1"/>
        <v>8.3333333333333329E-2</v>
      </c>
      <c r="AG21" s="23"/>
      <c r="AH21" s="23"/>
      <c r="AI21" s="1">
        <v>1</v>
      </c>
      <c r="AK21" s="23"/>
      <c r="AL21" s="1">
        <v>1</v>
      </c>
      <c r="AM21" s="23"/>
      <c r="AN21" s="23"/>
      <c r="AO21" s="23">
        <v>2</v>
      </c>
      <c r="AP21" s="23"/>
      <c r="AQ21" s="23"/>
      <c r="AR21" s="23"/>
      <c r="AS21" s="1">
        <v>20</v>
      </c>
      <c r="AT21" s="1">
        <v>50</v>
      </c>
      <c r="AU21" s="1">
        <v>35</v>
      </c>
      <c r="AV21" s="24"/>
      <c r="AW21" s="24"/>
      <c r="AX21" s="7">
        <f>0.5*Umrechnungsfaktoren!$B$15/Umrechnungsfaktoren!$B$13</f>
        <v>0.5164179104477612</v>
      </c>
      <c r="AY21" s="7">
        <v>0</v>
      </c>
      <c r="AZ21" s="7">
        <f>392*Umrechnungsfaktoren!$B$15/Umrechnungsfaktoren!$B$13</f>
        <v>404.87164179104474</v>
      </c>
      <c r="BA21" s="27"/>
      <c r="BB21" s="27"/>
      <c r="BC21" s="27">
        <f>0.05*Umrechnungsfaktoren!$B$15/Umrechnungsfaktoren!$B$13</f>
        <v>5.164179104477612E-2</v>
      </c>
      <c r="BD21" s="27"/>
      <c r="BE21" s="23"/>
      <c r="BF21" s="23"/>
      <c r="BG21" s="1">
        <v>213</v>
      </c>
      <c r="BH21" s="1">
        <v>214</v>
      </c>
      <c r="BI21" s="23"/>
      <c r="BJ21" s="12" t="s">
        <v>544</v>
      </c>
      <c r="BK21" s="12" t="s">
        <v>543</v>
      </c>
      <c r="BL21" s="28"/>
      <c r="BM21" s="12">
        <v>213</v>
      </c>
      <c r="BN21" s="28"/>
      <c r="BO21" s="12">
        <v>213</v>
      </c>
      <c r="BP21" s="28"/>
      <c r="BQ21" s="23"/>
      <c r="BR21" s="28"/>
      <c r="BS21" s="28"/>
      <c r="BT21" s="28">
        <v>242</v>
      </c>
      <c r="BU21" s="1">
        <v>213</v>
      </c>
      <c r="BV21" s="1">
        <v>213</v>
      </c>
      <c r="BW21" s="23"/>
      <c r="BX21" s="23"/>
      <c r="BY21" s="1">
        <v>213</v>
      </c>
      <c r="BZ21" s="1" t="s">
        <v>548</v>
      </c>
      <c r="CA21" s="1" t="s">
        <v>549</v>
      </c>
      <c r="CB21" s="1" t="s">
        <v>548</v>
      </c>
      <c r="CC21" s="23"/>
      <c r="CD21" s="23"/>
      <c r="CE21" s="23"/>
    </row>
    <row r="22" spans="1:83" x14ac:dyDescent="0.2">
      <c r="A22" s="1" t="s">
        <v>880</v>
      </c>
      <c r="B22" s="1" t="s">
        <v>129</v>
      </c>
      <c r="C22" s="1">
        <v>2015</v>
      </c>
      <c r="D22" s="1">
        <v>1</v>
      </c>
      <c r="E22" s="1">
        <v>1</v>
      </c>
      <c r="F22" s="1">
        <v>0</v>
      </c>
      <c r="G22" s="1">
        <f>0.722+1.657</f>
        <v>2.379</v>
      </c>
      <c r="J22" s="24"/>
      <c r="K22" s="24"/>
      <c r="L22" s="24"/>
      <c r="M22" s="24">
        <f>53+121-20</f>
        <v>154</v>
      </c>
      <c r="N22" s="24">
        <v>921</v>
      </c>
      <c r="O22" s="24"/>
      <c r="P22" s="24"/>
      <c r="Q22" s="24"/>
      <c r="R22" s="24"/>
      <c r="S22" s="24"/>
      <c r="T22" s="24">
        <v>174</v>
      </c>
      <c r="U22" s="24"/>
      <c r="V22" s="24"/>
      <c r="W22" s="25"/>
      <c r="X22" s="26">
        <v>0.4</v>
      </c>
      <c r="Y22" s="26"/>
      <c r="Z22" s="49">
        <v>5500</v>
      </c>
      <c r="AA22" s="25">
        <f>131+301</f>
        <v>432</v>
      </c>
      <c r="AB22" s="24"/>
      <c r="AC22" s="26"/>
      <c r="AD22" s="24"/>
      <c r="AE22" s="26"/>
      <c r="AF22" s="1">
        <f t="shared" si="1"/>
        <v>8.3333333333333329E-2</v>
      </c>
      <c r="AG22" s="23"/>
      <c r="AH22" s="23"/>
      <c r="AI22" s="1">
        <v>1</v>
      </c>
      <c r="AK22" s="23"/>
      <c r="AL22" s="1">
        <v>1</v>
      </c>
      <c r="AM22" s="23"/>
      <c r="AN22" s="23"/>
      <c r="AO22" s="23">
        <v>4</v>
      </c>
      <c r="AP22" s="23"/>
      <c r="AQ22" s="1" t="s">
        <v>538</v>
      </c>
      <c r="AR22" s="23"/>
      <c r="AS22" s="1">
        <v>20</v>
      </c>
      <c r="AT22" s="1">
        <v>50</v>
      </c>
      <c r="AU22" s="1">
        <v>35</v>
      </c>
      <c r="AV22" s="24"/>
      <c r="AW22" s="24"/>
      <c r="AX22" s="7">
        <f>0.5*Umrechnungsfaktoren!$B$15/Umrechnungsfaktoren!$B$13</f>
        <v>0.5164179104477612</v>
      </c>
      <c r="AY22" s="7">
        <v>0</v>
      </c>
      <c r="AZ22" s="7">
        <f>317*Umrechnungsfaktoren!$B$15/Umrechnungsfaktoren!$B$13</f>
        <v>327.40895522388058</v>
      </c>
      <c r="BA22" s="27"/>
      <c r="BB22" s="27"/>
      <c r="BC22" s="27">
        <f>0.05*Umrechnungsfaktoren!$B$15/Umrechnungsfaktoren!$B$13</f>
        <v>5.164179104477612E-2</v>
      </c>
      <c r="BD22" s="27"/>
      <c r="BE22" s="23"/>
      <c r="BF22" s="23"/>
      <c r="BG22" s="1">
        <v>213</v>
      </c>
      <c r="BH22" s="1">
        <v>214</v>
      </c>
      <c r="BI22" s="23"/>
      <c r="BJ22" s="12" t="s">
        <v>544</v>
      </c>
      <c r="BK22" s="12" t="s">
        <v>543</v>
      </c>
      <c r="BL22" s="28"/>
      <c r="BM22" s="12">
        <v>213</v>
      </c>
      <c r="BN22" s="28"/>
      <c r="BO22" s="12">
        <v>213</v>
      </c>
      <c r="BP22" s="28"/>
      <c r="BQ22" s="23"/>
      <c r="BR22" s="28"/>
      <c r="BS22" s="28"/>
      <c r="BT22" s="28">
        <v>242</v>
      </c>
      <c r="BU22" s="1">
        <v>213</v>
      </c>
      <c r="BV22" s="1">
        <v>213</v>
      </c>
      <c r="BW22" s="23"/>
      <c r="BX22" s="23">
        <v>212</v>
      </c>
      <c r="BY22" s="1">
        <v>213</v>
      </c>
      <c r="BZ22" s="1" t="s">
        <v>548</v>
      </c>
      <c r="CA22" s="1" t="s">
        <v>549</v>
      </c>
      <c r="CB22" s="1" t="s">
        <v>548</v>
      </c>
      <c r="CC22" s="23"/>
      <c r="CD22" s="23"/>
      <c r="CE22" s="23"/>
    </row>
    <row r="23" spans="1:83" x14ac:dyDescent="0.2">
      <c r="A23" s="1" t="s">
        <v>880</v>
      </c>
      <c r="B23" s="1" t="s">
        <v>129</v>
      </c>
      <c r="C23" s="1">
        <v>2020</v>
      </c>
      <c r="D23" s="1">
        <v>1</v>
      </c>
      <c r="E23" s="1">
        <v>1</v>
      </c>
      <c r="F23" s="1">
        <v>0</v>
      </c>
      <c r="J23" s="24"/>
      <c r="K23" s="24"/>
      <c r="L23" s="24"/>
      <c r="M23" s="24">
        <f>154/174*172</f>
        <v>152.22988505747128</v>
      </c>
      <c r="N23" s="24">
        <f>1040/1045*N22</f>
        <v>916.59330143540672</v>
      </c>
      <c r="O23" s="24"/>
      <c r="P23" s="24"/>
      <c r="Q23" s="24"/>
      <c r="R23" s="24"/>
      <c r="S23" s="24"/>
      <c r="T23" s="24">
        <v>172</v>
      </c>
      <c r="U23" s="24"/>
      <c r="V23" s="24"/>
      <c r="W23" s="25"/>
      <c r="X23" s="26">
        <v>0.4</v>
      </c>
      <c r="Y23" s="26"/>
      <c r="Z23" s="49">
        <v>5500</v>
      </c>
      <c r="AA23" s="25"/>
      <c r="AB23" s="24"/>
      <c r="AC23" s="26"/>
      <c r="AD23" s="24"/>
      <c r="AE23" s="26"/>
      <c r="AF23" s="1">
        <f t="shared" si="1"/>
        <v>8.3333333333333329E-2</v>
      </c>
      <c r="AG23" s="23"/>
      <c r="AH23" s="23"/>
      <c r="AI23" s="1">
        <v>1</v>
      </c>
      <c r="AK23" s="23"/>
      <c r="AL23" s="1">
        <v>1</v>
      </c>
      <c r="AM23" s="23"/>
      <c r="AN23" s="23"/>
      <c r="AO23" s="23">
        <v>4</v>
      </c>
      <c r="AP23" s="23"/>
      <c r="AR23" s="23"/>
      <c r="AS23" s="1">
        <v>20</v>
      </c>
      <c r="AT23" s="1">
        <v>50</v>
      </c>
      <c r="AU23" s="1">
        <v>35</v>
      </c>
      <c r="AV23" s="24"/>
      <c r="AW23" s="24"/>
      <c r="AX23" s="7">
        <f>0.5*Umrechnungsfaktoren!$B$15/Umrechnungsfaktoren!$B$13</f>
        <v>0.5164179104477612</v>
      </c>
      <c r="AY23" s="7">
        <v>0</v>
      </c>
      <c r="AZ23" s="7">
        <f>317*Umrechnungsfaktoren!$B$15/Umrechnungsfaktoren!$B$13</f>
        <v>327.40895522388058</v>
      </c>
      <c r="BA23" s="27"/>
      <c r="BB23" s="27"/>
      <c r="BC23" s="27">
        <f>0.05*Umrechnungsfaktoren!$B$15/Umrechnungsfaktoren!$B$13</f>
        <v>5.164179104477612E-2</v>
      </c>
      <c r="BD23" s="27"/>
      <c r="BE23" s="23"/>
      <c r="BF23" s="23"/>
      <c r="BG23" s="1">
        <v>213</v>
      </c>
      <c r="BH23" s="1">
        <v>214</v>
      </c>
      <c r="BI23" s="23"/>
      <c r="BJ23" s="12" t="s">
        <v>544</v>
      </c>
      <c r="BK23" s="12" t="s">
        <v>543</v>
      </c>
      <c r="BL23" s="28"/>
      <c r="BM23" s="12">
        <v>213</v>
      </c>
      <c r="BN23" s="28"/>
      <c r="BO23" s="12">
        <v>213</v>
      </c>
      <c r="BP23" s="28"/>
      <c r="BQ23" s="23"/>
      <c r="BR23" s="28"/>
      <c r="BS23" s="28"/>
      <c r="BT23" s="28">
        <v>242</v>
      </c>
      <c r="BU23" s="1">
        <v>213</v>
      </c>
      <c r="BV23" s="1">
        <v>213</v>
      </c>
      <c r="BW23" s="23"/>
      <c r="BX23" s="23">
        <v>212</v>
      </c>
      <c r="BY23" s="1">
        <v>213</v>
      </c>
      <c r="BZ23" s="1" t="s">
        <v>548</v>
      </c>
      <c r="CA23" s="1" t="s">
        <v>549</v>
      </c>
      <c r="CB23" s="1" t="s">
        <v>548</v>
      </c>
      <c r="CC23" s="23"/>
      <c r="CD23" s="23"/>
      <c r="CE23" s="23"/>
    </row>
    <row r="24" spans="1:83" x14ac:dyDescent="0.2">
      <c r="A24" s="1" t="s">
        <v>880</v>
      </c>
      <c r="B24" s="1" t="s">
        <v>129</v>
      </c>
      <c r="C24" s="1">
        <v>2025</v>
      </c>
      <c r="D24" s="1">
        <v>1</v>
      </c>
      <c r="E24" s="1">
        <v>1</v>
      </c>
      <c r="F24" s="1">
        <v>0</v>
      </c>
      <c r="J24" s="24"/>
      <c r="K24" s="24"/>
      <c r="L24" s="24"/>
      <c r="M24" s="24">
        <f>154/174*171</f>
        <v>151.34482758620689</v>
      </c>
      <c r="N24" s="24">
        <f>1033/1045*N22</f>
        <v>910.42392344497603</v>
      </c>
      <c r="O24" s="24"/>
      <c r="P24" s="24"/>
      <c r="Q24" s="24"/>
      <c r="R24" s="24"/>
      <c r="S24" s="24"/>
      <c r="T24" s="24">
        <v>171</v>
      </c>
      <c r="U24" s="24"/>
      <c r="V24" s="24"/>
      <c r="W24" s="25"/>
      <c r="X24" s="26">
        <v>0.4</v>
      </c>
      <c r="Y24" s="26"/>
      <c r="Z24" s="49">
        <v>5500</v>
      </c>
      <c r="AA24" s="25"/>
      <c r="AB24" s="24"/>
      <c r="AC24" s="26"/>
      <c r="AD24" s="24"/>
      <c r="AE24" s="26"/>
      <c r="AF24" s="1">
        <f t="shared" si="1"/>
        <v>8.3333333333333329E-2</v>
      </c>
      <c r="AG24" s="23"/>
      <c r="AH24" s="23"/>
      <c r="AI24" s="1">
        <v>1</v>
      </c>
      <c r="AK24" s="23"/>
      <c r="AL24" s="1">
        <v>1</v>
      </c>
      <c r="AM24" s="23"/>
      <c r="AN24" s="23"/>
      <c r="AO24" s="23">
        <v>4</v>
      </c>
      <c r="AP24" s="23"/>
      <c r="AR24" s="23"/>
      <c r="AS24" s="1">
        <v>20</v>
      </c>
      <c r="AT24" s="1">
        <v>50</v>
      </c>
      <c r="AU24" s="1">
        <v>35</v>
      </c>
      <c r="AV24" s="24"/>
      <c r="AW24" s="24"/>
      <c r="AX24" s="7">
        <f>0.5*Umrechnungsfaktoren!$B$15/Umrechnungsfaktoren!$B$13</f>
        <v>0.5164179104477612</v>
      </c>
      <c r="AY24" s="7">
        <v>0</v>
      </c>
      <c r="AZ24" s="7">
        <f>317*Umrechnungsfaktoren!$B$15/Umrechnungsfaktoren!$B$13</f>
        <v>327.40895522388058</v>
      </c>
      <c r="BA24" s="27"/>
      <c r="BB24" s="27"/>
      <c r="BC24" s="27">
        <f>0.05*Umrechnungsfaktoren!$B$15/Umrechnungsfaktoren!$B$13</f>
        <v>5.164179104477612E-2</v>
      </c>
      <c r="BD24" s="27"/>
      <c r="BE24" s="23"/>
      <c r="BF24" s="23"/>
      <c r="BG24" s="1">
        <v>213</v>
      </c>
      <c r="BH24" s="1">
        <v>214</v>
      </c>
      <c r="BI24" s="23"/>
      <c r="BJ24" s="12" t="s">
        <v>544</v>
      </c>
      <c r="BK24" s="12" t="s">
        <v>543</v>
      </c>
      <c r="BL24" s="28"/>
      <c r="BM24" s="12">
        <v>213</v>
      </c>
      <c r="BN24" s="28"/>
      <c r="BO24" s="12">
        <v>213</v>
      </c>
      <c r="BP24" s="28"/>
      <c r="BQ24" s="23"/>
      <c r="BR24" s="28"/>
      <c r="BS24" s="28"/>
      <c r="BT24" s="28">
        <v>242</v>
      </c>
      <c r="BU24" s="1">
        <v>213</v>
      </c>
      <c r="BV24" s="1">
        <v>213</v>
      </c>
      <c r="BW24" s="23"/>
      <c r="BX24" s="23">
        <v>212</v>
      </c>
      <c r="BY24" s="1">
        <v>213</v>
      </c>
      <c r="BZ24" s="1" t="s">
        <v>548</v>
      </c>
      <c r="CA24" s="1" t="s">
        <v>549</v>
      </c>
      <c r="CB24" s="1" t="s">
        <v>548</v>
      </c>
      <c r="CC24" s="23"/>
      <c r="CD24" s="23"/>
      <c r="CE24" s="23"/>
    </row>
    <row r="25" spans="1:83" x14ac:dyDescent="0.2">
      <c r="A25" s="1" t="s">
        <v>880</v>
      </c>
      <c r="B25" s="1" t="s">
        <v>129</v>
      </c>
      <c r="C25" s="1">
        <v>2030</v>
      </c>
      <c r="D25" s="1">
        <v>1</v>
      </c>
      <c r="E25" s="1">
        <v>1</v>
      </c>
      <c r="F25" s="1">
        <v>0</v>
      </c>
      <c r="J25" s="24"/>
      <c r="K25" s="24"/>
      <c r="L25" s="24"/>
      <c r="M25" s="24">
        <f>154/174*169</f>
        <v>149.57471264367817</v>
      </c>
      <c r="N25" s="24">
        <f>1023/1045*N22</f>
        <v>901.61052631578957</v>
      </c>
      <c r="O25" s="24"/>
      <c r="P25" s="24"/>
      <c r="Q25" s="24"/>
      <c r="R25" s="24"/>
      <c r="S25" s="24"/>
      <c r="T25" s="24">
        <v>169</v>
      </c>
      <c r="U25" s="24"/>
      <c r="V25" s="24"/>
      <c r="W25" s="25"/>
      <c r="X25" s="26">
        <v>0.4</v>
      </c>
      <c r="Y25" s="26"/>
      <c r="Z25" s="49">
        <v>5500</v>
      </c>
      <c r="AA25" s="25"/>
      <c r="AB25" s="24"/>
      <c r="AC25" s="26"/>
      <c r="AD25" s="24"/>
      <c r="AE25" s="26"/>
      <c r="AF25" s="1">
        <f t="shared" si="1"/>
        <v>8.3333333333333329E-2</v>
      </c>
      <c r="AG25" s="23"/>
      <c r="AH25" s="23"/>
      <c r="AI25" s="1">
        <v>1</v>
      </c>
      <c r="AK25" s="23"/>
      <c r="AL25" s="1">
        <v>1</v>
      </c>
      <c r="AM25" s="23"/>
      <c r="AN25" s="23"/>
      <c r="AO25" s="23">
        <v>4</v>
      </c>
      <c r="AP25" s="23"/>
      <c r="AR25" s="23"/>
      <c r="AS25" s="1">
        <v>20</v>
      </c>
      <c r="AT25" s="1">
        <v>50</v>
      </c>
      <c r="AU25" s="1">
        <v>35</v>
      </c>
      <c r="AV25" s="24"/>
      <c r="AW25" s="24"/>
      <c r="AX25" s="7">
        <f>0.5*Umrechnungsfaktoren!$B$15/Umrechnungsfaktoren!$B$13</f>
        <v>0.5164179104477612</v>
      </c>
      <c r="AY25" s="7">
        <v>0</v>
      </c>
      <c r="AZ25" s="7">
        <f>317*Umrechnungsfaktoren!$B$15/Umrechnungsfaktoren!$B$13</f>
        <v>327.40895522388058</v>
      </c>
      <c r="BA25" s="27"/>
      <c r="BB25" s="27"/>
      <c r="BC25" s="27">
        <f>0.05*Umrechnungsfaktoren!$B$15/Umrechnungsfaktoren!$B$13</f>
        <v>5.164179104477612E-2</v>
      </c>
      <c r="BD25" s="27"/>
      <c r="BE25" s="23"/>
      <c r="BF25" s="23"/>
      <c r="BG25" s="1">
        <v>213</v>
      </c>
      <c r="BH25" s="1">
        <v>214</v>
      </c>
      <c r="BI25" s="23"/>
      <c r="BJ25" s="12" t="s">
        <v>544</v>
      </c>
      <c r="BK25" s="12" t="s">
        <v>543</v>
      </c>
      <c r="BL25" s="28"/>
      <c r="BM25" s="12">
        <v>213</v>
      </c>
      <c r="BN25" s="28"/>
      <c r="BO25" s="12">
        <v>213</v>
      </c>
      <c r="BP25" s="28"/>
      <c r="BQ25" s="23"/>
      <c r="BR25" s="28"/>
      <c r="BS25" s="28"/>
      <c r="BT25" s="28">
        <v>242</v>
      </c>
      <c r="BU25" s="1">
        <v>213</v>
      </c>
      <c r="BV25" s="1">
        <v>213</v>
      </c>
      <c r="BW25" s="23"/>
      <c r="BX25" s="23">
        <v>212</v>
      </c>
      <c r="BY25" s="1">
        <v>213</v>
      </c>
      <c r="BZ25" s="1" t="s">
        <v>548</v>
      </c>
      <c r="CA25" s="1" t="s">
        <v>549</v>
      </c>
      <c r="CB25" s="1" t="s">
        <v>548</v>
      </c>
      <c r="CC25" s="23"/>
      <c r="CD25" s="23"/>
      <c r="CE25" s="23"/>
    </row>
    <row r="26" spans="1:83" x14ac:dyDescent="0.2">
      <c r="A26" s="1" t="s">
        <v>209</v>
      </c>
      <c r="B26" s="1" t="s">
        <v>129</v>
      </c>
      <c r="C26" s="1">
        <v>2015</v>
      </c>
      <c r="D26" s="1">
        <v>1</v>
      </c>
      <c r="E26" s="1">
        <v>0</v>
      </c>
      <c r="F26" s="1">
        <v>0</v>
      </c>
      <c r="J26" s="18"/>
      <c r="K26" s="18"/>
      <c r="L26" s="18"/>
      <c r="M26" s="18">
        <v>1000</v>
      </c>
      <c r="N26" s="18"/>
      <c r="O26" s="18"/>
      <c r="P26" s="18"/>
      <c r="Q26" s="18"/>
      <c r="R26" s="18"/>
      <c r="S26" s="18"/>
      <c r="T26" s="18">
        <v>1250</v>
      </c>
      <c r="U26" s="18"/>
      <c r="V26" s="18"/>
      <c r="W26" s="19"/>
      <c r="X26" s="8"/>
      <c r="Y26" s="8"/>
      <c r="Z26" s="48"/>
      <c r="AA26" s="19"/>
      <c r="AB26" s="18"/>
      <c r="AC26" s="8"/>
      <c r="AD26" s="18"/>
      <c r="AE26" s="8"/>
      <c r="AV26" s="18"/>
      <c r="AW26" s="18"/>
      <c r="AX26" s="24">
        <f>6.2*Umrechnungsfaktoren!$B$15/Umrechnungsfaktoren!$B$13</f>
        <v>6.4035820895522386</v>
      </c>
      <c r="AY26" s="7"/>
      <c r="AZ26" s="7"/>
      <c r="BA26" s="7"/>
      <c r="BB26" s="7"/>
      <c r="BC26" s="7"/>
      <c r="BD26" s="7"/>
      <c r="BE26" s="24">
        <f>3000*Umrechnungsfaktoren!$B$15/Umrechnungsfaktoren!$B$13</f>
        <v>3098.5074626865671</v>
      </c>
      <c r="BJ26" s="12"/>
      <c r="BL26" s="12"/>
      <c r="BM26" s="12"/>
      <c r="BN26" s="12"/>
      <c r="BO26" s="12"/>
      <c r="BP26" s="12"/>
      <c r="BR26" s="12"/>
      <c r="BS26" s="12"/>
      <c r="BT26" s="12"/>
      <c r="BZ26" s="1" t="s">
        <v>547</v>
      </c>
      <c r="CC26" s="1">
        <v>244</v>
      </c>
    </row>
    <row r="27" spans="1:83" x14ac:dyDescent="0.2">
      <c r="A27" s="1" t="s">
        <v>209</v>
      </c>
      <c r="B27" s="1" t="s">
        <v>129</v>
      </c>
      <c r="C27" s="1">
        <v>2020</v>
      </c>
      <c r="D27" s="1">
        <v>1</v>
      </c>
      <c r="E27" s="1">
        <v>0</v>
      </c>
      <c r="F27" s="1"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  <c r="X27" s="8"/>
      <c r="Y27" s="8">
        <f>600/8760</f>
        <v>6.8493150684931503E-2</v>
      </c>
      <c r="Z27" s="48"/>
      <c r="AA27" s="19"/>
      <c r="AB27" s="18"/>
      <c r="AC27" s="8"/>
      <c r="AD27" s="18"/>
      <c r="AE27" s="8"/>
      <c r="AV27" s="18"/>
      <c r="AW27" s="18"/>
      <c r="AX27" s="24">
        <v>5.6</v>
      </c>
      <c r="AY27" s="7"/>
      <c r="AZ27" s="7"/>
      <c r="BA27" s="7"/>
      <c r="BB27" s="7"/>
      <c r="BC27" s="7"/>
      <c r="BD27" s="7"/>
      <c r="BE27" s="24">
        <f>2550*Umrechnungsfaktoren!$B$15/Umrechnungsfaktoren!$B$13</f>
        <v>2633.7313432835822</v>
      </c>
      <c r="BJ27" s="12"/>
      <c r="BL27" s="12"/>
      <c r="BM27" s="12"/>
      <c r="BN27" s="12"/>
      <c r="BO27" s="12"/>
      <c r="BP27" s="12"/>
      <c r="BR27" s="12"/>
      <c r="BS27" s="12"/>
      <c r="BT27" s="12"/>
      <c r="BZ27" s="1" t="s">
        <v>547</v>
      </c>
      <c r="CC27" s="1">
        <v>244</v>
      </c>
    </row>
    <row r="28" spans="1:83" x14ac:dyDescent="0.2">
      <c r="A28" s="1" t="s">
        <v>209</v>
      </c>
      <c r="B28" s="1" t="s">
        <v>129</v>
      </c>
      <c r="C28" s="1">
        <v>2025</v>
      </c>
      <c r="D28" s="1">
        <v>1</v>
      </c>
      <c r="E28" s="1">
        <v>0</v>
      </c>
      <c r="F28" s="1"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8"/>
      <c r="Y28" s="8">
        <f>600/8760</f>
        <v>6.8493150684931503E-2</v>
      </c>
      <c r="Z28" s="48"/>
      <c r="AA28" s="19"/>
      <c r="AB28" s="18"/>
      <c r="AC28" s="8"/>
      <c r="AD28" s="18"/>
      <c r="AE28" s="8"/>
      <c r="AV28" s="18"/>
      <c r="AW28" s="18"/>
      <c r="AX28" s="24">
        <v>5.3</v>
      </c>
      <c r="AY28" s="7"/>
      <c r="AZ28" s="7"/>
      <c r="BA28" s="7"/>
      <c r="BB28" s="7"/>
      <c r="BC28" s="7"/>
      <c r="BD28" s="7"/>
      <c r="BE28" s="24">
        <f>2100*Umrechnungsfaktoren!$B$15/Umrechnungsfaktoren!$B$13</f>
        <v>2168.9552238805968</v>
      </c>
      <c r="BJ28" s="12"/>
      <c r="BL28" s="12"/>
      <c r="BM28" s="12"/>
      <c r="BN28" s="12"/>
      <c r="BO28" s="12"/>
      <c r="BP28" s="12"/>
      <c r="BR28" s="12"/>
      <c r="BS28" s="12"/>
      <c r="BT28" s="12"/>
      <c r="BZ28" s="1" t="s">
        <v>547</v>
      </c>
      <c r="CC28" s="1">
        <v>244</v>
      </c>
    </row>
    <row r="29" spans="1:83" x14ac:dyDescent="0.2">
      <c r="A29" s="1" t="s">
        <v>209</v>
      </c>
      <c r="B29" s="1" t="s">
        <v>129</v>
      </c>
      <c r="C29" s="1">
        <v>2030</v>
      </c>
      <c r="D29" s="1">
        <v>1</v>
      </c>
      <c r="E29" s="1">
        <v>0</v>
      </c>
      <c r="F29" s="1"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8"/>
      <c r="Y29" s="8">
        <f>600/8760</f>
        <v>6.8493150684931503E-2</v>
      </c>
      <c r="Z29" s="48"/>
      <c r="AA29" s="19"/>
      <c r="AB29" s="18"/>
      <c r="AC29" s="8"/>
      <c r="AD29" s="18"/>
      <c r="AE29" s="8"/>
      <c r="AV29" s="18"/>
      <c r="AW29" s="18"/>
      <c r="AX29" s="24">
        <v>4.9000000000000004</v>
      </c>
      <c r="AY29" s="7"/>
      <c r="AZ29" s="7"/>
      <c r="BA29" s="7"/>
      <c r="BB29" s="7"/>
      <c r="BC29" s="7"/>
      <c r="BD29" s="7"/>
      <c r="BE29" s="24">
        <f>1650*Umrechnungsfaktoren!$B$15/Umrechnungsfaktoren!$B$13</f>
        <v>1704.1791044776119</v>
      </c>
      <c r="BJ29" s="12"/>
      <c r="BL29" s="12"/>
      <c r="BM29" s="12"/>
      <c r="BN29" s="12"/>
      <c r="BO29" s="12"/>
      <c r="BP29" s="12"/>
      <c r="BR29" s="12"/>
      <c r="BS29" s="12"/>
      <c r="BT29" s="12"/>
      <c r="BZ29" s="1" t="s">
        <v>547</v>
      </c>
      <c r="CC29" s="1">
        <v>244</v>
      </c>
    </row>
    <row r="30" spans="1:83" x14ac:dyDescent="0.2">
      <c r="A30" s="1" t="s">
        <v>211</v>
      </c>
      <c r="B30" s="1" t="s">
        <v>129</v>
      </c>
      <c r="C30" s="1">
        <v>2015</v>
      </c>
      <c r="D30" s="1">
        <v>0</v>
      </c>
      <c r="E30" s="1">
        <v>1</v>
      </c>
      <c r="F30" s="1">
        <v>0</v>
      </c>
      <c r="J30" s="18"/>
      <c r="K30" s="18"/>
      <c r="L30" s="18"/>
      <c r="M30" s="18">
        <v>1000</v>
      </c>
      <c r="N30" s="18"/>
      <c r="O30" s="18"/>
      <c r="P30" s="18"/>
      <c r="Q30" s="18"/>
      <c r="R30" s="18"/>
      <c r="S30" s="18"/>
      <c r="T30" s="18"/>
      <c r="U30" s="18"/>
      <c r="V30" s="18"/>
      <c r="W30" s="19"/>
      <c r="X30" s="8"/>
      <c r="Y30" s="8"/>
      <c r="Z30" s="48"/>
      <c r="AA30" s="19"/>
      <c r="AB30" s="18"/>
      <c r="AC30" s="8"/>
      <c r="AD30" s="18"/>
      <c r="AE30" s="8"/>
      <c r="AG30" s="1">
        <v>0.25</v>
      </c>
      <c r="AH30" s="1">
        <v>2</v>
      </c>
      <c r="AI30" s="1">
        <v>0.5</v>
      </c>
      <c r="AV30" s="18"/>
      <c r="AW30" s="18"/>
      <c r="AX30" s="24">
        <f>6.2*Umrechnungsfaktoren!$B$15/Umrechnungsfaktoren!$B$13</f>
        <v>6.4035820895522386</v>
      </c>
      <c r="AY30" s="7"/>
      <c r="AZ30" s="7"/>
      <c r="BA30" s="7"/>
      <c r="BB30" s="7"/>
      <c r="BC30" s="7"/>
      <c r="BD30" s="7"/>
      <c r="BE30" s="24">
        <f>3000*Umrechnungsfaktoren!$B$15/Umrechnungsfaktoren!$B$13</f>
        <v>3098.5074626865671</v>
      </c>
      <c r="BJ30" s="12"/>
      <c r="BL30" s="12"/>
      <c r="BM30" s="12"/>
      <c r="BN30" s="12"/>
      <c r="BO30" s="12"/>
      <c r="BP30" s="12"/>
      <c r="BR30" s="12"/>
      <c r="BS30" s="12"/>
      <c r="BT30" s="12"/>
      <c r="BU30" s="1">
        <v>211</v>
      </c>
      <c r="BZ30" s="1" t="s">
        <v>547</v>
      </c>
      <c r="CC30" s="1">
        <v>244</v>
      </c>
    </row>
    <row r="31" spans="1:83" x14ac:dyDescent="0.2">
      <c r="A31" s="1" t="s">
        <v>211</v>
      </c>
      <c r="B31" s="1" t="s">
        <v>129</v>
      </c>
      <c r="C31" s="1">
        <v>2020</v>
      </c>
      <c r="D31" s="1">
        <v>0</v>
      </c>
      <c r="E31" s="1">
        <v>1</v>
      </c>
      <c r="F31" s="1"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8"/>
      <c r="Y31" s="8">
        <f>600/8760</f>
        <v>6.8493150684931503E-2</v>
      </c>
      <c r="Z31" s="48"/>
      <c r="AA31" s="19"/>
      <c r="AB31" s="18"/>
      <c r="AC31" s="8"/>
      <c r="AD31" s="18"/>
      <c r="AE31" s="8"/>
      <c r="AV31" s="18"/>
      <c r="AW31" s="18"/>
      <c r="AX31" s="24">
        <v>5.6</v>
      </c>
      <c r="AY31" s="7"/>
      <c r="AZ31" s="7"/>
      <c r="BA31" s="7"/>
      <c r="BB31" s="7"/>
      <c r="BC31" s="7"/>
      <c r="BD31" s="7"/>
      <c r="BE31" s="24">
        <f>2550*Umrechnungsfaktoren!$B$15/Umrechnungsfaktoren!$B$13</f>
        <v>2633.7313432835822</v>
      </c>
      <c r="BJ31" s="12"/>
      <c r="BL31" s="12"/>
      <c r="BM31" s="12"/>
      <c r="BN31" s="12"/>
      <c r="BO31" s="12"/>
      <c r="BP31" s="12"/>
      <c r="BR31" s="12"/>
      <c r="BS31" s="12"/>
      <c r="BT31" s="12"/>
      <c r="BZ31" s="1" t="s">
        <v>547</v>
      </c>
      <c r="CC31" s="1">
        <v>244</v>
      </c>
    </row>
    <row r="32" spans="1:83" x14ac:dyDescent="0.2">
      <c r="A32" s="1" t="s">
        <v>211</v>
      </c>
      <c r="B32" s="1" t="s">
        <v>129</v>
      </c>
      <c r="C32" s="1">
        <v>2025</v>
      </c>
      <c r="D32" s="1">
        <v>0</v>
      </c>
      <c r="E32" s="1">
        <v>1</v>
      </c>
      <c r="F32" s="1"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8"/>
      <c r="Y32" s="8">
        <f>600/8760</f>
        <v>6.8493150684931503E-2</v>
      </c>
      <c r="Z32" s="48"/>
      <c r="AA32" s="19"/>
      <c r="AB32" s="18"/>
      <c r="AC32" s="8"/>
      <c r="AD32" s="18"/>
      <c r="AE32" s="8"/>
      <c r="AV32" s="18"/>
      <c r="AW32" s="18"/>
      <c r="AX32" s="24">
        <v>5.3</v>
      </c>
      <c r="AY32" s="7"/>
      <c r="AZ32" s="7"/>
      <c r="BA32" s="7"/>
      <c r="BB32" s="7"/>
      <c r="BC32" s="7"/>
      <c r="BD32" s="7"/>
      <c r="BE32" s="24">
        <f>2100*Umrechnungsfaktoren!$B$15/Umrechnungsfaktoren!$B$13</f>
        <v>2168.9552238805968</v>
      </c>
      <c r="BJ32" s="12"/>
      <c r="BL32" s="12"/>
      <c r="BM32" s="12"/>
      <c r="BN32" s="12"/>
      <c r="BO32" s="12"/>
      <c r="BP32" s="12"/>
      <c r="BR32" s="12"/>
      <c r="BS32" s="12"/>
      <c r="BT32" s="12"/>
      <c r="BZ32" s="1" t="s">
        <v>547</v>
      </c>
      <c r="CC32" s="1">
        <v>244</v>
      </c>
    </row>
    <row r="33" spans="1:81" x14ac:dyDescent="0.2">
      <c r="A33" s="1" t="s">
        <v>211</v>
      </c>
      <c r="B33" s="1" t="s">
        <v>129</v>
      </c>
      <c r="C33" s="1">
        <v>2030</v>
      </c>
      <c r="D33" s="1">
        <v>0</v>
      </c>
      <c r="E33" s="1">
        <v>1</v>
      </c>
      <c r="F33" s="1"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8"/>
      <c r="Y33" s="8">
        <f>600/8760</f>
        <v>6.8493150684931503E-2</v>
      </c>
      <c r="Z33" s="48"/>
      <c r="AA33" s="19"/>
      <c r="AB33" s="18"/>
      <c r="AC33" s="8"/>
      <c r="AD33" s="18"/>
      <c r="AE33" s="8"/>
      <c r="AV33" s="18"/>
      <c r="AW33" s="18"/>
      <c r="AX33" s="24">
        <v>4.9000000000000004</v>
      </c>
      <c r="AY33" s="7"/>
      <c r="AZ33" s="7"/>
      <c r="BA33" s="7"/>
      <c r="BB33" s="7"/>
      <c r="BC33" s="7"/>
      <c r="BD33" s="7"/>
      <c r="BE33" s="24">
        <f>1650*Umrechnungsfaktoren!$B$15/Umrechnungsfaktoren!$B$13</f>
        <v>1704.1791044776119</v>
      </c>
      <c r="BJ33" s="12"/>
      <c r="BL33" s="12"/>
      <c r="BM33" s="12"/>
      <c r="BN33" s="12"/>
      <c r="BO33" s="12"/>
      <c r="BP33" s="12"/>
      <c r="BR33" s="12"/>
      <c r="BS33" s="12"/>
      <c r="BT33" s="12"/>
      <c r="BZ33" s="1" t="s">
        <v>547</v>
      </c>
      <c r="CC33" s="1">
        <v>244</v>
      </c>
    </row>
    <row r="34" spans="1:81" x14ac:dyDescent="0.2">
      <c r="A34" s="1" t="s">
        <v>222</v>
      </c>
      <c r="B34" s="1" t="s">
        <v>129</v>
      </c>
      <c r="C34" s="1">
        <v>2015</v>
      </c>
      <c r="D34" s="1">
        <v>1</v>
      </c>
      <c r="E34" s="1">
        <v>0</v>
      </c>
      <c r="F34" s="1">
        <v>0</v>
      </c>
      <c r="J34" s="18"/>
      <c r="K34" s="18"/>
      <c r="L34" s="18"/>
      <c r="M34" s="18">
        <v>2000</v>
      </c>
      <c r="N34" s="18"/>
      <c r="O34" s="18"/>
      <c r="P34" s="18"/>
      <c r="Q34" s="18"/>
      <c r="R34" s="18"/>
      <c r="S34" s="18"/>
      <c r="T34" s="18">
        <v>2000</v>
      </c>
      <c r="U34" s="18"/>
      <c r="V34" s="18"/>
      <c r="W34" s="19"/>
      <c r="X34" s="8"/>
      <c r="Y34" s="8"/>
      <c r="Z34" s="48"/>
      <c r="AA34" s="19"/>
      <c r="AB34" s="18"/>
      <c r="AC34" s="8"/>
      <c r="AD34" s="18"/>
      <c r="AE34" s="8"/>
      <c r="AV34" s="18"/>
      <c r="AW34" s="18"/>
      <c r="AX34" s="24">
        <f>6.2*Umrechnungsfaktoren!$B$15/Umrechnungsfaktoren!$B$13</f>
        <v>6.4035820895522386</v>
      </c>
      <c r="AY34" s="7"/>
      <c r="AZ34" s="7"/>
      <c r="BA34" s="7"/>
      <c r="BB34" s="7"/>
      <c r="BC34" s="7"/>
      <c r="BD34" s="7"/>
      <c r="BE34" s="24">
        <f>3000*Umrechnungsfaktoren!$B$15/Umrechnungsfaktoren!$B$13</f>
        <v>3098.5074626865671</v>
      </c>
      <c r="BJ34" s="12"/>
      <c r="BL34" s="12"/>
      <c r="BM34" s="12"/>
      <c r="BN34" s="12"/>
      <c r="BO34" s="12"/>
      <c r="BP34" s="12"/>
      <c r="BR34" s="12"/>
      <c r="BS34" s="12"/>
      <c r="BT34" s="12"/>
      <c r="BZ34" s="1" t="s">
        <v>547</v>
      </c>
      <c r="CC34" s="1">
        <v>244</v>
      </c>
    </row>
    <row r="35" spans="1:81" x14ac:dyDescent="0.2">
      <c r="A35" s="1" t="s">
        <v>222</v>
      </c>
      <c r="B35" s="1" t="s">
        <v>129</v>
      </c>
      <c r="C35" s="1">
        <v>2020</v>
      </c>
      <c r="D35" s="1">
        <v>1</v>
      </c>
      <c r="E35" s="1">
        <v>0</v>
      </c>
      <c r="F35" s="1"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8"/>
      <c r="Y35" s="8">
        <f t="shared" ref="Y35:Y41" si="2">600/8760</f>
        <v>6.8493150684931503E-2</v>
      </c>
      <c r="Z35" s="48"/>
      <c r="AA35" s="19"/>
      <c r="AB35" s="18"/>
      <c r="AC35" s="8"/>
      <c r="AD35" s="18"/>
      <c r="AE35" s="8"/>
      <c r="AF35" s="1">
        <f>5/60</f>
        <v>8.3333333333333329E-2</v>
      </c>
      <c r="AV35" s="18"/>
      <c r="AW35" s="18"/>
      <c r="AX35" s="24">
        <v>5.6</v>
      </c>
      <c r="AY35" s="7"/>
      <c r="AZ35" s="7"/>
      <c r="BA35" s="7"/>
      <c r="BB35" s="7"/>
      <c r="BC35" s="7"/>
      <c r="BD35" s="7"/>
      <c r="BE35" s="24">
        <f>2550*Umrechnungsfaktoren!$B$15/Umrechnungsfaktoren!$B$13</f>
        <v>2633.7313432835822</v>
      </c>
      <c r="BJ35" s="12"/>
      <c r="BL35" s="12"/>
      <c r="BM35" s="12"/>
      <c r="BN35" s="12"/>
      <c r="BO35" s="12"/>
      <c r="BP35" s="12"/>
      <c r="BR35" s="12"/>
      <c r="BS35" s="12"/>
      <c r="BT35" s="12"/>
      <c r="BZ35" s="1" t="s">
        <v>547</v>
      </c>
      <c r="CC35" s="1">
        <v>244</v>
      </c>
    </row>
    <row r="36" spans="1:81" x14ac:dyDescent="0.2">
      <c r="A36" s="1" t="s">
        <v>222</v>
      </c>
      <c r="B36" s="1" t="s">
        <v>129</v>
      </c>
      <c r="C36" s="1">
        <v>2025</v>
      </c>
      <c r="D36" s="1">
        <v>1</v>
      </c>
      <c r="E36" s="1">
        <v>0</v>
      </c>
      <c r="F36" s="1"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8"/>
      <c r="Y36" s="8">
        <f t="shared" si="2"/>
        <v>6.8493150684931503E-2</v>
      </c>
      <c r="Z36" s="48"/>
      <c r="AA36" s="19"/>
      <c r="AB36" s="18"/>
      <c r="AC36" s="8"/>
      <c r="AD36" s="18"/>
      <c r="AE36" s="8"/>
      <c r="AF36" s="1">
        <f>5/60</f>
        <v>8.3333333333333329E-2</v>
      </c>
      <c r="AV36" s="18"/>
      <c r="AW36" s="18"/>
      <c r="AX36" s="24">
        <v>5.3</v>
      </c>
      <c r="AY36" s="7"/>
      <c r="AZ36" s="7"/>
      <c r="BA36" s="7"/>
      <c r="BB36" s="7"/>
      <c r="BC36" s="7"/>
      <c r="BD36" s="7"/>
      <c r="BE36" s="24">
        <f>2100*Umrechnungsfaktoren!$B$15/Umrechnungsfaktoren!$B$13</f>
        <v>2168.9552238805968</v>
      </c>
      <c r="BJ36" s="12"/>
      <c r="BL36" s="12"/>
      <c r="BM36" s="12"/>
      <c r="BN36" s="12"/>
      <c r="BO36" s="12"/>
      <c r="BP36" s="12"/>
      <c r="BR36" s="12"/>
      <c r="BS36" s="12"/>
      <c r="BT36" s="12"/>
      <c r="BZ36" s="1" t="s">
        <v>547</v>
      </c>
      <c r="CC36" s="1">
        <v>244</v>
      </c>
    </row>
    <row r="37" spans="1:81" x14ac:dyDescent="0.2">
      <c r="A37" s="1" t="s">
        <v>222</v>
      </c>
      <c r="B37" s="1" t="s">
        <v>129</v>
      </c>
      <c r="C37" s="1">
        <v>2030</v>
      </c>
      <c r="D37" s="1">
        <v>1</v>
      </c>
      <c r="E37" s="1">
        <v>0</v>
      </c>
      <c r="F37" s="1"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8"/>
      <c r="Y37" s="8">
        <f t="shared" si="2"/>
        <v>6.8493150684931503E-2</v>
      </c>
      <c r="Z37" s="48"/>
      <c r="AA37" s="19"/>
      <c r="AB37" s="18"/>
      <c r="AC37" s="8"/>
      <c r="AD37" s="18"/>
      <c r="AE37" s="8"/>
      <c r="AF37" s="1">
        <f>5/60</f>
        <v>8.3333333333333329E-2</v>
      </c>
      <c r="AV37" s="18"/>
      <c r="AW37" s="18"/>
      <c r="AX37" s="24">
        <v>4.9000000000000004</v>
      </c>
      <c r="AY37" s="7"/>
      <c r="AZ37" s="7"/>
      <c r="BA37" s="7"/>
      <c r="BB37" s="7"/>
      <c r="BC37" s="7"/>
      <c r="BD37" s="7"/>
      <c r="BE37" s="24">
        <f>1650*Umrechnungsfaktoren!$B$15/Umrechnungsfaktoren!$B$13</f>
        <v>1704.1791044776119</v>
      </c>
      <c r="BJ37" s="12"/>
      <c r="BL37" s="12"/>
      <c r="BM37" s="12"/>
      <c r="BN37" s="12"/>
      <c r="BO37" s="12"/>
      <c r="BP37" s="12"/>
      <c r="BR37" s="12"/>
      <c r="BS37" s="12"/>
      <c r="BT37" s="12"/>
      <c r="BZ37" s="1" t="s">
        <v>547</v>
      </c>
      <c r="CC37" s="1">
        <v>244</v>
      </c>
    </row>
    <row r="38" spans="1:81" x14ac:dyDescent="0.2">
      <c r="A38" s="1" t="s">
        <v>141</v>
      </c>
      <c r="B38" s="1" t="s">
        <v>142</v>
      </c>
      <c r="C38" s="1">
        <v>2010</v>
      </c>
      <c r="D38" s="1">
        <v>1</v>
      </c>
      <c r="E38" s="1">
        <v>0</v>
      </c>
      <c r="F38" s="1">
        <v>0</v>
      </c>
      <c r="G38" s="1">
        <v>13</v>
      </c>
      <c r="H38" s="1">
        <v>13</v>
      </c>
      <c r="I38" s="1">
        <v>13</v>
      </c>
      <c r="J38" s="18">
        <v>29</v>
      </c>
      <c r="K38" s="18">
        <v>0</v>
      </c>
      <c r="L38" s="18"/>
      <c r="M38" s="18">
        <v>9400</v>
      </c>
      <c r="N38" s="18"/>
      <c r="O38" s="18">
        <v>180</v>
      </c>
      <c r="P38" s="18"/>
      <c r="Q38" s="18">
        <v>0</v>
      </c>
      <c r="R38" s="18">
        <v>31</v>
      </c>
      <c r="S38" s="18"/>
      <c r="T38" s="18">
        <v>9400</v>
      </c>
      <c r="U38" s="18">
        <v>350</v>
      </c>
      <c r="V38" s="18"/>
      <c r="W38" s="19"/>
      <c r="X38" s="8"/>
      <c r="Y38" s="8">
        <f t="shared" si="2"/>
        <v>6.8493150684931503E-2</v>
      </c>
      <c r="Z38" s="48">
        <v>3000</v>
      </c>
      <c r="AA38" s="19"/>
      <c r="AB38" s="18"/>
      <c r="AC38" s="8"/>
      <c r="AD38" s="18"/>
      <c r="AE38" s="8">
        <v>1</v>
      </c>
      <c r="AF38" s="1">
        <f t="shared" ref="AF38:AF45" si="3">5/60</f>
        <v>8.3333333333333329E-2</v>
      </c>
      <c r="AG38" s="1">
        <v>0.5</v>
      </c>
      <c r="AH38" s="1">
        <v>3</v>
      </c>
      <c r="AJ38" s="1">
        <v>0.5</v>
      </c>
      <c r="AK38" s="1">
        <v>3</v>
      </c>
      <c r="AM38" s="1">
        <v>3</v>
      </c>
      <c r="AN38" s="1">
        <v>8</v>
      </c>
      <c r="AO38" s="1">
        <v>8</v>
      </c>
      <c r="AQ38" s="1" t="s">
        <v>515</v>
      </c>
      <c r="AV38" s="18"/>
      <c r="AW38" s="18"/>
      <c r="AX38" s="18"/>
      <c r="AY38" s="7"/>
      <c r="AZ38" s="7"/>
      <c r="BA38" s="7"/>
      <c r="BB38" s="7"/>
      <c r="BC38" s="7"/>
      <c r="BD38" s="7"/>
      <c r="BI38" s="1">
        <v>101</v>
      </c>
      <c r="BJ38" s="12" t="s">
        <v>521</v>
      </c>
      <c r="BK38" s="1" t="s">
        <v>520</v>
      </c>
      <c r="BL38" s="12"/>
      <c r="BM38" s="12"/>
      <c r="BN38" s="12">
        <v>111</v>
      </c>
      <c r="BO38" s="12">
        <v>111</v>
      </c>
      <c r="BP38" s="12">
        <v>111</v>
      </c>
      <c r="BR38" s="12"/>
      <c r="BS38" s="12">
        <v>111</v>
      </c>
      <c r="BT38" s="12">
        <v>111</v>
      </c>
      <c r="BU38" s="1" t="s">
        <v>516</v>
      </c>
      <c r="BV38" s="1" t="s">
        <v>519</v>
      </c>
      <c r="BX38" s="1" t="s">
        <v>523</v>
      </c>
      <c r="CB38" s="1" t="s">
        <v>518</v>
      </c>
      <c r="CC38" s="1" t="s">
        <v>518</v>
      </c>
    </row>
    <row r="39" spans="1:81" x14ac:dyDescent="0.2">
      <c r="A39" s="1" t="s">
        <v>141</v>
      </c>
      <c r="B39" s="1" t="s">
        <v>142</v>
      </c>
      <c r="C39" s="1">
        <v>2020</v>
      </c>
      <c r="D39" s="1">
        <v>1</v>
      </c>
      <c r="E39" s="1">
        <v>0</v>
      </c>
      <c r="F39" s="1">
        <v>0</v>
      </c>
      <c r="G39" s="1">
        <v>6</v>
      </c>
      <c r="H39" s="1">
        <v>11</v>
      </c>
      <c r="I39" s="1">
        <v>8</v>
      </c>
      <c r="J39" s="18">
        <f>Tabelle58971119[[#This Row],[Stromverbrauch in TWh]]/$I$38*$J$38</f>
        <v>17.846153846153847</v>
      </c>
      <c r="K39" s="18">
        <v>0</v>
      </c>
      <c r="L39" s="18"/>
      <c r="M39" s="18">
        <v>7300</v>
      </c>
      <c r="N39" s="18"/>
      <c r="O39" s="18">
        <f>Tabelle58971119[[#This Row],[Stromverbrauch in TWh]]/$I$38*$O$38</f>
        <v>110.76923076923077</v>
      </c>
      <c r="P39" s="18"/>
      <c r="Q39" s="18">
        <v>0</v>
      </c>
      <c r="R39" s="18">
        <f>Tabelle58971119[[#This Row],[Stromverbrauch in TWh]]/$I$38*$R$38</f>
        <v>19.076923076923077</v>
      </c>
      <c r="S39" s="18"/>
      <c r="T39" s="18">
        <v>7300</v>
      </c>
      <c r="U39" s="18">
        <f>Tabelle58971119[[#This Row],[Stromverbrauch in TWh]]/$I$38*$U$38</f>
        <v>215.38461538461539</v>
      </c>
      <c r="V39" s="18"/>
      <c r="W39" s="19"/>
      <c r="X39" s="8"/>
      <c r="Y39" s="8">
        <f t="shared" si="2"/>
        <v>6.8493150684931503E-2</v>
      </c>
      <c r="Z39" s="48">
        <v>3000</v>
      </c>
      <c r="AA39" s="19"/>
      <c r="AB39" s="18"/>
      <c r="AC39" s="8"/>
      <c r="AD39" s="18"/>
      <c r="AE39" s="8">
        <v>1</v>
      </c>
      <c r="AF39" s="1">
        <f t="shared" si="3"/>
        <v>8.3333333333333329E-2</v>
      </c>
      <c r="AG39" s="1">
        <v>0.5</v>
      </c>
      <c r="AH39" s="1">
        <v>3</v>
      </c>
      <c r="AJ39" s="1">
        <v>0.5</v>
      </c>
      <c r="AK39" s="1">
        <v>3</v>
      </c>
      <c r="AM39" s="1">
        <v>3</v>
      </c>
      <c r="AN39" s="1">
        <v>8</v>
      </c>
      <c r="AQ39" s="1" t="s">
        <v>515</v>
      </c>
      <c r="AV39" s="18"/>
      <c r="AW39" s="18"/>
      <c r="AX39" s="18"/>
      <c r="AY39" s="7"/>
      <c r="AZ39" s="7"/>
      <c r="BA39" s="7"/>
      <c r="BB39" s="7"/>
      <c r="BC39" s="7"/>
      <c r="BD39" s="7">
        <f>59*Umrechnungsfaktoren!$B$15/Umrechnungsfaktoren!$B$13</f>
        <v>60.937313432835815</v>
      </c>
      <c r="BE39" s="1">
        <f>310*Umrechnungsfaktoren!$B$15/Umrechnungsfaktoren!$B$13</f>
        <v>320.17910447761193</v>
      </c>
      <c r="BI39" s="1">
        <v>101</v>
      </c>
      <c r="BJ39" s="12">
        <v>112</v>
      </c>
      <c r="BK39" s="12">
        <v>112</v>
      </c>
      <c r="BL39" s="12"/>
      <c r="BM39" s="12"/>
      <c r="BN39" s="12">
        <v>111</v>
      </c>
      <c r="BO39" s="12">
        <v>111</v>
      </c>
      <c r="BP39" s="12">
        <v>111</v>
      </c>
      <c r="BR39" s="12"/>
      <c r="BS39" s="12">
        <v>111</v>
      </c>
      <c r="BT39" s="12">
        <v>111</v>
      </c>
      <c r="BU39" s="1" t="s">
        <v>516</v>
      </c>
      <c r="BV39" s="1" t="s">
        <v>519</v>
      </c>
      <c r="BX39" s="1" t="s">
        <v>523</v>
      </c>
      <c r="CB39" s="1">
        <v>111</v>
      </c>
      <c r="CC39" s="1">
        <v>111</v>
      </c>
    </row>
    <row r="40" spans="1:81" x14ac:dyDescent="0.2">
      <c r="A40" s="1" t="s">
        <v>141</v>
      </c>
      <c r="B40" s="1" t="s">
        <v>142</v>
      </c>
      <c r="C40" s="1">
        <v>2025</v>
      </c>
      <c r="D40" s="1">
        <v>1</v>
      </c>
      <c r="E40" s="1">
        <v>0</v>
      </c>
      <c r="F40" s="1">
        <v>0</v>
      </c>
      <c r="G40" s="1">
        <v>5</v>
      </c>
      <c r="H40" s="1">
        <v>10</v>
      </c>
      <c r="I40" s="1">
        <v>6</v>
      </c>
      <c r="J40" s="18">
        <f>Tabelle58971119[[#This Row],[Stromverbrauch in TWh]]/$I$38*$J$38</f>
        <v>13.384615384615385</v>
      </c>
      <c r="K40" s="18">
        <v>0</v>
      </c>
      <c r="L40" s="18"/>
      <c r="M40" s="18">
        <v>5600</v>
      </c>
      <c r="N40" s="18"/>
      <c r="O40" s="18">
        <f>Tabelle58971119[[#This Row],[Stromverbrauch in TWh]]/$I$38*$O$38</f>
        <v>83.07692307692308</v>
      </c>
      <c r="P40" s="18"/>
      <c r="Q40" s="18">
        <v>0</v>
      </c>
      <c r="R40" s="18">
        <f>Tabelle58971119[[#This Row],[Stromverbrauch in TWh]]/$I$38*$R$38</f>
        <v>14.307692307692308</v>
      </c>
      <c r="S40" s="18"/>
      <c r="T40" s="18">
        <v>5600</v>
      </c>
      <c r="U40" s="18">
        <f>Tabelle58971119[[#This Row],[Stromverbrauch in TWh]]/$I$38*$U$38</f>
        <v>161.53846153846155</v>
      </c>
      <c r="V40" s="18"/>
      <c r="W40" s="19"/>
      <c r="X40" s="8"/>
      <c r="Y40" s="8">
        <f t="shared" si="2"/>
        <v>6.8493150684931503E-2</v>
      </c>
      <c r="Z40" s="48">
        <v>3000</v>
      </c>
      <c r="AA40" s="19"/>
      <c r="AB40" s="18"/>
      <c r="AC40" s="8"/>
      <c r="AD40" s="18"/>
      <c r="AE40" s="8">
        <v>1</v>
      </c>
      <c r="AF40" s="1">
        <f t="shared" si="3"/>
        <v>8.3333333333333329E-2</v>
      </c>
      <c r="AG40" s="1">
        <v>0.5</v>
      </c>
      <c r="AH40" s="1">
        <v>3</v>
      </c>
      <c r="AJ40" s="1">
        <v>0.5</v>
      </c>
      <c r="AK40" s="1">
        <v>3</v>
      </c>
      <c r="AM40" s="1">
        <v>3</v>
      </c>
      <c r="AN40" s="1">
        <v>8</v>
      </c>
      <c r="AQ40" s="1" t="s">
        <v>515</v>
      </c>
      <c r="AV40" s="18"/>
      <c r="AW40" s="18"/>
      <c r="AX40" s="18"/>
      <c r="AY40" s="7"/>
      <c r="AZ40" s="7"/>
      <c r="BA40" s="7"/>
      <c r="BB40" s="7"/>
      <c r="BC40" s="7"/>
      <c r="BD40" s="7">
        <f>50*Umrechnungsfaktoren!$B$15/Umrechnungsfaktoren!$B$13</f>
        <v>51.64179104477612</v>
      </c>
      <c r="BE40" s="1">
        <f>265*Umrechnungsfaktoren!$B$15/Umrechnungsfaktoren!$B$13</f>
        <v>273.70149253731341</v>
      </c>
      <c r="BI40" s="1">
        <v>101</v>
      </c>
      <c r="BJ40" s="12">
        <v>112</v>
      </c>
      <c r="BK40" s="12">
        <v>112</v>
      </c>
      <c r="BL40" s="12"/>
      <c r="BM40" s="12"/>
      <c r="BN40" s="12">
        <v>111</v>
      </c>
      <c r="BO40" s="12">
        <v>111</v>
      </c>
      <c r="BP40" s="12">
        <v>111</v>
      </c>
      <c r="BR40" s="12"/>
      <c r="BS40" s="12">
        <v>111</v>
      </c>
      <c r="BT40" s="12">
        <v>111</v>
      </c>
      <c r="BU40" s="1" t="s">
        <v>516</v>
      </c>
      <c r="BV40" s="1" t="s">
        <v>519</v>
      </c>
      <c r="BX40" s="1" t="s">
        <v>523</v>
      </c>
      <c r="CB40" s="1">
        <v>111</v>
      </c>
      <c r="CC40" s="1">
        <v>111</v>
      </c>
    </row>
    <row r="41" spans="1:81" x14ac:dyDescent="0.2">
      <c r="A41" s="1" t="s">
        <v>141</v>
      </c>
      <c r="B41" s="1" t="s">
        <v>142</v>
      </c>
      <c r="C41" s="1">
        <v>2030</v>
      </c>
      <c r="D41" s="1">
        <v>1</v>
      </c>
      <c r="E41" s="1">
        <v>0</v>
      </c>
      <c r="F41" s="1">
        <v>0</v>
      </c>
      <c r="G41" s="1">
        <v>3</v>
      </c>
      <c r="H41" s="1">
        <v>10</v>
      </c>
      <c r="I41" s="1">
        <v>5</v>
      </c>
      <c r="J41" s="18">
        <f>Tabelle58971119[[#This Row],[Stromverbrauch in TWh]]/$I$38*$J$38</f>
        <v>11.153846153846155</v>
      </c>
      <c r="K41" s="18">
        <v>0</v>
      </c>
      <c r="L41" s="18"/>
      <c r="M41" s="18">
        <v>3900</v>
      </c>
      <c r="N41" s="18"/>
      <c r="O41" s="18">
        <f>Tabelle58971119[[#This Row],[Stromverbrauch in TWh]]/$I$38*$O$38</f>
        <v>69.230769230769241</v>
      </c>
      <c r="P41" s="18"/>
      <c r="Q41" s="18">
        <v>0</v>
      </c>
      <c r="R41" s="18">
        <f>Tabelle58971119[[#This Row],[Stromverbrauch in TWh]]/$I$38*$R$38</f>
        <v>11.923076923076923</v>
      </c>
      <c r="S41" s="18"/>
      <c r="T41" s="18">
        <v>3900</v>
      </c>
      <c r="U41" s="18">
        <f>Tabelle58971119[[#This Row],[Stromverbrauch in TWh]]/$I$38*$U$38</f>
        <v>134.61538461538461</v>
      </c>
      <c r="V41" s="18"/>
      <c r="W41" s="19"/>
      <c r="X41" s="8"/>
      <c r="Y41" s="8">
        <f t="shared" si="2"/>
        <v>6.8493150684931503E-2</v>
      </c>
      <c r="Z41" s="48">
        <v>3000</v>
      </c>
      <c r="AA41" s="19"/>
      <c r="AB41" s="18"/>
      <c r="AC41" s="8"/>
      <c r="AD41" s="18"/>
      <c r="AE41" s="8">
        <v>1</v>
      </c>
      <c r="AF41" s="1">
        <f t="shared" si="3"/>
        <v>8.3333333333333329E-2</v>
      </c>
      <c r="AG41" s="1">
        <v>2</v>
      </c>
      <c r="AH41" s="1">
        <v>30</v>
      </c>
      <c r="AJ41" s="1">
        <v>0.5</v>
      </c>
      <c r="AK41" s="1">
        <v>3</v>
      </c>
      <c r="AM41" s="1">
        <v>3</v>
      </c>
      <c r="AN41" s="1">
        <v>8</v>
      </c>
      <c r="AQ41" s="1" t="s">
        <v>515</v>
      </c>
      <c r="AV41" s="18"/>
      <c r="AW41" s="18"/>
      <c r="AX41" s="18"/>
      <c r="AY41" s="7"/>
      <c r="AZ41" s="7"/>
      <c r="BA41" s="7"/>
      <c r="BB41" s="7"/>
      <c r="BC41" s="7"/>
      <c r="BD41" s="7">
        <f>42*Umrechnungsfaktoren!$B$15/Umrechnungsfaktoren!$B$13</f>
        <v>43.379104477611939</v>
      </c>
      <c r="BE41" s="1">
        <f>220*Umrechnungsfaktoren!$B$15/Umrechnungsfaktoren!$B$13</f>
        <v>227.22388059701493</v>
      </c>
      <c r="BI41" s="1">
        <v>101</v>
      </c>
      <c r="BJ41" s="12" t="s">
        <v>521</v>
      </c>
      <c r="BK41" s="1" t="s">
        <v>520</v>
      </c>
      <c r="BL41" s="12"/>
      <c r="BM41" s="12"/>
      <c r="BN41" s="12">
        <v>111</v>
      </c>
      <c r="BO41" s="12">
        <v>111</v>
      </c>
      <c r="BP41" s="12">
        <v>111</v>
      </c>
      <c r="BR41" s="12"/>
      <c r="BS41" s="12">
        <v>111</v>
      </c>
      <c r="BT41" s="12">
        <v>111</v>
      </c>
      <c r="BU41" s="1" t="s">
        <v>516</v>
      </c>
      <c r="BV41" s="1" t="s">
        <v>519</v>
      </c>
      <c r="BX41" s="1" t="s">
        <v>523</v>
      </c>
      <c r="CB41" s="1" t="s">
        <v>525</v>
      </c>
      <c r="CC41" s="1" t="s">
        <v>525</v>
      </c>
    </row>
    <row r="42" spans="1:81" x14ac:dyDescent="0.2">
      <c r="A42" s="1" t="s">
        <v>137</v>
      </c>
      <c r="B42" s="1" t="s">
        <v>142</v>
      </c>
      <c r="C42" s="1">
        <v>2010</v>
      </c>
      <c r="D42" s="1">
        <v>1</v>
      </c>
      <c r="E42" s="1">
        <v>0</v>
      </c>
      <c r="F42" s="1">
        <v>0</v>
      </c>
      <c r="G42" s="1">
        <v>3.6</v>
      </c>
      <c r="H42" s="1">
        <v>3.6</v>
      </c>
      <c r="I42" s="1">
        <v>3.6</v>
      </c>
      <c r="J42" s="18">
        <v>660</v>
      </c>
      <c r="K42" s="18">
        <v>8</v>
      </c>
      <c r="L42" s="18"/>
      <c r="M42" s="18">
        <v>990</v>
      </c>
      <c r="N42" s="18"/>
      <c r="O42" s="18">
        <v>18</v>
      </c>
      <c r="P42" s="18"/>
      <c r="Q42" s="18">
        <v>0</v>
      </c>
      <c r="R42" s="18">
        <v>10</v>
      </c>
      <c r="S42" s="18"/>
      <c r="T42" s="18">
        <v>320</v>
      </c>
      <c r="U42" s="18">
        <v>120</v>
      </c>
      <c r="V42" s="18"/>
      <c r="W42" s="19"/>
      <c r="X42" s="8"/>
      <c r="Y42" s="8">
        <f>2000/8760</f>
        <v>0.22831050228310501</v>
      </c>
      <c r="Z42" s="48">
        <v>3000</v>
      </c>
      <c r="AA42" s="19"/>
      <c r="AB42" s="18"/>
      <c r="AC42" s="8"/>
      <c r="AD42" s="18"/>
      <c r="AE42" s="8">
        <v>1</v>
      </c>
      <c r="AF42" s="1">
        <f t="shared" si="3"/>
        <v>8.3333333333333329E-2</v>
      </c>
      <c r="AG42" s="1">
        <v>2</v>
      </c>
      <c r="AH42" s="1">
        <v>107</v>
      </c>
      <c r="AI42" s="1">
        <v>2</v>
      </c>
      <c r="AJ42" s="1">
        <v>2</v>
      </c>
      <c r="AL42" s="1">
        <v>3</v>
      </c>
      <c r="AM42" s="1">
        <v>3</v>
      </c>
      <c r="AN42" s="1">
        <v>67</v>
      </c>
      <c r="AQ42" s="1" t="s">
        <v>514</v>
      </c>
      <c r="AV42" s="18"/>
      <c r="AW42" s="18"/>
      <c r="AX42" s="18"/>
      <c r="AY42" s="7"/>
      <c r="AZ42" s="7"/>
      <c r="BA42" s="7"/>
      <c r="BB42" s="7"/>
      <c r="BC42" s="7"/>
      <c r="BD42" s="7"/>
      <c r="BI42" s="1">
        <v>102</v>
      </c>
      <c r="BJ42" s="12">
        <v>112</v>
      </c>
      <c r="BK42" s="1">
        <v>112</v>
      </c>
      <c r="BL42" s="12"/>
      <c r="BM42" s="12"/>
      <c r="BN42" s="12">
        <v>112</v>
      </c>
      <c r="BO42" s="12">
        <v>112</v>
      </c>
      <c r="BP42" s="12">
        <v>112</v>
      </c>
      <c r="BR42" s="12"/>
      <c r="BS42" s="12">
        <v>112</v>
      </c>
      <c r="BT42" s="12">
        <v>112</v>
      </c>
      <c r="BU42" s="1" t="s">
        <v>522</v>
      </c>
      <c r="BV42" s="1" t="s">
        <v>520</v>
      </c>
      <c r="BX42" s="1" t="s">
        <v>524</v>
      </c>
      <c r="CB42" s="1">
        <v>112</v>
      </c>
      <c r="CC42" s="1">
        <v>112</v>
      </c>
    </row>
    <row r="43" spans="1:81" x14ac:dyDescent="0.2">
      <c r="A43" s="1" t="s">
        <v>137</v>
      </c>
      <c r="B43" s="1" t="s">
        <v>142</v>
      </c>
      <c r="C43" s="1">
        <v>2020</v>
      </c>
      <c r="D43" s="1">
        <v>1</v>
      </c>
      <c r="E43" s="1">
        <v>0</v>
      </c>
      <c r="F43" s="1">
        <v>0</v>
      </c>
      <c r="G43" s="1">
        <v>3.6</v>
      </c>
      <c r="H43" s="1">
        <v>7.8</v>
      </c>
      <c r="I43" s="1">
        <v>6.3</v>
      </c>
      <c r="J43" s="18">
        <f>Tabelle58971119[[#This Row],[Stromverbrauch in TWh]]/$I$42*$J$42</f>
        <v>1155</v>
      </c>
      <c r="K43" s="18">
        <f>Tabelle58971119[[#This Row],[Stromverbrauch in TWh]]/$I$42*$K$42</f>
        <v>14</v>
      </c>
      <c r="L43" s="18"/>
      <c r="M43" s="18">
        <v>1500</v>
      </c>
      <c r="N43" s="18"/>
      <c r="O43" s="18">
        <f>Tabelle58971119[[#This Row],[Stromverbrauch in TWh]]/$I$42*$O$42</f>
        <v>31.5</v>
      </c>
      <c r="P43" s="18"/>
      <c r="Q43" s="18">
        <v>0</v>
      </c>
      <c r="R43" s="18">
        <f>Tabelle58971119[[#This Row],[Stromverbrauch in TWh]]/$I$42*$R$42</f>
        <v>17.5</v>
      </c>
      <c r="S43" s="18"/>
      <c r="T43" s="18">
        <f>Tabelle58971119[[#This Row],[Stromverbrauch in TWh]]/$I$42*$T$42</f>
        <v>560</v>
      </c>
      <c r="U43" s="18">
        <f>Tabelle58971119[[#This Row],[Stromverbrauch in TWh]]/$I$42*$U$42</f>
        <v>210</v>
      </c>
      <c r="V43" s="18"/>
      <c r="W43" s="19"/>
      <c r="X43" s="8"/>
      <c r="Y43" s="8">
        <f>2000/8760</f>
        <v>0.22831050228310501</v>
      </c>
      <c r="Z43" s="48">
        <v>3000</v>
      </c>
      <c r="AA43" s="19"/>
      <c r="AB43" s="18"/>
      <c r="AC43" s="8"/>
      <c r="AD43" s="18"/>
      <c r="AE43" s="8">
        <v>1</v>
      </c>
      <c r="AF43" s="1">
        <f t="shared" si="3"/>
        <v>8.3333333333333329E-2</v>
      </c>
      <c r="AG43" s="1">
        <v>2</v>
      </c>
      <c r="AH43" s="1">
        <v>107</v>
      </c>
      <c r="AI43" s="1">
        <v>2</v>
      </c>
      <c r="AJ43" s="1">
        <v>2</v>
      </c>
      <c r="AL43" s="1">
        <v>3</v>
      </c>
      <c r="AM43" s="1">
        <v>3</v>
      </c>
      <c r="AN43" s="1">
        <v>67</v>
      </c>
      <c r="AQ43" s="1" t="s">
        <v>514</v>
      </c>
      <c r="AV43" s="18"/>
      <c r="AW43" s="18"/>
      <c r="AX43" s="18"/>
      <c r="AY43" s="7"/>
      <c r="AZ43" s="7"/>
      <c r="BA43" s="7"/>
      <c r="BB43" s="7"/>
      <c r="BC43" s="7"/>
      <c r="BD43" s="7">
        <f>59*Umrechnungsfaktoren!$B$15/Umrechnungsfaktoren!$B$13</f>
        <v>60.937313432835815</v>
      </c>
      <c r="BE43" s="1">
        <f>310*Umrechnungsfaktoren!$B$15/Umrechnungsfaktoren!$B$13</f>
        <v>320.17910447761193</v>
      </c>
      <c r="BI43" s="1">
        <v>102</v>
      </c>
      <c r="BJ43" s="12">
        <v>112</v>
      </c>
      <c r="BK43" s="1">
        <v>112</v>
      </c>
      <c r="BL43" s="12"/>
      <c r="BM43" s="12"/>
      <c r="BN43" s="12">
        <v>112</v>
      </c>
      <c r="BO43" s="12">
        <v>112</v>
      </c>
      <c r="BP43" s="12">
        <v>112</v>
      </c>
      <c r="BR43" s="12"/>
      <c r="BS43" s="12">
        <v>112</v>
      </c>
      <c r="BT43" s="12">
        <v>112</v>
      </c>
      <c r="BU43" s="1" t="s">
        <v>522</v>
      </c>
      <c r="BV43" s="1" t="s">
        <v>520</v>
      </c>
      <c r="BX43" s="1" t="s">
        <v>524</v>
      </c>
      <c r="CB43" s="1">
        <v>112</v>
      </c>
      <c r="CC43" s="1">
        <v>112</v>
      </c>
    </row>
    <row r="44" spans="1:81" x14ac:dyDescent="0.2">
      <c r="A44" s="1" t="s">
        <v>137</v>
      </c>
      <c r="B44" s="1" t="s">
        <v>142</v>
      </c>
      <c r="C44" s="1">
        <v>2025</v>
      </c>
      <c r="D44" s="1">
        <v>1</v>
      </c>
      <c r="E44" s="1">
        <v>0</v>
      </c>
      <c r="F44" s="1">
        <v>0</v>
      </c>
      <c r="G44" s="1">
        <v>3.6</v>
      </c>
      <c r="H44" s="1">
        <v>10.9</v>
      </c>
      <c r="I44" s="1">
        <v>8.1</v>
      </c>
      <c r="J44" s="18">
        <f>Tabelle58971119[[#This Row],[Stromverbrauch in TWh]]/$I$42*$J$42</f>
        <v>1485</v>
      </c>
      <c r="K44" s="18">
        <f>Tabelle58971119[[#This Row],[Stromverbrauch in TWh]]/$I$42*$K$42</f>
        <v>18</v>
      </c>
      <c r="L44" s="18"/>
      <c r="M44" s="18">
        <v>1900</v>
      </c>
      <c r="N44" s="18"/>
      <c r="O44" s="18">
        <f>Tabelle58971119[[#This Row],[Stromverbrauch in TWh]]/$I$42*$O$42</f>
        <v>40.5</v>
      </c>
      <c r="P44" s="18"/>
      <c r="Q44" s="18">
        <v>0</v>
      </c>
      <c r="R44" s="18">
        <f>Tabelle58971119[[#This Row],[Stromverbrauch in TWh]]/$I$42*$R$42</f>
        <v>22.5</v>
      </c>
      <c r="S44" s="18"/>
      <c r="T44" s="18">
        <f>Tabelle58971119[[#This Row],[Stromverbrauch in TWh]]/$I$42*$T$42</f>
        <v>720</v>
      </c>
      <c r="U44" s="18">
        <f>Tabelle58971119[[#This Row],[Stromverbrauch in TWh]]/$I$42*$U$42</f>
        <v>270</v>
      </c>
      <c r="V44" s="18"/>
      <c r="W44" s="19"/>
      <c r="X44" s="8"/>
      <c r="Y44" s="8">
        <f>2000/8760</f>
        <v>0.22831050228310501</v>
      </c>
      <c r="Z44" s="48">
        <v>3000</v>
      </c>
      <c r="AA44" s="19"/>
      <c r="AB44" s="18"/>
      <c r="AC44" s="8"/>
      <c r="AD44" s="18"/>
      <c r="AE44" s="8">
        <v>1</v>
      </c>
      <c r="AF44" s="1">
        <f t="shared" si="3"/>
        <v>8.3333333333333329E-2</v>
      </c>
      <c r="AG44" s="1">
        <v>2</v>
      </c>
      <c r="AH44" s="1">
        <v>107</v>
      </c>
      <c r="AI44" s="1">
        <v>2</v>
      </c>
      <c r="AJ44" s="1">
        <v>2</v>
      </c>
      <c r="AL44" s="1">
        <v>3</v>
      </c>
      <c r="AM44" s="1">
        <v>3</v>
      </c>
      <c r="AN44" s="1">
        <v>67</v>
      </c>
      <c r="AQ44" s="1" t="s">
        <v>514</v>
      </c>
      <c r="AV44" s="18"/>
      <c r="AW44" s="18"/>
      <c r="AX44" s="18"/>
      <c r="AY44" s="7"/>
      <c r="AZ44" s="7"/>
      <c r="BA44" s="7"/>
      <c r="BB44" s="7"/>
      <c r="BC44" s="7"/>
      <c r="BD44" s="7">
        <f>50*Umrechnungsfaktoren!$B$15/Umrechnungsfaktoren!$B$13</f>
        <v>51.64179104477612</v>
      </c>
      <c r="BE44" s="1">
        <f>265*Umrechnungsfaktoren!$B$15/Umrechnungsfaktoren!$B$13</f>
        <v>273.70149253731341</v>
      </c>
      <c r="BI44" s="1">
        <v>102</v>
      </c>
      <c r="BJ44" s="12">
        <v>112</v>
      </c>
      <c r="BK44" s="1">
        <v>112</v>
      </c>
      <c r="BL44" s="12"/>
      <c r="BM44" s="12"/>
      <c r="BN44" s="12">
        <v>112</v>
      </c>
      <c r="BO44" s="12">
        <v>112</v>
      </c>
      <c r="BP44" s="12">
        <v>112</v>
      </c>
      <c r="BR44" s="12"/>
      <c r="BS44" s="12">
        <v>112</v>
      </c>
      <c r="BT44" s="12">
        <v>112</v>
      </c>
      <c r="BU44" s="1" t="s">
        <v>522</v>
      </c>
      <c r="BV44" s="1" t="s">
        <v>520</v>
      </c>
      <c r="BX44" s="1" t="s">
        <v>524</v>
      </c>
      <c r="CB44" s="1">
        <v>112</v>
      </c>
      <c r="CC44" s="1">
        <v>112</v>
      </c>
    </row>
    <row r="45" spans="1:81" x14ac:dyDescent="0.2">
      <c r="A45" s="1" t="s">
        <v>137</v>
      </c>
      <c r="B45" s="1" t="s">
        <v>142</v>
      </c>
      <c r="C45" s="1">
        <v>2030</v>
      </c>
      <c r="D45" s="1">
        <v>1</v>
      </c>
      <c r="E45" s="1">
        <v>0</v>
      </c>
      <c r="F45" s="1">
        <v>0</v>
      </c>
      <c r="G45" s="1">
        <v>3.6</v>
      </c>
      <c r="H45" s="1">
        <v>14.5</v>
      </c>
      <c r="I45" s="1">
        <v>9.4</v>
      </c>
      <c r="J45" s="18">
        <f>Tabelle58971119[[#This Row],[Stromverbrauch in TWh]]/$I$42*$J$42</f>
        <v>1723.3333333333333</v>
      </c>
      <c r="K45" s="18">
        <f>Tabelle58971119[[#This Row],[Stromverbrauch in TWh]]/$I$42*$K$42</f>
        <v>20.888888888888889</v>
      </c>
      <c r="L45" s="18"/>
      <c r="M45" s="18">
        <v>2400</v>
      </c>
      <c r="N45" s="18"/>
      <c r="O45" s="18">
        <f>Tabelle58971119[[#This Row],[Stromverbrauch in TWh]]/$I$42*$O$42</f>
        <v>47</v>
      </c>
      <c r="P45" s="18"/>
      <c r="Q45" s="18">
        <v>0</v>
      </c>
      <c r="R45" s="18">
        <f>Tabelle58971119[[#This Row],[Stromverbrauch in TWh]]/$I$42*$R$42</f>
        <v>26.111111111111111</v>
      </c>
      <c r="S45" s="18"/>
      <c r="T45" s="18">
        <f>Tabelle58971119[[#This Row],[Stromverbrauch in TWh]]/$I$42*$T$42</f>
        <v>835.55555555555554</v>
      </c>
      <c r="U45" s="18">
        <f>Tabelle58971119[[#This Row],[Stromverbrauch in TWh]]/$I$42*$U$42</f>
        <v>313.33333333333331</v>
      </c>
      <c r="V45" s="18"/>
      <c r="W45" s="19"/>
      <c r="X45" s="8"/>
      <c r="Y45" s="8">
        <f>2000/8760</f>
        <v>0.22831050228310501</v>
      </c>
      <c r="Z45" s="48">
        <v>3000</v>
      </c>
      <c r="AA45" s="19"/>
      <c r="AB45" s="18"/>
      <c r="AC45" s="8"/>
      <c r="AD45" s="18"/>
      <c r="AE45" s="8">
        <v>1</v>
      </c>
      <c r="AF45" s="1">
        <f t="shared" si="3"/>
        <v>8.3333333333333329E-2</v>
      </c>
      <c r="AG45" s="1">
        <v>2</v>
      </c>
      <c r="AH45" s="1">
        <v>107</v>
      </c>
      <c r="AI45" s="1">
        <v>2</v>
      </c>
      <c r="AJ45" s="1">
        <v>2</v>
      </c>
      <c r="AL45" s="1">
        <v>3</v>
      </c>
      <c r="AM45" s="1">
        <v>3</v>
      </c>
      <c r="AN45" s="1">
        <v>67</v>
      </c>
      <c r="AQ45" s="1" t="s">
        <v>514</v>
      </c>
      <c r="AV45" s="18"/>
      <c r="AW45" s="18"/>
      <c r="AX45" s="18"/>
      <c r="AY45" s="7"/>
      <c r="AZ45" s="7"/>
      <c r="BA45" s="7"/>
      <c r="BB45" s="7"/>
      <c r="BC45" s="7"/>
      <c r="BD45" s="7">
        <f>42*Umrechnungsfaktoren!$B$15/Umrechnungsfaktoren!$B$13</f>
        <v>43.379104477611939</v>
      </c>
      <c r="BE45" s="1">
        <f>220*Umrechnungsfaktoren!$B$15/Umrechnungsfaktoren!$B$13</f>
        <v>227.22388059701493</v>
      </c>
      <c r="BI45" s="1">
        <v>102</v>
      </c>
      <c r="BJ45" s="12">
        <v>112</v>
      </c>
      <c r="BK45" s="1">
        <v>112</v>
      </c>
      <c r="BL45" s="12"/>
      <c r="BM45" s="12"/>
      <c r="BN45" s="12">
        <v>112</v>
      </c>
      <c r="BO45" s="12">
        <v>112</v>
      </c>
      <c r="BP45" s="12">
        <v>112</v>
      </c>
      <c r="BR45" s="12"/>
      <c r="BS45" s="12">
        <v>112</v>
      </c>
      <c r="BT45" s="12">
        <v>112</v>
      </c>
      <c r="BU45" s="1" t="s">
        <v>522</v>
      </c>
      <c r="BV45" s="1" t="s">
        <v>520</v>
      </c>
      <c r="BX45" s="1" t="s">
        <v>524</v>
      </c>
      <c r="CB45" s="1">
        <v>107</v>
      </c>
      <c r="CC45" s="1">
        <v>107</v>
      </c>
    </row>
    <row r="46" spans="1:81" x14ac:dyDescent="0.2">
      <c r="A46" s="1" t="s">
        <v>138</v>
      </c>
      <c r="B46" s="1" t="s">
        <v>142</v>
      </c>
      <c r="C46" s="1">
        <v>2010</v>
      </c>
      <c r="D46" s="1">
        <v>1</v>
      </c>
      <c r="E46" s="1">
        <v>0</v>
      </c>
      <c r="F46" s="1">
        <v>0</v>
      </c>
      <c r="J46" s="18">
        <v>500</v>
      </c>
      <c r="K46" s="18">
        <v>500</v>
      </c>
      <c r="L46" s="18"/>
      <c r="M46" s="18">
        <v>500</v>
      </c>
      <c r="N46" s="18"/>
      <c r="O46" s="18">
        <v>500</v>
      </c>
      <c r="P46" s="18"/>
      <c r="Q46" s="18">
        <v>500</v>
      </c>
      <c r="R46" s="18">
        <v>500</v>
      </c>
      <c r="S46" s="18"/>
      <c r="T46" s="18">
        <v>7400</v>
      </c>
      <c r="U46" s="18">
        <v>7400</v>
      </c>
      <c r="V46" s="18"/>
      <c r="W46" s="19"/>
      <c r="X46" s="8"/>
      <c r="Y46" s="8"/>
      <c r="Z46" s="48"/>
      <c r="AA46" s="19"/>
      <c r="AB46" s="18"/>
      <c r="AC46" s="8"/>
      <c r="AD46" s="18"/>
      <c r="AE46" s="8"/>
      <c r="AL46" s="1">
        <v>3</v>
      </c>
      <c r="AV46" s="18"/>
      <c r="AW46" s="18"/>
      <c r="AX46" s="18"/>
      <c r="AY46" s="7"/>
      <c r="AZ46" s="7"/>
      <c r="BA46" s="7"/>
      <c r="BB46" s="7"/>
      <c r="BC46" s="7"/>
      <c r="BD46" s="7"/>
      <c r="BJ46" s="12">
        <v>109</v>
      </c>
      <c r="BK46" s="1">
        <v>109</v>
      </c>
      <c r="BL46" s="12"/>
      <c r="BM46" s="12"/>
      <c r="BN46" s="12"/>
      <c r="BO46" s="12"/>
      <c r="BP46" s="12"/>
      <c r="BR46" s="12"/>
      <c r="BS46" s="12"/>
      <c r="BT46" s="12"/>
      <c r="BU46" s="1">
        <v>109</v>
      </c>
    </row>
    <row r="47" spans="1:81" x14ac:dyDescent="0.2">
      <c r="A47" s="1" t="s">
        <v>138</v>
      </c>
      <c r="B47" s="1" t="s">
        <v>142</v>
      </c>
      <c r="C47" s="1">
        <v>2020</v>
      </c>
      <c r="D47" s="1">
        <v>1</v>
      </c>
      <c r="E47" s="1">
        <v>0</v>
      </c>
      <c r="F47" s="1">
        <v>0</v>
      </c>
      <c r="J47" s="18">
        <v>500</v>
      </c>
      <c r="K47" s="18">
        <v>500</v>
      </c>
      <c r="L47" s="18"/>
      <c r="M47" s="18">
        <v>500</v>
      </c>
      <c r="N47" s="18"/>
      <c r="O47" s="18">
        <v>500</v>
      </c>
      <c r="P47" s="18"/>
      <c r="Q47" s="18">
        <v>500</v>
      </c>
      <c r="R47" s="18">
        <v>500</v>
      </c>
      <c r="S47" s="18"/>
      <c r="T47" s="18">
        <v>7400</v>
      </c>
      <c r="U47" s="18">
        <v>7400</v>
      </c>
      <c r="V47" s="18"/>
      <c r="W47" s="19"/>
      <c r="X47" s="8"/>
      <c r="Y47" s="8"/>
      <c r="Z47" s="48"/>
      <c r="AA47" s="19"/>
      <c r="AB47" s="18"/>
      <c r="AC47" s="8"/>
      <c r="AD47" s="18"/>
      <c r="AE47" s="8"/>
      <c r="AL47" s="1">
        <v>3</v>
      </c>
      <c r="AV47" s="18"/>
      <c r="AW47" s="18"/>
      <c r="AX47" s="18"/>
      <c r="AY47" s="7"/>
      <c r="AZ47" s="7"/>
      <c r="BA47" s="7"/>
      <c r="BB47" s="7"/>
      <c r="BC47" s="7"/>
      <c r="BD47" s="7">
        <f>59*Umrechnungsfaktoren!$B$15/Umrechnungsfaktoren!$B$13</f>
        <v>60.937313432835815</v>
      </c>
      <c r="BE47" s="1">
        <f>310*Umrechnungsfaktoren!$B$15/Umrechnungsfaktoren!$B$13</f>
        <v>320.17910447761193</v>
      </c>
      <c r="BJ47" s="12">
        <v>109</v>
      </c>
      <c r="BK47" s="1">
        <v>109</v>
      </c>
      <c r="BL47" s="12"/>
      <c r="BM47" s="12"/>
      <c r="BN47" s="12"/>
      <c r="BO47" s="12"/>
      <c r="BP47" s="12"/>
      <c r="BR47" s="12"/>
      <c r="BS47" s="12"/>
      <c r="BT47" s="12"/>
    </row>
    <row r="48" spans="1:81" x14ac:dyDescent="0.2">
      <c r="A48" s="1" t="s">
        <v>138</v>
      </c>
      <c r="B48" s="1" t="s">
        <v>142</v>
      </c>
      <c r="C48" s="1">
        <v>2025</v>
      </c>
      <c r="D48" s="1">
        <v>1</v>
      </c>
      <c r="E48" s="1">
        <v>0</v>
      </c>
      <c r="F48" s="1">
        <v>0</v>
      </c>
      <c r="J48" s="18">
        <v>500</v>
      </c>
      <c r="K48" s="18">
        <v>500</v>
      </c>
      <c r="L48" s="18"/>
      <c r="M48" s="18">
        <v>500</v>
      </c>
      <c r="N48" s="18"/>
      <c r="O48" s="18">
        <v>500</v>
      </c>
      <c r="P48" s="18"/>
      <c r="Q48" s="18">
        <v>500</v>
      </c>
      <c r="R48" s="18">
        <v>500</v>
      </c>
      <c r="S48" s="18"/>
      <c r="T48" s="18">
        <v>7400</v>
      </c>
      <c r="U48" s="18">
        <v>7400</v>
      </c>
      <c r="V48" s="18"/>
      <c r="W48" s="19"/>
      <c r="X48" s="8"/>
      <c r="Y48" s="8"/>
      <c r="Z48" s="48"/>
      <c r="AA48" s="19"/>
      <c r="AB48" s="18"/>
      <c r="AC48" s="8"/>
      <c r="AD48" s="18"/>
      <c r="AE48" s="8"/>
      <c r="AL48" s="1">
        <v>3</v>
      </c>
      <c r="AV48" s="18"/>
      <c r="AW48" s="18"/>
      <c r="AX48" s="18"/>
      <c r="AY48" s="7"/>
      <c r="AZ48" s="7"/>
      <c r="BA48" s="7"/>
      <c r="BB48" s="7"/>
      <c r="BC48" s="7"/>
      <c r="BD48" s="7">
        <f>50*Umrechnungsfaktoren!$B$15/Umrechnungsfaktoren!$B$13</f>
        <v>51.64179104477612</v>
      </c>
      <c r="BE48" s="1">
        <f>265*Umrechnungsfaktoren!$B$15/Umrechnungsfaktoren!$B$13</f>
        <v>273.70149253731341</v>
      </c>
      <c r="BJ48" s="12">
        <v>109</v>
      </c>
      <c r="BK48" s="1">
        <v>109</v>
      </c>
      <c r="BL48" s="12"/>
      <c r="BM48" s="12"/>
      <c r="BN48" s="12"/>
      <c r="BO48" s="12"/>
      <c r="BP48" s="12"/>
      <c r="BR48" s="12"/>
      <c r="BS48" s="12"/>
      <c r="BT48" s="12"/>
    </row>
    <row r="49" spans="1:81" x14ac:dyDescent="0.2">
      <c r="A49" s="1" t="s">
        <v>138</v>
      </c>
      <c r="B49" s="1" t="s">
        <v>142</v>
      </c>
      <c r="C49" s="1">
        <v>2030</v>
      </c>
      <c r="D49" s="1">
        <v>1</v>
      </c>
      <c r="E49" s="1">
        <v>0</v>
      </c>
      <c r="F49" s="1">
        <v>0</v>
      </c>
      <c r="J49" s="18">
        <v>500</v>
      </c>
      <c r="K49" s="18">
        <v>500</v>
      </c>
      <c r="L49" s="18"/>
      <c r="M49" s="18">
        <v>500</v>
      </c>
      <c r="N49" s="18"/>
      <c r="O49" s="18">
        <v>500</v>
      </c>
      <c r="P49" s="18"/>
      <c r="Q49" s="18">
        <v>500</v>
      </c>
      <c r="R49" s="18">
        <v>500</v>
      </c>
      <c r="S49" s="18"/>
      <c r="T49" s="18">
        <v>7400</v>
      </c>
      <c r="U49" s="18">
        <v>7400</v>
      </c>
      <c r="V49" s="18"/>
      <c r="W49" s="19"/>
      <c r="X49" s="8"/>
      <c r="Y49" s="8"/>
      <c r="Z49" s="48"/>
      <c r="AA49" s="19"/>
      <c r="AB49" s="18"/>
      <c r="AC49" s="8"/>
      <c r="AD49" s="18"/>
      <c r="AE49" s="8"/>
      <c r="AL49" s="1">
        <v>3</v>
      </c>
      <c r="AV49" s="18"/>
      <c r="AW49" s="18"/>
      <c r="AX49" s="18"/>
      <c r="AY49" s="7"/>
      <c r="AZ49" s="7"/>
      <c r="BA49" s="7"/>
      <c r="BB49" s="7"/>
      <c r="BC49" s="7"/>
      <c r="BD49" s="7">
        <f>42*Umrechnungsfaktoren!$B$15/Umrechnungsfaktoren!$B$13</f>
        <v>43.379104477611939</v>
      </c>
      <c r="BE49" s="1">
        <f>220*Umrechnungsfaktoren!$B$15/Umrechnungsfaktoren!$B$13</f>
        <v>227.22388059701493</v>
      </c>
      <c r="BJ49" s="12">
        <v>109</v>
      </c>
      <c r="BK49" s="1">
        <v>109</v>
      </c>
      <c r="BL49" s="12"/>
      <c r="BM49" s="12"/>
      <c r="BN49" s="12"/>
      <c r="BO49" s="12"/>
      <c r="BP49" s="12"/>
      <c r="BR49" s="12"/>
      <c r="BS49" s="12"/>
      <c r="BT49" s="12"/>
    </row>
    <row r="50" spans="1:81" x14ac:dyDescent="0.2">
      <c r="A50" s="1" t="s">
        <v>392</v>
      </c>
      <c r="B50" s="1" t="s">
        <v>142</v>
      </c>
      <c r="C50" s="1">
        <v>2015</v>
      </c>
      <c r="D50" s="1">
        <v>1</v>
      </c>
      <c r="E50" s="1">
        <v>0</v>
      </c>
      <c r="F50" s="1">
        <v>0</v>
      </c>
      <c r="J50" s="18"/>
      <c r="K50" s="18"/>
      <c r="L50" s="18"/>
      <c r="M50" s="18">
        <v>0</v>
      </c>
      <c r="N50" s="18"/>
      <c r="O50" s="18"/>
      <c r="P50" s="18"/>
      <c r="Q50" s="18"/>
      <c r="R50" s="18"/>
      <c r="S50" s="18"/>
      <c r="T50" s="18">
        <v>0</v>
      </c>
      <c r="U50" s="18"/>
      <c r="V50" s="18"/>
      <c r="W50" s="19"/>
      <c r="X50" s="8"/>
      <c r="Y50" s="8"/>
      <c r="Z50" s="48"/>
      <c r="AA50" s="19"/>
      <c r="AB50" s="18"/>
      <c r="AC50" s="8"/>
      <c r="AD50" s="18"/>
      <c r="AE50" s="8">
        <v>1</v>
      </c>
      <c r="AH50" s="1">
        <v>1</v>
      </c>
      <c r="AV50" s="18"/>
      <c r="AW50" s="18"/>
      <c r="AX50" s="18"/>
      <c r="AY50" s="7"/>
      <c r="AZ50" s="7"/>
      <c r="BA50" s="7"/>
      <c r="BB50" s="7"/>
      <c r="BC50" s="7"/>
      <c r="BD50" s="7"/>
      <c r="BF50" s="1" t="s">
        <v>526</v>
      </c>
      <c r="BJ50" s="12">
        <v>142</v>
      </c>
      <c r="BK50" s="12">
        <v>142</v>
      </c>
      <c r="BL50" s="12"/>
      <c r="BM50" s="12"/>
      <c r="BN50" s="12"/>
      <c r="BO50" s="12"/>
      <c r="BP50" s="12"/>
      <c r="BR50" s="12"/>
      <c r="BS50" s="1" t="s">
        <v>531</v>
      </c>
      <c r="BT50" s="12"/>
      <c r="BU50" s="1">
        <v>131</v>
      </c>
      <c r="BV50" s="1">
        <v>142</v>
      </c>
      <c r="BX50" s="1">
        <v>142</v>
      </c>
      <c r="CB50" s="1">
        <v>142</v>
      </c>
      <c r="CC50" s="1">
        <v>142</v>
      </c>
    </row>
    <row r="51" spans="1:81" x14ac:dyDescent="0.2">
      <c r="A51" s="1" t="s">
        <v>392</v>
      </c>
      <c r="B51" s="1" t="s">
        <v>142</v>
      </c>
      <c r="C51" s="1">
        <v>2020</v>
      </c>
      <c r="D51" s="1">
        <v>1</v>
      </c>
      <c r="E51" s="1">
        <v>0</v>
      </c>
      <c r="F51" s="1">
        <v>0</v>
      </c>
      <c r="J51" s="18"/>
      <c r="K51" s="18"/>
      <c r="L51" s="18"/>
      <c r="M51" s="18">
        <v>300</v>
      </c>
      <c r="N51" s="18"/>
      <c r="O51" s="18"/>
      <c r="P51" s="18"/>
      <c r="Q51" s="18"/>
      <c r="R51" s="18"/>
      <c r="S51" s="18"/>
      <c r="T51" s="18">
        <v>300</v>
      </c>
      <c r="U51" s="18"/>
      <c r="V51" s="18"/>
      <c r="W51" s="19"/>
      <c r="X51" s="8"/>
      <c r="Y51" s="8"/>
      <c r="Z51" s="48"/>
      <c r="AA51" s="19"/>
      <c r="AB51" s="18"/>
      <c r="AC51" s="8"/>
      <c r="AD51" s="18"/>
      <c r="AE51" s="8">
        <v>1</v>
      </c>
      <c r="AH51" s="1">
        <v>3</v>
      </c>
      <c r="AV51" s="18"/>
      <c r="AW51" s="18"/>
      <c r="AX51" s="18"/>
      <c r="AY51" s="7"/>
      <c r="AZ51" s="7"/>
      <c r="BA51" s="7"/>
      <c r="BB51" s="7"/>
      <c r="BC51" s="7"/>
      <c r="BD51" s="7"/>
      <c r="BF51" s="1" t="s">
        <v>526</v>
      </c>
      <c r="BJ51" s="12">
        <v>142</v>
      </c>
      <c r="BK51" s="12">
        <v>142</v>
      </c>
      <c r="BL51" s="12"/>
      <c r="BM51" s="12"/>
      <c r="BN51" s="12"/>
      <c r="BO51" s="12"/>
      <c r="BP51" s="12"/>
      <c r="BR51" s="12"/>
      <c r="BS51" s="1" t="s">
        <v>531</v>
      </c>
      <c r="BT51" s="12"/>
      <c r="BU51" s="1">
        <v>131</v>
      </c>
      <c r="BV51" s="1">
        <v>142</v>
      </c>
      <c r="BX51" s="1">
        <v>142</v>
      </c>
      <c r="CB51" s="1">
        <v>142</v>
      </c>
      <c r="CC51" s="1">
        <v>142</v>
      </c>
    </row>
    <row r="52" spans="1:81" x14ac:dyDescent="0.2">
      <c r="A52" s="1" t="s">
        <v>392</v>
      </c>
      <c r="B52" s="1" t="s">
        <v>142</v>
      </c>
      <c r="C52" s="1">
        <v>2025</v>
      </c>
      <c r="D52" s="1">
        <v>1</v>
      </c>
      <c r="E52" s="1">
        <v>0</v>
      </c>
      <c r="F52" s="1">
        <v>0</v>
      </c>
      <c r="J52" s="18"/>
      <c r="K52" s="18"/>
      <c r="L52" s="18"/>
      <c r="M52" s="18">
        <v>700</v>
      </c>
      <c r="N52" s="18"/>
      <c r="O52" s="18"/>
      <c r="P52" s="18"/>
      <c r="Q52" s="18"/>
      <c r="R52" s="18"/>
      <c r="S52" s="18"/>
      <c r="T52" s="18">
        <v>700</v>
      </c>
      <c r="U52" s="18"/>
      <c r="V52" s="18"/>
      <c r="W52" s="19"/>
      <c r="X52" s="8"/>
      <c r="Y52" s="8"/>
      <c r="Z52" s="48"/>
      <c r="AA52" s="19"/>
      <c r="AB52" s="18"/>
      <c r="AC52" s="8"/>
      <c r="AD52" s="18"/>
      <c r="AE52" s="8"/>
      <c r="AV52" s="18"/>
      <c r="AW52" s="18"/>
      <c r="AX52" s="18"/>
      <c r="AY52" s="7"/>
      <c r="AZ52" s="7"/>
      <c r="BA52" s="7"/>
      <c r="BB52" s="7"/>
      <c r="BC52" s="7"/>
      <c r="BD52" s="7"/>
      <c r="BJ52" s="12">
        <v>142</v>
      </c>
      <c r="BK52" s="12">
        <v>142</v>
      </c>
      <c r="BL52" s="12"/>
      <c r="BM52" s="12"/>
      <c r="BN52" s="12"/>
      <c r="BO52" s="12"/>
      <c r="BP52" s="12"/>
      <c r="BR52" s="12"/>
      <c r="BS52" s="1" t="s">
        <v>531</v>
      </c>
      <c r="BT52" s="12"/>
      <c r="BV52" s="1">
        <v>142</v>
      </c>
      <c r="BX52" s="1">
        <v>142</v>
      </c>
      <c r="CB52" s="1">
        <v>142</v>
      </c>
      <c r="CC52" s="1">
        <v>142</v>
      </c>
    </row>
    <row r="53" spans="1:81" x14ac:dyDescent="0.2">
      <c r="A53" s="1" t="s">
        <v>392</v>
      </c>
      <c r="B53" s="1" t="s">
        <v>142</v>
      </c>
      <c r="C53" s="1">
        <v>2030</v>
      </c>
      <c r="D53" s="1">
        <v>1</v>
      </c>
      <c r="E53" s="1">
        <v>0</v>
      </c>
      <c r="F53" s="1">
        <v>0</v>
      </c>
      <c r="J53" s="18"/>
      <c r="K53" s="18"/>
      <c r="L53" s="18"/>
      <c r="M53" s="18">
        <v>1200</v>
      </c>
      <c r="N53" s="18"/>
      <c r="O53" s="18"/>
      <c r="P53" s="18"/>
      <c r="Q53" s="18"/>
      <c r="R53" s="18"/>
      <c r="S53" s="18"/>
      <c r="T53" s="18">
        <v>1200</v>
      </c>
      <c r="U53" s="18"/>
      <c r="V53" s="18"/>
      <c r="W53" s="19"/>
      <c r="X53" s="8"/>
      <c r="Y53" s="8"/>
      <c r="Z53" s="48"/>
      <c r="AA53" s="19"/>
      <c r="AB53" s="18"/>
      <c r="AC53" s="8"/>
      <c r="AD53" s="18"/>
      <c r="AE53" s="8"/>
      <c r="AV53" s="18"/>
      <c r="AW53" s="18"/>
      <c r="AX53" s="18"/>
      <c r="AY53" s="7"/>
      <c r="AZ53" s="7"/>
      <c r="BA53" s="7"/>
      <c r="BB53" s="7"/>
      <c r="BC53" s="7"/>
      <c r="BD53" s="7"/>
      <c r="BJ53" s="12">
        <v>142</v>
      </c>
      <c r="BK53" s="12">
        <v>142</v>
      </c>
      <c r="BL53" s="12"/>
      <c r="BM53" s="12"/>
      <c r="BN53" s="12"/>
      <c r="BO53" s="12"/>
      <c r="BP53" s="12"/>
      <c r="BR53" s="12"/>
      <c r="BS53" s="1" t="s">
        <v>531</v>
      </c>
      <c r="BT53" s="12"/>
      <c r="BV53" s="1">
        <v>142</v>
      </c>
      <c r="BX53" s="1">
        <v>142</v>
      </c>
      <c r="CB53" s="1">
        <v>142</v>
      </c>
      <c r="CC53" s="1">
        <v>142</v>
      </c>
    </row>
    <row r="54" spans="1:81" x14ac:dyDescent="0.2">
      <c r="A54" s="1" t="s">
        <v>165</v>
      </c>
      <c r="B54" s="1" t="s">
        <v>142</v>
      </c>
      <c r="C54" s="1">
        <v>2015</v>
      </c>
      <c r="D54" s="1">
        <v>1</v>
      </c>
      <c r="E54" s="1">
        <v>0</v>
      </c>
      <c r="F54" s="1">
        <v>0</v>
      </c>
      <c r="J54" s="18"/>
      <c r="K54" s="18"/>
      <c r="L54" s="18"/>
      <c r="M54" s="18">
        <v>0</v>
      </c>
      <c r="N54" s="18"/>
      <c r="O54" s="18"/>
      <c r="P54" s="18"/>
      <c r="Q54" s="18"/>
      <c r="R54" s="18"/>
      <c r="S54" s="18"/>
      <c r="T54" s="18">
        <v>0</v>
      </c>
      <c r="U54" s="18"/>
      <c r="V54" s="18"/>
      <c r="W54" s="19"/>
      <c r="X54" s="8"/>
      <c r="Y54" s="8"/>
      <c r="Z54" s="48"/>
      <c r="AA54" s="19"/>
      <c r="AB54" s="18"/>
      <c r="AC54" s="8"/>
      <c r="AD54" s="18"/>
      <c r="AE54" s="8"/>
      <c r="AI54" s="1">
        <v>2</v>
      </c>
      <c r="AK54" s="1">
        <v>5</v>
      </c>
      <c r="AM54" s="1">
        <v>0</v>
      </c>
      <c r="AN54" s="1">
        <v>12</v>
      </c>
      <c r="AO54" s="1">
        <v>3</v>
      </c>
      <c r="AQ54" s="1" t="s">
        <v>527</v>
      </c>
      <c r="AV54" s="18"/>
      <c r="AW54" s="18"/>
      <c r="AX54" s="18"/>
      <c r="AY54" s="7"/>
      <c r="AZ54" s="7"/>
      <c r="BA54" s="7"/>
      <c r="BB54" s="7"/>
      <c r="BC54" s="7"/>
      <c r="BD54" s="7">
        <f>67*Umrechnungsfaktoren!$B$15/Umrechnungsfaktoren!$B$13</f>
        <v>69.2</v>
      </c>
      <c r="BE54" s="1">
        <f>355*Umrechnungsfaktoren!$B$15/Umrechnungsfaktoren!$B$13</f>
        <v>366.65671641791045</v>
      </c>
      <c r="BJ54" s="12">
        <v>142</v>
      </c>
      <c r="BK54" s="12">
        <v>142</v>
      </c>
      <c r="BL54" s="12"/>
      <c r="BM54" s="12"/>
      <c r="BN54" s="12"/>
      <c r="BO54" s="12"/>
      <c r="BP54" s="12"/>
      <c r="BR54" s="12"/>
      <c r="BS54" s="1" t="s">
        <v>531</v>
      </c>
      <c r="BT54" s="12"/>
      <c r="BU54" s="1" t="s">
        <v>528</v>
      </c>
      <c r="BV54" s="1" t="s">
        <v>529</v>
      </c>
      <c r="BX54" s="1">
        <v>142</v>
      </c>
      <c r="CB54" s="1">
        <v>142</v>
      </c>
      <c r="CC54" s="1">
        <v>142</v>
      </c>
    </row>
    <row r="55" spans="1:81" x14ac:dyDescent="0.2">
      <c r="A55" s="1" t="s">
        <v>165</v>
      </c>
      <c r="B55" s="1" t="s">
        <v>142</v>
      </c>
      <c r="C55" s="1">
        <v>2020</v>
      </c>
      <c r="D55" s="1">
        <v>1</v>
      </c>
      <c r="E55" s="1">
        <v>0</v>
      </c>
      <c r="F55" s="1">
        <v>0</v>
      </c>
      <c r="J55" s="18"/>
      <c r="K55" s="18"/>
      <c r="L55" s="18"/>
      <c r="M55" s="18">
        <v>700</v>
      </c>
      <c r="N55" s="18"/>
      <c r="O55" s="18"/>
      <c r="P55" s="18"/>
      <c r="Q55" s="18"/>
      <c r="R55" s="18"/>
      <c r="S55" s="18"/>
      <c r="T55" s="18">
        <v>700</v>
      </c>
      <c r="U55" s="18"/>
      <c r="V55" s="18"/>
      <c r="W55" s="19"/>
      <c r="X55" s="8"/>
      <c r="Y55" s="8"/>
      <c r="Z55" s="48"/>
      <c r="AA55" s="19"/>
      <c r="AB55" s="18"/>
      <c r="AC55" s="8"/>
      <c r="AD55" s="18"/>
      <c r="AE55" s="8"/>
      <c r="AI55" s="1">
        <v>2</v>
      </c>
      <c r="AK55" s="1">
        <v>5</v>
      </c>
      <c r="AM55" s="1">
        <v>0</v>
      </c>
      <c r="AN55" s="1">
        <v>12</v>
      </c>
      <c r="AO55" s="1">
        <v>3</v>
      </c>
      <c r="AQ55" s="1" t="s">
        <v>527</v>
      </c>
      <c r="AV55" s="18"/>
      <c r="AW55" s="18"/>
      <c r="AX55" s="18"/>
      <c r="AY55" s="7"/>
      <c r="AZ55" s="7"/>
      <c r="BA55" s="7"/>
      <c r="BB55" s="7"/>
      <c r="BC55" s="7"/>
      <c r="BD55" s="7">
        <f>59*Umrechnungsfaktoren!$B$15/Umrechnungsfaktoren!$B$13</f>
        <v>60.937313432835815</v>
      </c>
      <c r="BE55" s="1">
        <f>310*Umrechnungsfaktoren!$B$15/Umrechnungsfaktoren!$B$13</f>
        <v>320.17910447761193</v>
      </c>
      <c r="BJ55" s="12">
        <v>142</v>
      </c>
      <c r="BK55" s="12">
        <v>142</v>
      </c>
      <c r="BL55" s="12"/>
      <c r="BM55" s="12"/>
      <c r="BN55" s="12"/>
      <c r="BO55" s="12"/>
      <c r="BP55" s="12"/>
      <c r="BR55" s="12"/>
      <c r="BS55" s="1" t="s">
        <v>531</v>
      </c>
      <c r="BT55" s="12"/>
      <c r="BU55" s="1">
        <v>142</v>
      </c>
      <c r="BV55" s="1">
        <v>142</v>
      </c>
      <c r="BX55" s="1">
        <v>142</v>
      </c>
      <c r="CB55" s="1">
        <v>142</v>
      </c>
      <c r="CC55" s="1">
        <v>142</v>
      </c>
    </row>
    <row r="56" spans="1:81" x14ac:dyDescent="0.2">
      <c r="A56" s="1" t="s">
        <v>165</v>
      </c>
      <c r="B56" s="1" t="s">
        <v>142</v>
      </c>
      <c r="C56" s="1">
        <v>2025</v>
      </c>
      <c r="D56" s="1">
        <v>1</v>
      </c>
      <c r="E56" s="1">
        <v>0</v>
      </c>
      <c r="F56" s="1">
        <v>0</v>
      </c>
      <c r="J56" s="18"/>
      <c r="K56" s="18"/>
      <c r="L56" s="18"/>
      <c r="M56" s="18">
        <v>1600</v>
      </c>
      <c r="N56" s="18"/>
      <c r="O56" s="18"/>
      <c r="P56" s="18"/>
      <c r="Q56" s="18"/>
      <c r="R56" s="18"/>
      <c r="S56" s="18"/>
      <c r="T56" s="18">
        <v>1600</v>
      </c>
      <c r="U56" s="18"/>
      <c r="V56" s="18"/>
      <c r="W56" s="19"/>
      <c r="X56" s="8"/>
      <c r="Y56" s="8"/>
      <c r="Z56" s="48"/>
      <c r="AA56" s="19"/>
      <c r="AB56" s="18"/>
      <c r="AC56" s="8"/>
      <c r="AD56" s="18"/>
      <c r="AE56" s="8"/>
      <c r="AI56" s="1">
        <v>2</v>
      </c>
      <c r="AK56" s="1">
        <v>5</v>
      </c>
      <c r="AM56" s="1">
        <v>0</v>
      </c>
      <c r="AN56" s="1">
        <v>12</v>
      </c>
      <c r="AO56" s="1">
        <v>3</v>
      </c>
      <c r="AQ56" s="1" t="s">
        <v>527</v>
      </c>
      <c r="AV56" s="18"/>
      <c r="AW56" s="18"/>
      <c r="AX56" s="18"/>
      <c r="AY56" s="7"/>
      <c r="AZ56" s="7"/>
      <c r="BA56" s="7"/>
      <c r="BB56" s="7"/>
      <c r="BC56" s="7"/>
      <c r="BD56" s="7">
        <f>50*Umrechnungsfaktoren!$B$15/Umrechnungsfaktoren!$B$13</f>
        <v>51.64179104477612</v>
      </c>
      <c r="BE56" s="1">
        <f>265*Umrechnungsfaktoren!$B$15/Umrechnungsfaktoren!$B$13</f>
        <v>273.70149253731341</v>
      </c>
      <c r="BJ56" s="12">
        <v>142</v>
      </c>
      <c r="BK56" s="12">
        <v>142</v>
      </c>
      <c r="BL56" s="12"/>
      <c r="BM56" s="12"/>
      <c r="BN56" s="12"/>
      <c r="BO56" s="12"/>
      <c r="BP56" s="12"/>
      <c r="BR56" s="12"/>
      <c r="BS56" s="1" t="s">
        <v>531</v>
      </c>
      <c r="BT56" s="12"/>
      <c r="BU56" s="1">
        <v>142</v>
      </c>
      <c r="BV56" s="1">
        <v>142</v>
      </c>
      <c r="BX56" s="1">
        <v>142</v>
      </c>
      <c r="CB56" s="1">
        <v>142</v>
      </c>
      <c r="CC56" s="1">
        <v>142</v>
      </c>
    </row>
    <row r="57" spans="1:81" x14ac:dyDescent="0.2">
      <c r="A57" s="1" t="s">
        <v>165</v>
      </c>
      <c r="B57" s="1" t="s">
        <v>142</v>
      </c>
      <c r="C57" s="1">
        <v>2030</v>
      </c>
      <c r="D57" s="1">
        <v>1</v>
      </c>
      <c r="E57" s="1">
        <v>0</v>
      </c>
      <c r="F57" s="1">
        <v>0</v>
      </c>
      <c r="J57" s="18"/>
      <c r="K57" s="18"/>
      <c r="L57" s="18"/>
      <c r="M57" s="18">
        <v>2700</v>
      </c>
      <c r="N57" s="18"/>
      <c r="O57" s="18"/>
      <c r="P57" s="18"/>
      <c r="Q57" s="18"/>
      <c r="R57" s="18"/>
      <c r="S57" s="18"/>
      <c r="T57" s="18">
        <v>2700</v>
      </c>
      <c r="U57" s="18"/>
      <c r="V57" s="18"/>
      <c r="W57" s="19"/>
      <c r="X57" s="8"/>
      <c r="Y57" s="8"/>
      <c r="Z57" s="48"/>
      <c r="AA57" s="19"/>
      <c r="AB57" s="18"/>
      <c r="AC57" s="8"/>
      <c r="AD57" s="18"/>
      <c r="AE57" s="8"/>
      <c r="AI57" s="1">
        <v>2</v>
      </c>
      <c r="AK57" s="1">
        <v>5</v>
      </c>
      <c r="AM57" s="1">
        <v>0</v>
      </c>
      <c r="AN57" s="1">
        <v>12</v>
      </c>
      <c r="AO57" s="1">
        <v>3</v>
      </c>
      <c r="AQ57" s="1" t="s">
        <v>527</v>
      </c>
      <c r="AV57" s="18"/>
      <c r="AW57" s="18"/>
      <c r="AX57" s="18"/>
      <c r="AY57" s="7"/>
      <c r="AZ57" s="7"/>
      <c r="BA57" s="7"/>
      <c r="BB57" s="7"/>
      <c r="BC57" s="7"/>
      <c r="BD57" s="7">
        <f>42*Umrechnungsfaktoren!$B$15/Umrechnungsfaktoren!$B$13</f>
        <v>43.379104477611939</v>
      </c>
      <c r="BE57" s="1">
        <f>220*Umrechnungsfaktoren!$B$15/Umrechnungsfaktoren!$B$13</f>
        <v>227.22388059701493</v>
      </c>
      <c r="BJ57" s="12">
        <v>142</v>
      </c>
      <c r="BK57" s="12">
        <v>142</v>
      </c>
      <c r="BL57" s="12"/>
      <c r="BM57" s="12"/>
      <c r="BN57" s="12"/>
      <c r="BO57" s="12"/>
      <c r="BP57" s="12"/>
      <c r="BR57" s="12"/>
      <c r="BS57" s="1" t="s">
        <v>531</v>
      </c>
      <c r="BT57" s="12"/>
      <c r="BU57" s="1">
        <v>142</v>
      </c>
      <c r="BV57" s="1">
        <v>142</v>
      </c>
      <c r="BX57" s="1">
        <v>142</v>
      </c>
      <c r="CB57" s="1">
        <v>142</v>
      </c>
      <c r="CC57" s="1">
        <v>142</v>
      </c>
    </row>
    <row r="58" spans="1:81" x14ac:dyDescent="0.2">
      <c r="A58" s="1" t="s">
        <v>535</v>
      </c>
      <c r="B58" s="1" t="s">
        <v>129</v>
      </c>
      <c r="C58" s="1">
        <v>2010</v>
      </c>
      <c r="D58" s="1">
        <v>0</v>
      </c>
      <c r="E58" s="1">
        <v>1</v>
      </c>
      <c r="F58" s="1"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8"/>
      <c r="Y58" s="8"/>
      <c r="Z58" s="48"/>
      <c r="AA58" s="19"/>
      <c r="AB58" s="18"/>
      <c r="AC58" s="8"/>
      <c r="AD58" s="18"/>
      <c r="AE58" s="8"/>
      <c r="AG58" s="1">
        <v>1</v>
      </c>
      <c r="AH58" s="1">
        <v>8</v>
      </c>
      <c r="AV58" s="18"/>
      <c r="AW58" s="18"/>
      <c r="AX58" s="18"/>
      <c r="AY58" s="7"/>
      <c r="AZ58" s="7"/>
      <c r="BA58" s="7"/>
      <c r="BB58" s="7"/>
      <c r="BC58" s="7"/>
      <c r="BD58" s="7"/>
      <c r="BJ58" s="12"/>
      <c r="BL58" s="12"/>
      <c r="BM58" s="12"/>
      <c r="BN58" s="12"/>
      <c r="BO58" s="12"/>
      <c r="BP58" s="12"/>
      <c r="BR58" s="12"/>
      <c r="BS58" s="12"/>
      <c r="BT58" s="12"/>
      <c r="BU58" s="1">
        <v>211</v>
      </c>
    </row>
    <row r="59" spans="1:81" x14ac:dyDescent="0.2">
      <c r="A59" s="1" t="s">
        <v>536</v>
      </c>
      <c r="B59" s="1" t="s">
        <v>129</v>
      </c>
      <c r="C59" s="1">
        <v>2010</v>
      </c>
      <c r="D59" s="1">
        <v>1</v>
      </c>
      <c r="E59" s="1">
        <v>0</v>
      </c>
      <c r="F59" s="1"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8"/>
      <c r="Y59" s="8"/>
      <c r="Z59" s="48"/>
      <c r="AA59" s="19"/>
      <c r="AB59" s="18"/>
      <c r="AC59" s="8"/>
      <c r="AD59" s="18"/>
      <c r="AE59" s="8"/>
      <c r="AG59" s="1">
        <v>0.25</v>
      </c>
      <c r="AH59" s="1">
        <v>1</v>
      </c>
      <c r="AV59" s="18"/>
      <c r="AW59" s="18"/>
      <c r="AX59" s="18"/>
      <c r="AY59" s="7"/>
      <c r="AZ59" s="7"/>
      <c r="BA59" s="7"/>
      <c r="BB59" s="7"/>
      <c r="BC59" s="7"/>
      <c r="BD59" s="7"/>
      <c r="BJ59" s="12"/>
      <c r="BL59" s="12"/>
      <c r="BM59" s="12"/>
      <c r="BN59" s="12"/>
      <c r="BO59" s="12"/>
      <c r="BP59" s="12"/>
      <c r="BR59" s="12"/>
      <c r="BS59" s="12"/>
      <c r="BT59" s="12"/>
      <c r="BU59" s="1">
        <v>211</v>
      </c>
    </row>
    <row r="60" spans="1:81" x14ac:dyDescent="0.2">
      <c r="A60" s="1" t="s">
        <v>537</v>
      </c>
      <c r="B60" s="1" t="s">
        <v>129</v>
      </c>
      <c r="C60" s="1">
        <v>2010</v>
      </c>
      <c r="D60" s="1">
        <v>1</v>
      </c>
      <c r="E60" s="1">
        <v>0</v>
      </c>
      <c r="F60" s="1"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9"/>
      <c r="X60" s="8"/>
      <c r="Y60" s="8"/>
      <c r="Z60" s="48"/>
      <c r="AA60" s="19"/>
      <c r="AB60" s="18"/>
      <c r="AC60" s="8"/>
      <c r="AD60" s="18"/>
      <c r="AE60" s="8"/>
      <c r="AG60" s="1">
        <f>1/60</f>
        <v>1.6666666666666666E-2</v>
      </c>
      <c r="AH60" s="1">
        <v>0.5</v>
      </c>
      <c r="AV60" s="18"/>
      <c r="AW60" s="18"/>
      <c r="AX60" s="18"/>
      <c r="AY60" s="7"/>
      <c r="AZ60" s="7"/>
      <c r="BA60" s="7"/>
      <c r="BB60" s="7"/>
      <c r="BC60" s="7"/>
      <c r="BD60" s="7"/>
      <c r="BJ60" s="12"/>
      <c r="BL60" s="12"/>
      <c r="BM60" s="12"/>
      <c r="BN60" s="12"/>
      <c r="BO60" s="12"/>
      <c r="BP60" s="12"/>
      <c r="BR60" s="12"/>
      <c r="BS60" s="12"/>
      <c r="BT60" s="12"/>
      <c r="BU60" s="1">
        <v>211</v>
      </c>
    </row>
    <row r="61" spans="1:81" x14ac:dyDescent="0.2">
      <c r="A61" s="1" t="s">
        <v>542</v>
      </c>
      <c r="B61" s="1" t="s">
        <v>129</v>
      </c>
      <c r="C61" s="1">
        <v>2015</v>
      </c>
      <c r="D61" s="1">
        <v>1</v>
      </c>
      <c r="E61" s="1">
        <v>0</v>
      </c>
      <c r="F61" s="1">
        <v>0</v>
      </c>
      <c r="J61" s="18"/>
      <c r="K61" s="18"/>
      <c r="L61" s="18"/>
      <c r="M61" s="18">
        <v>1177</v>
      </c>
      <c r="N61" s="18"/>
      <c r="O61" s="18"/>
      <c r="P61" s="18"/>
      <c r="Q61" s="18"/>
      <c r="R61" s="18"/>
      <c r="S61" s="18"/>
      <c r="T61" s="18">
        <v>1177</v>
      </c>
      <c r="U61" s="18"/>
      <c r="V61" s="18"/>
      <c r="W61" s="19"/>
      <c r="X61" s="8"/>
      <c r="Y61" s="8"/>
      <c r="Z61" s="48">
        <v>500</v>
      </c>
      <c r="AA61" s="19"/>
      <c r="AB61" s="18"/>
      <c r="AC61" s="8"/>
      <c r="AD61" s="18"/>
      <c r="AE61" s="8"/>
      <c r="AQ61" s="1" t="s">
        <v>546</v>
      </c>
      <c r="AV61" s="18"/>
      <c r="AW61" s="18"/>
      <c r="AX61" s="24">
        <f>6.2*Umrechnungsfaktoren!$B$15/Umrechnungsfaktoren!$B$13</f>
        <v>6.4035820895522386</v>
      </c>
      <c r="AY61" s="7"/>
      <c r="AZ61" s="7"/>
      <c r="BA61" s="7"/>
      <c r="BB61" s="7"/>
      <c r="BC61" s="7"/>
      <c r="BD61" s="7"/>
      <c r="BJ61" s="12"/>
      <c r="BL61" s="12"/>
      <c r="BM61" s="12"/>
      <c r="BN61" s="12"/>
      <c r="BO61" s="12"/>
      <c r="BP61" s="12"/>
      <c r="BR61" s="12"/>
      <c r="BS61" s="12"/>
      <c r="BT61" s="12"/>
      <c r="BZ61" s="1" t="s">
        <v>547</v>
      </c>
      <c r="CC61" s="1">
        <v>244</v>
      </c>
    </row>
    <row r="62" spans="1:81" x14ac:dyDescent="0.2">
      <c r="A62" s="1" t="s">
        <v>542</v>
      </c>
      <c r="B62" s="1" t="s">
        <v>129</v>
      </c>
      <c r="C62" s="1">
        <v>2020</v>
      </c>
      <c r="D62" s="1">
        <v>1</v>
      </c>
      <c r="E62" s="1">
        <v>0</v>
      </c>
      <c r="F62" s="1">
        <v>0</v>
      </c>
      <c r="J62" s="18"/>
      <c r="K62" s="18"/>
      <c r="L62" s="18"/>
      <c r="M62" s="18">
        <v>1101</v>
      </c>
      <c r="N62" s="18"/>
      <c r="O62" s="18"/>
      <c r="P62" s="18"/>
      <c r="Q62" s="18"/>
      <c r="R62" s="18"/>
      <c r="S62" s="18"/>
      <c r="T62" s="18">
        <v>1101</v>
      </c>
      <c r="U62" s="18"/>
      <c r="V62" s="18"/>
      <c r="W62" s="19"/>
      <c r="X62" s="8"/>
      <c r="Y62" s="8"/>
      <c r="Z62" s="48">
        <v>500</v>
      </c>
      <c r="AA62" s="19"/>
      <c r="AB62" s="18"/>
      <c r="AC62" s="8"/>
      <c r="AD62" s="18"/>
      <c r="AE62" s="8"/>
      <c r="AQ62" s="1" t="s">
        <v>546</v>
      </c>
      <c r="AV62" s="18"/>
      <c r="AW62" s="18"/>
      <c r="AX62" s="24">
        <v>5.6</v>
      </c>
      <c r="AY62" s="7"/>
      <c r="AZ62" s="7"/>
      <c r="BA62" s="7"/>
      <c r="BB62" s="7"/>
      <c r="BC62" s="7"/>
      <c r="BD62" s="7"/>
      <c r="BJ62" s="12"/>
      <c r="BL62" s="12"/>
      <c r="BM62" s="12"/>
      <c r="BN62" s="12"/>
      <c r="BO62" s="12"/>
      <c r="BP62" s="12"/>
      <c r="BR62" s="12"/>
      <c r="BS62" s="12"/>
      <c r="BT62" s="12"/>
      <c r="BZ62" s="1" t="s">
        <v>547</v>
      </c>
      <c r="CC62" s="1">
        <v>244</v>
      </c>
    </row>
    <row r="63" spans="1:81" x14ac:dyDescent="0.2">
      <c r="A63" s="1" t="s">
        <v>542</v>
      </c>
      <c r="B63" s="1" t="s">
        <v>129</v>
      </c>
      <c r="C63" s="1">
        <v>2025</v>
      </c>
      <c r="D63" s="1">
        <v>1</v>
      </c>
      <c r="E63" s="1">
        <v>0</v>
      </c>
      <c r="F63" s="1">
        <v>0</v>
      </c>
      <c r="J63" s="18"/>
      <c r="K63" s="18"/>
      <c r="L63" s="18"/>
      <c r="M63" s="18">
        <v>1142</v>
      </c>
      <c r="N63" s="18"/>
      <c r="O63" s="18"/>
      <c r="P63" s="18"/>
      <c r="Q63" s="18"/>
      <c r="R63" s="18"/>
      <c r="S63" s="18"/>
      <c r="T63" s="18">
        <v>1142</v>
      </c>
      <c r="U63" s="18"/>
      <c r="V63" s="18"/>
      <c r="W63" s="19"/>
      <c r="X63" s="8"/>
      <c r="Y63" s="8"/>
      <c r="Z63" s="48">
        <v>500</v>
      </c>
      <c r="AA63" s="19"/>
      <c r="AB63" s="18"/>
      <c r="AC63" s="8"/>
      <c r="AD63" s="18"/>
      <c r="AE63" s="8"/>
      <c r="AQ63" s="1" t="s">
        <v>546</v>
      </c>
      <c r="AV63" s="18"/>
      <c r="AW63" s="18"/>
      <c r="AX63" s="24">
        <v>5.3</v>
      </c>
      <c r="AY63" s="7"/>
      <c r="AZ63" s="7"/>
      <c r="BA63" s="7"/>
      <c r="BB63" s="7"/>
      <c r="BC63" s="7"/>
      <c r="BD63" s="7"/>
      <c r="BJ63" s="12"/>
      <c r="BL63" s="12"/>
      <c r="BM63" s="12"/>
      <c r="BN63" s="12"/>
      <c r="BO63" s="12"/>
      <c r="BP63" s="12"/>
      <c r="BR63" s="12"/>
      <c r="BS63" s="12"/>
      <c r="BT63" s="12"/>
      <c r="BZ63" s="1" t="s">
        <v>547</v>
      </c>
      <c r="CC63" s="1">
        <v>244</v>
      </c>
    </row>
    <row r="64" spans="1:81" x14ac:dyDescent="0.2">
      <c r="A64" s="1" t="s">
        <v>542</v>
      </c>
      <c r="B64" s="1" t="s">
        <v>129</v>
      </c>
      <c r="C64" s="1">
        <v>2030</v>
      </c>
      <c r="D64" s="1">
        <v>1</v>
      </c>
      <c r="E64" s="1">
        <v>0</v>
      </c>
      <c r="F64" s="1">
        <v>0</v>
      </c>
      <c r="J64" s="18"/>
      <c r="K64" s="18"/>
      <c r="L64" s="18"/>
      <c r="M64" s="18">
        <v>1179</v>
      </c>
      <c r="N64" s="18"/>
      <c r="O64" s="18"/>
      <c r="P64" s="18"/>
      <c r="Q64" s="18"/>
      <c r="R64" s="18"/>
      <c r="S64" s="18"/>
      <c r="T64" s="18">
        <v>1179</v>
      </c>
      <c r="U64" s="18"/>
      <c r="V64" s="18"/>
      <c r="W64" s="19"/>
      <c r="X64" s="8"/>
      <c r="Y64" s="8"/>
      <c r="Z64" s="48">
        <v>500</v>
      </c>
      <c r="AA64" s="19"/>
      <c r="AB64" s="18"/>
      <c r="AC64" s="8"/>
      <c r="AD64" s="18"/>
      <c r="AE64" s="8"/>
      <c r="AQ64" s="1" t="s">
        <v>546</v>
      </c>
      <c r="AV64" s="18"/>
      <c r="AW64" s="18"/>
      <c r="AX64" s="24">
        <v>4.9000000000000004</v>
      </c>
      <c r="AY64" s="7"/>
      <c r="AZ64" s="7"/>
      <c r="BA64" s="7"/>
      <c r="BB64" s="7"/>
      <c r="BC64" s="7"/>
      <c r="BD64" s="7"/>
      <c r="BJ64" s="12"/>
      <c r="BL64" s="12"/>
      <c r="BM64" s="12"/>
      <c r="BN64" s="12"/>
      <c r="BO64" s="12"/>
      <c r="BP64" s="12"/>
      <c r="BR64" s="12"/>
      <c r="BS64" s="12"/>
      <c r="BT64" s="12"/>
      <c r="BZ64" s="1" t="s">
        <v>547</v>
      </c>
      <c r="CC64" s="1">
        <v>244</v>
      </c>
    </row>
    <row r="66" spans="1:1" x14ac:dyDescent="0.2">
      <c r="A66" s="3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2000000}">
          <x14:formula1>
            <xm:f>Dropdown!$C$2:$C$4</xm:f>
          </x14:formula1>
          <xm:sqref>B2:B64</xm:sqref>
        </x14:dataValidation>
        <x14:dataValidation type="list" allowBlank="1" showInputMessage="1" showErrorMessage="1" xr:uid="{00000000-0002-0000-0F00-000000000000}">
          <x14:formula1>
            <xm:f>Dropdown!$A$2:$A$54</xm:f>
          </x14:formula1>
          <xm:sqref>A54:A57 A2:A49</xm:sqref>
        </x14:dataValidation>
        <x14:dataValidation type="list" allowBlank="1" showInputMessage="1" showErrorMessage="1" xr:uid="{00000000-0002-0000-0F00-000001000000}">
          <x14:formula1>
            <xm:f>Dropdown!$A$2:$A$92</xm:f>
          </x14:formula1>
          <xm:sqref>A50:A53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23"/>
  <dimension ref="A1:BO6"/>
  <sheetViews>
    <sheetView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baseColWidth="10" defaultColWidth="11.42578125" defaultRowHeight="12.75" x14ac:dyDescent="0.2"/>
  <cols>
    <col min="1" max="1" width="48.5703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330</v>
      </c>
      <c r="Q1" s="2" t="s">
        <v>235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423</v>
      </c>
      <c r="X1" s="2" t="s">
        <v>225</v>
      </c>
      <c r="Y1" s="2" t="s">
        <v>157</v>
      </c>
      <c r="Z1" s="2" t="s">
        <v>227</v>
      </c>
      <c r="AA1" s="2" t="s">
        <v>228</v>
      </c>
      <c r="AB1" s="2" t="s">
        <v>158</v>
      </c>
      <c r="AC1" s="2" t="s">
        <v>214</v>
      </c>
      <c r="AD1" s="2" t="s">
        <v>215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183</v>
      </c>
      <c r="AK1" s="2" t="s">
        <v>182</v>
      </c>
      <c r="AL1" s="2" t="s">
        <v>12</v>
      </c>
      <c r="AM1" s="2" t="s">
        <v>231</v>
      </c>
      <c r="AN1" s="2" t="s">
        <v>232</v>
      </c>
      <c r="AO1" s="2" t="s">
        <v>230</v>
      </c>
      <c r="AP1" s="2" t="s">
        <v>332</v>
      </c>
      <c r="AQ1" s="2" t="s">
        <v>333</v>
      </c>
      <c r="AR1" s="2" t="s">
        <v>147</v>
      </c>
      <c r="AS1" s="2" t="s">
        <v>22</v>
      </c>
      <c r="AT1" s="2" t="s">
        <v>162</v>
      </c>
      <c r="AU1" s="2" t="s">
        <v>163</v>
      </c>
      <c r="AV1" s="2" t="s">
        <v>1</v>
      </c>
      <c r="AW1" s="2" t="s">
        <v>2</v>
      </c>
      <c r="AX1" s="2" t="s">
        <v>59</v>
      </c>
      <c r="AY1" s="2" t="s">
        <v>1089</v>
      </c>
      <c r="AZ1" s="2" t="s">
        <v>236</v>
      </c>
      <c r="BA1" s="2" t="s">
        <v>117</v>
      </c>
      <c r="BB1" s="2" t="s">
        <v>60</v>
      </c>
      <c r="BC1" s="2" t="s">
        <v>61</v>
      </c>
      <c r="BD1" s="2" t="s">
        <v>98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148</v>
      </c>
      <c r="BN1" s="2" t="s">
        <v>23</v>
      </c>
      <c r="BO1" s="2" t="s">
        <v>51</v>
      </c>
    </row>
    <row r="2" spans="1:67" x14ac:dyDescent="0.2">
      <c r="A2" s="5" t="s">
        <v>54</v>
      </c>
      <c r="B2" s="1" t="s">
        <v>129</v>
      </c>
      <c r="C2" s="1">
        <v>2014</v>
      </c>
      <c r="D2" s="1">
        <v>0</v>
      </c>
      <c r="E2" s="1">
        <v>1</v>
      </c>
      <c r="F2" s="1">
        <v>0</v>
      </c>
      <c r="G2" s="18"/>
      <c r="H2" s="18">
        <v>484</v>
      </c>
      <c r="I2" s="18"/>
      <c r="J2" s="18"/>
      <c r="K2" s="18"/>
      <c r="L2" s="18"/>
      <c r="M2" s="18"/>
      <c r="N2" s="18"/>
      <c r="O2" s="8"/>
      <c r="P2" s="8">
        <v>0.69</v>
      </c>
      <c r="Q2" s="8"/>
      <c r="R2" s="19">
        <v>696</v>
      </c>
      <c r="S2" s="18"/>
      <c r="T2" s="8"/>
      <c r="U2" s="18"/>
      <c r="AJ2" s="18"/>
      <c r="AK2" s="18"/>
      <c r="AL2" s="18"/>
      <c r="AM2" s="7"/>
      <c r="AN2" s="7"/>
      <c r="AO2" s="18"/>
      <c r="AP2" s="7"/>
      <c r="AQ2" s="7"/>
      <c r="AT2" s="1" t="s">
        <v>331</v>
      </c>
      <c r="AU2" s="1" t="s">
        <v>331</v>
      </c>
      <c r="AV2" s="12">
        <v>54</v>
      </c>
      <c r="AX2" s="12"/>
      <c r="AY2" s="12">
        <v>54</v>
      </c>
      <c r="AZ2" s="12"/>
      <c r="BA2" s="12">
        <v>54</v>
      </c>
      <c r="BC2" s="12"/>
      <c r="BD2" s="12"/>
    </row>
    <row r="3" spans="1:67" x14ac:dyDescent="0.2">
      <c r="A3" s="1" t="s">
        <v>328</v>
      </c>
      <c r="B3" s="1" t="s">
        <v>129</v>
      </c>
      <c r="C3" s="1">
        <v>2014</v>
      </c>
      <c r="D3" s="1">
        <v>0</v>
      </c>
      <c r="E3" s="1">
        <v>1</v>
      </c>
      <c r="F3" s="1">
        <v>0</v>
      </c>
      <c r="G3" s="18"/>
      <c r="H3" s="18">
        <v>932</v>
      </c>
      <c r="I3" s="18"/>
      <c r="J3" s="18"/>
      <c r="K3" s="18"/>
      <c r="L3" s="18"/>
      <c r="M3" s="18"/>
      <c r="N3" s="18"/>
      <c r="O3" s="19"/>
      <c r="P3" s="8">
        <v>0.52</v>
      </c>
      <c r="Q3" s="8"/>
      <c r="R3" s="19">
        <v>1804</v>
      </c>
      <c r="S3" s="18"/>
      <c r="T3" s="8"/>
      <c r="U3" s="18"/>
      <c r="AJ3" s="18"/>
      <c r="AK3" s="18"/>
      <c r="AL3" s="18"/>
      <c r="AM3" s="7"/>
      <c r="AN3" s="7"/>
      <c r="AO3" s="7"/>
      <c r="AP3" s="7"/>
      <c r="AQ3" s="7"/>
      <c r="AT3" s="1" t="s">
        <v>331</v>
      </c>
      <c r="AU3" s="1" t="s">
        <v>331</v>
      </c>
      <c r="AV3" s="12">
        <v>54</v>
      </c>
      <c r="AX3" s="12"/>
      <c r="AY3" s="12">
        <v>54</v>
      </c>
      <c r="AZ3" s="12"/>
      <c r="BA3" s="12">
        <v>54</v>
      </c>
      <c r="BC3" s="12"/>
      <c r="BD3" s="12"/>
    </row>
    <row r="4" spans="1:67" x14ac:dyDescent="0.2">
      <c r="A4" s="1" t="s">
        <v>880</v>
      </c>
      <c r="B4" s="1" t="s">
        <v>129</v>
      </c>
      <c r="C4" s="1">
        <v>2014</v>
      </c>
      <c r="D4" s="1">
        <v>0</v>
      </c>
      <c r="E4" s="1">
        <v>1</v>
      </c>
      <c r="F4" s="1">
        <v>0</v>
      </c>
      <c r="G4" s="18"/>
      <c r="H4" s="18">
        <v>219</v>
      </c>
      <c r="I4" s="18"/>
      <c r="J4" s="18"/>
      <c r="K4" s="18"/>
      <c r="L4" s="18"/>
      <c r="M4" s="18"/>
      <c r="N4" s="18"/>
      <c r="O4" s="19"/>
      <c r="P4" s="8">
        <v>0.6</v>
      </c>
      <c r="Q4" s="8"/>
      <c r="R4" s="19">
        <v>365</v>
      </c>
      <c r="S4" s="18"/>
      <c r="T4" s="8"/>
      <c r="U4" s="18"/>
      <c r="AJ4" s="18"/>
      <c r="AK4" s="18"/>
      <c r="AL4" s="18"/>
      <c r="AM4" s="7"/>
      <c r="AN4" s="7"/>
      <c r="AO4" s="7"/>
      <c r="AP4" s="7"/>
      <c r="AQ4" s="7"/>
      <c r="AT4" s="1" t="s">
        <v>331</v>
      </c>
      <c r="AU4" s="1" t="s">
        <v>331</v>
      </c>
      <c r="AV4" s="12">
        <v>54</v>
      </c>
      <c r="AX4" s="12"/>
      <c r="AY4" s="12">
        <v>54</v>
      </c>
      <c r="AZ4" s="12"/>
      <c r="BA4" s="12">
        <v>54</v>
      </c>
      <c r="BC4" s="12"/>
      <c r="BD4" s="12"/>
    </row>
    <row r="5" spans="1:67" x14ac:dyDescent="0.2">
      <c r="A5" s="1" t="s">
        <v>84</v>
      </c>
      <c r="B5" s="1" t="s">
        <v>129</v>
      </c>
      <c r="C5" s="1">
        <v>2014</v>
      </c>
      <c r="D5" s="1">
        <v>0</v>
      </c>
      <c r="E5" s="1">
        <v>1</v>
      </c>
      <c r="F5" s="1">
        <v>0</v>
      </c>
      <c r="G5" s="18"/>
      <c r="H5" s="18">
        <v>892</v>
      </c>
      <c r="I5" s="18"/>
      <c r="J5" s="18"/>
      <c r="K5" s="18"/>
      <c r="L5" s="18"/>
      <c r="M5" s="18"/>
      <c r="N5" s="18"/>
      <c r="O5" s="19"/>
      <c r="P5" s="8">
        <v>1</v>
      </c>
      <c r="Q5" s="8"/>
      <c r="R5" s="19">
        <v>90</v>
      </c>
      <c r="S5" s="18"/>
      <c r="T5" s="8"/>
      <c r="U5" s="18"/>
      <c r="AJ5" s="18"/>
      <c r="AK5" s="18"/>
      <c r="AL5" s="18"/>
      <c r="AM5" s="7"/>
      <c r="AN5" s="7"/>
      <c r="AO5" s="7"/>
      <c r="AP5" s="7"/>
      <c r="AQ5" s="7"/>
      <c r="AT5" s="1" t="s">
        <v>331</v>
      </c>
      <c r="AU5" s="1" t="s">
        <v>331</v>
      </c>
      <c r="AV5" s="12">
        <v>54</v>
      </c>
      <c r="AX5" s="12"/>
      <c r="AY5" s="12">
        <v>54</v>
      </c>
      <c r="AZ5" s="12"/>
      <c r="BA5" s="12">
        <v>54</v>
      </c>
      <c r="BC5" s="12"/>
      <c r="BD5" s="12"/>
    </row>
    <row r="6" spans="1:67" x14ac:dyDescent="0.2">
      <c r="A6" s="1" t="s">
        <v>188</v>
      </c>
      <c r="B6" s="1" t="s">
        <v>129</v>
      </c>
      <c r="C6" s="1">
        <v>2014</v>
      </c>
      <c r="D6" s="1">
        <v>0</v>
      </c>
      <c r="E6" s="1">
        <v>1</v>
      </c>
      <c r="F6" s="1">
        <v>0</v>
      </c>
      <c r="G6" s="18"/>
      <c r="H6" s="18">
        <v>1473</v>
      </c>
      <c r="I6" s="18"/>
      <c r="J6" s="18"/>
      <c r="K6" s="18"/>
      <c r="L6" s="18"/>
      <c r="M6" s="18"/>
      <c r="N6" s="18"/>
      <c r="O6" s="19"/>
      <c r="P6" s="8">
        <v>0.73</v>
      </c>
      <c r="Q6" s="8"/>
      <c r="R6" s="19">
        <v>2047</v>
      </c>
      <c r="S6" s="18"/>
      <c r="T6" s="8"/>
      <c r="U6" s="18"/>
      <c r="AJ6" s="18"/>
      <c r="AK6" s="18"/>
      <c r="AL6" s="18"/>
      <c r="AM6" s="7"/>
      <c r="AN6" s="7"/>
      <c r="AO6" s="7"/>
      <c r="AP6" s="7"/>
      <c r="AQ6" s="7"/>
      <c r="AT6" s="1" t="s">
        <v>331</v>
      </c>
      <c r="AU6" s="1" t="s">
        <v>331</v>
      </c>
      <c r="AV6" s="12">
        <v>54</v>
      </c>
      <c r="AX6" s="12"/>
      <c r="AY6" s="12">
        <v>54</v>
      </c>
      <c r="AZ6" s="12"/>
      <c r="BA6" s="12">
        <v>54</v>
      </c>
      <c r="BC6" s="12"/>
      <c r="BD6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Dropdown!$C$2:$C$4</xm:f>
          </x14:formula1>
          <xm:sqref>B2:B6</xm:sqref>
        </x14:dataValidation>
        <x14:dataValidation type="list" allowBlank="1" showInputMessage="1" showErrorMessage="1" xr:uid="{00000000-0002-0000-0800-000001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0800-000002000000}">
          <x14:formula1>
            <xm:f>Dropdown!$A$2:$A$91</xm:f>
          </x14:formula1>
          <xm:sqref>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4"/>
  <dimension ref="A1:BF9"/>
  <sheetViews>
    <sheetView zoomScale="85" zoomScaleNormal="85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baseColWidth="10" defaultColWidth="11.42578125" defaultRowHeight="14.25" x14ac:dyDescent="0.2"/>
  <cols>
    <col min="1" max="1" width="31.85546875" style="16" bestFit="1" customWidth="1"/>
    <col min="2" max="2" width="21.28515625" style="16" bestFit="1" customWidth="1"/>
    <col min="3" max="3" width="7.28515625" style="16" bestFit="1" customWidth="1"/>
    <col min="4" max="4" width="19.28515625" style="16" bestFit="1" customWidth="1"/>
    <col min="5" max="5" width="14.140625" style="16" bestFit="1" customWidth="1"/>
    <col min="6" max="6" width="14.140625" style="16" customWidth="1"/>
    <col min="7" max="7" width="24.42578125" style="16" bestFit="1" customWidth="1"/>
    <col min="8" max="8" width="32.28515625" style="16" bestFit="1" customWidth="1"/>
    <col min="9" max="9" width="20.28515625" style="16" bestFit="1" customWidth="1"/>
    <col min="10" max="10" width="47.5703125" style="16" bestFit="1" customWidth="1"/>
    <col min="11" max="11" width="24.7109375" style="16" bestFit="1" customWidth="1"/>
    <col min="12" max="12" width="32.5703125" style="16" bestFit="1" customWidth="1"/>
    <col min="13" max="13" width="20.5703125" style="16" bestFit="1" customWidth="1"/>
    <col min="14" max="14" width="21.5703125" style="16" bestFit="1" customWidth="1"/>
    <col min="15" max="15" width="20.140625" style="16" bestFit="1" customWidth="1"/>
    <col min="16" max="16" width="24.42578125" style="16" bestFit="1" customWidth="1"/>
    <col min="17" max="17" width="31.5703125" style="16" bestFit="1" customWidth="1"/>
    <col min="18" max="18" width="22.42578125" style="16" bestFit="1" customWidth="1"/>
    <col min="19" max="19" width="21" style="16" bestFit="1" customWidth="1"/>
    <col min="20" max="20" width="25.42578125" style="16" bestFit="1" customWidth="1"/>
    <col min="21" max="21" width="22.7109375" style="16" bestFit="1" customWidth="1"/>
    <col min="22" max="22" width="21.5703125" style="16" bestFit="1" customWidth="1"/>
    <col min="23" max="23" width="21.85546875" style="16" bestFit="1" customWidth="1"/>
    <col min="24" max="24" width="21.7109375" style="16" bestFit="1" customWidth="1"/>
    <col min="25" max="25" width="24.85546875" style="16" bestFit="1" customWidth="1"/>
    <col min="26" max="26" width="57.85546875" style="16" bestFit="1" customWidth="1"/>
    <col min="27" max="27" width="33.140625" style="16" bestFit="1" customWidth="1"/>
    <col min="28" max="28" width="30.85546875" style="16" bestFit="1" customWidth="1"/>
    <col min="29" max="29" width="37.42578125" style="16" bestFit="1" customWidth="1"/>
    <col min="30" max="30" width="38" style="16" bestFit="1" customWidth="1"/>
    <col min="31" max="31" width="32.7109375" style="16" bestFit="1" customWidth="1"/>
    <col min="32" max="32" width="27.5703125" style="16" bestFit="1" customWidth="1"/>
    <col min="33" max="33" width="26.85546875" style="16" bestFit="1" customWidth="1"/>
    <col min="34" max="34" width="29" style="16" bestFit="1" customWidth="1"/>
    <col min="35" max="35" width="21.85546875" style="16" bestFit="1" customWidth="1"/>
    <col min="36" max="36" width="47.5703125" style="16" bestFit="1" customWidth="1"/>
    <col min="37" max="37" width="89.85546875" style="16" bestFit="1" customWidth="1"/>
    <col min="38" max="38" width="29.5703125" style="16" bestFit="1" customWidth="1"/>
    <col min="39" max="39" width="24.42578125" style="16" bestFit="1" customWidth="1"/>
    <col min="40" max="40" width="26.42578125" style="16" bestFit="1" customWidth="1"/>
    <col min="41" max="41" width="26.7109375" style="16" bestFit="1" customWidth="1"/>
    <col min="42" max="42" width="27.7109375" style="16" bestFit="1" customWidth="1"/>
    <col min="43" max="43" width="30.85546875" style="16" bestFit="1" customWidth="1"/>
    <col min="44" max="44" width="37.5703125" style="16" bestFit="1" customWidth="1"/>
    <col min="45" max="45" width="28.7109375" style="16" bestFit="1" customWidth="1"/>
    <col min="46" max="46" width="31.5703125" style="16" bestFit="1" customWidth="1"/>
    <col min="47" max="47" width="30.140625" style="16" bestFit="1" customWidth="1"/>
    <col min="48" max="48" width="24.5703125" style="16" bestFit="1" customWidth="1"/>
    <col min="49" max="49" width="29.140625" style="16" bestFit="1" customWidth="1"/>
    <col min="50" max="50" width="32.140625" style="16" bestFit="1" customWidth="1"/>
    <col min="51" max="51" width="29" style="16" bestFit="1" customWidth="1"/>
    <col min="52" max="52" width="32.7109375" style="16" bestFit="1" customWidth="1"/>
    <col min="53" max="53" width="18.7109375" style="16" bestFit="1" customWidth="1"/>
    <col min="54" max="55" width="23.7109375" style="16" bestFit="1" customWidth="1"/>
    <col min="56" max="56" width="40" style="16" bestFit="1" customWidth="1"/>
    <col min="57" max="57" width="26.28515625" style="16" bestFit="1" customWidth="1"/>
    <col min="58" max="58" width="44.28515625" style="16" bestFit="1" customWidth="1"/>
    <col min="59" max="16384" width="11.42578125" style="16"/>
  </cols>
  <sheetData>
    <row r="1" spans="1:58" s="1" customFormat="1" ht="12.75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87</v>
      </c>
      <c r="Q1" s="2" t="s">
        <v>116</v>
      </c>
      <c r="R1" s="2" t="s">
        <v>57</v>
      </c>
      <c r="S1" s="2" t="s">
        <v>123</v>
      </c>
      <c r="T1" s="2" t="s">
        <v>58</v>
      </c>
      <c r="U1" s="2" t="s">
        <v>9</v>
      </c>
      <c r="V1" s="2" t="s">
        <v>157</v>
      </c>
      <c r="W1" s="2" t="s">
        <v>158</v>
      </c>
      <c r="X1" s="2" t="s">
        <v>3</v>
      </c>
      <c r="Y1" s="2" t="s">
        <v>10</v>
      </c>
      <c r="Z1" s="2" t="s">
        <v>16</v>
      </c>
      <c r="AA1" s="2" t="s">
        <v>4</v>
      </c>
      <c r="AB1" s="2" t="s">
        <v>99</v>
      </c>
      <c r="AC1" s="2" t="s">
        <v>183</v>
      </c>
      <c r="AD1" s="2" t="s">
        <v>182</v>
      </c>
      <c r="AE1" s="2" t="s">
        <v>12</v>
      </c>
      <c r="AF1" s="2" t="s">
        <v>184</v>
      </c>
      <c r="AG1" s="2" t="s">
        <v>185</v>
      </c>
      <c r="AH1" s="2" t="s">
        <v>11</v>
      </c>
      <c r="AI1" s="2" t="s">
        <v>333</v>
      </c>
      <c r="AJ1" s="2" t="s">
        <v>147</v>
      </c>
      <c r="AK1" s="2" t="s">
        <v>22</v>
      </c>
      <c r="AL1" s="2" t="s">
        <v>162</v>
      </c>
      <c r="AM1" s="2" t="s">
        <v>163</v>
      </c>
      <c r="AN1" s="2" t="s">
        <v>1</v>
      </c>
      <c r="AO1" s="2" t="s">
        <v>2</v>
      </c>
      <c r="AP1" s="2" t="s">
        <v>59</v>
      </c>
      <c r="AQ1" s="2" t="s">
        <v>1089</v>
      </c>
      <c r="AR1" s="2" t="s">
        <v>117</v>
      </c>
      <c r="AS1" s="2" t="s">
        <v>60</v>
      </c>
      <c r="AT1" s="2" t="s">
        <v>61</v>
      </c>
      <c r="AU1" s="2" t="s">
        <v>98</v>
      </c>
      <c r="AV1" s="2" t="s">
        <v>5</v>
      </c>
      <c r="AW1" s="2" t="s">
        <v>6</v>
      </c>
      <c r="AX1" s="2" t="s">
        <v>17</v>
      </c>
      <c r="AY1" s="2" t="s">
        <v>18</v>
      </c>
      <c r="AZ1" s="2" t="s">
        <v>7</v>
      </c>
      <c r="BA1" s="2" t="s">
        <v>19</v>
      </c>
      <c r="BB1" s="2" t="s">
        <v>20</v>
      </c>
      <c r="BC1" s="2" t="s">
        <v>21</v>
      </c>
      <c r="BD1" s="2" t="s">
        <v>148</v>
      </c>
      <c r="BE1" s="2" t="s">
        <v>23</v>
      </c>
      <c r="BF1" s="2" t="s">
        <v>51</v>
      </c>
    </row>
    <row r="2" spans="1:58" s="1" customFormat="1" ht="12.75" x14ac:dyDescent="0.2">
      <c r="A2" s="5" t="s">
        <v>186</v>
      </c>
      <c r="B2" s="1" t="s">
        <v>129</v>
      </c>
      <c r="C2" s="1">
        <v>2010</v>
      </c>
      <c r="D2" s="1">
        <v>0</v>
      </c>
      <c r="E2" s="1">
        <v>1</v>
      </c>
      <c r="F2" s="1">
        <v>0</v>
      </c>
      <c r="G2" s="18"/>
      <c r="H2" s="18"/>
      <c r="I2" s="18">
        <v>200</v>
      </c>
      <c r="J2" s="18"/>
      <c r="K2" s="18"/>
      <c r="L2" s="18"/>
      <c r="M2" s="18"/>
      <c r="N2" s="18"/>
      <c r="O2" s="8"/>
      <c r="P2" s="8"/>
      <c r="Q2" s="19"/>
      <c r="R2" s="18"/>
      <c r="S2" s="8"/>
      <c r="T2" s="18"/>
      <c r="V2" s="1">
        <v>1</v>
      </c>
      <c r="AE2" s="7"/>
      <c r="AF2" s="7"/>
      <c r="AG2" s="7"/>
      <c r="AH2" s="7"/>
      <c r="AI2" s="7"/>
      <c r="AK2" s="1" t="s">
        <v>194</v>
      </c>
      <c r="AN2" s="12">
        <v>15</v>
      </c>
      <c r="AO2" s="12"/>
      <c r="AP2" s="12"/>
      <c r="AQ2" s="12"/>
      <c r="AR2" s="12"/>
      <c r="AS2" s="12"/>
      <c r="AT2" s="12"/>
      <c r="AU2" s="12"/>
      <c r="AV2" s="12">
        <v>15</v>
      </c>
      <c r="AZ2" s="12"/>
      <c r="BF2" s="1" t="s">
        <v>195</v>
      </c>
    </row>
    <row r="3" spans="1:58" x14ac:dyDescent="0.2">
      <c r="A3" s="1" t="s">
        <v>187</v>
      </c>
      <c r="B3" s="1" t="s">
        <v>129</v>
      </c>
      <c r="C3" s="1">
        <v>2010</v>
      </c>
      <c r="D3" s="1">
        <v>0</v>
      </c>
      <c r="E3" s="1">
        <v>1</v>
      </c>
      <c r="F3" s="1">
        <v>0</v>
      </c>
      <c r="G3" s="18"/>
      <c r="H3" s="18"/>
      <c r="I3" s="18">
        <v>520</v>
      </c>
      <c r="J3" s="18"/>
      <c r="K3" s="18"/>
      <c r="L3" s="18"/>
      <c r="M3" s="18"/>
      <c r="N3" s="18"/>
      <c r="O3" s="8"/>
      <c r="P3" s="8"/>
      <c r="Q3" s="19"/>
      <c r="R3" s="18"/>
      <c r="S3" s="8"/>
      <c r="T3" s="18"/>
      <c r="U3" s="1"/>
      <c r="V3" s="1">
        <v>1</v>
      </c>
      <c r="W3" s="1"/>
      <c r="X3" s="1"/>
      <c r="Y3" s="1"/>
      <c r="Z3" s="1"/>
      <c r="AA3" s="1"/>
      <c r="AB3" s="1"/>
      <c r="AC3" s="1"/>
      <c r="AD3" s="1"/>
      <c r="AE3" s="1"/>
      <c r="AF3" s="7"/>
      <c r="AG3" s="7"/>
      <c r="AH3" s="7"/>
      <c r="AI3" s="7"/>
      <c r="AJ3" s="1"/>
      <c r="AK3" s="1" t="s">
        <v>194</v>
      </c>
      <c r="AL3" s="1"/>
      <c r="AM3" s="1"/>
      <c r="AN3" s="12">
        <v>15</v>
      </c>
      <c r="AO3" s="1"/>
      <c r="AP3" s="12"/>
      <c r="AQ3" s="12"/>
      <c r="AR3" s="12"/>
      <c r="AS3" s="1"/>
      <c r="AT3" s="12"/>
      <c r="AU3" s="12"/>
      <c r="AV3" s="1">
        <v>15</v>
      </c>
      <c r="AW3" s="1"/>
      <c r="AX3" s="1"/>
      <c r="AY3" s="1"/>
      <c r="AZ3" s="1"/>
      <c r="BA3" s="1"/>
      <c r="BB3" s="1"/>
      <c r="BC3" s="1"/>
      <c r="BD3" s="1"/>
      <c r="BE3" s="1"/>
      <c r="BF3" s="1" t="s">
        <v>195</v>
      </c>
    </row>
    <row r="4" spans="1:58" x14ac:dyDescent="0.2">
      <c r="A4" s="5" t="s">
        <v>188</v>
      </c>
      <c r="B4" s="1" t="s">
        <v>129</v>
      </c>
      <c r="C4" s="1">
        <v>2010</v>
      </c>
      <c r="D4" s="1">
        <v>0</v>
      </c>
      <c r="E4" s="1">
        <v>1</v>
      </c>
      <c r="F4" s="1">
        <v>0</v>
      </c>
      <c r="G4" s="18"/>
      <c r="H4" s="18"/>
      <c r="I4" s="18">
        <v>200</v>
      </c>
      <c r="J4" s="18"/>
      <c r="K4" s="18"/>
      <c r="L4" s="18"/>
      <c r="M4" s="18"/>
      <c r="N4" s="18"/>
      <c r="O4" s="8"/>
      <c r="P4" s="8"/>
      <c r="Q4" s="19"/>
      <c r="R4" s="18"/>
      <c r="S4" s="8"/>
      <c r="T4" s="18"/>
      <c r="U4" s="1"/>
      <c r="V4" s="1">
        <v>1</v>
      </c>
      <c r="W4" s="1"/>
      <c r="X4" s="1"/>
      <c r="Y4" s="1"/>
      <c r="Z4" s="1"/>
      <c r="AA4" s="1"/>
      <c r="AB4" s="1"/>
      <c r="AC4" s="1"/>
      <c r="AD4" s="1"/>
      <c r="AE4" s="1"/>
      <c r="AF4" s="7"/>
      <c r="AG4" s="7"/>
      <c r="AH4" s="7"/>
      <c r="AI4" s="7"/>
      <c r="AJ4" s="1"/>
      <c r="AK4" s="1" t="s">
        <v>194</v>
      </c>
      <c r="AL4" s="1"/>
      <c r="AM4" s="1"/>
      <c r="AN4" s="12">
        <v>15</v>
      </c>
      <c r="AO4" s="1"/>
      <c r="AP4" s="12"/>
      <c r="AQ4" s="12"/>
      <c r="AR4" s="12"/>
      <c r="AS4" s="1"/>
      <c r="AT4" s="12"/>
      <c r="AU4" s="12"/>
      <c r="AV4" s="1">
        <v>15</v>
      </c>
      <c r="AW4" s="1"/>
      <c r="AX4" s="1"/>
      <c r="AY4" s="1"/>
      <c r="AZ4" s="1"/>
      <c r="BA4" s="1"/>
      <c r="BB4" s="1"/>
      <c r="BC4" s="1"/>
      <c r="BD4" s="1"/>
      <c r="BE4" s="1"/>
      <c r="BF4" s="1" t="s">
        <v>195</v>
      </c>
    </row>
    <row r="5" spans="1:58" x14ac:dyDescent="0.2">
      <c r="A5" s="1" t="s">
        <v>189</v>
      </c>
      <c r="B5" s="1" t="s">
        <v>129</v>
      </c>
      <c r="C5" s="1">
        <v>2010</v>
      </c>
      <c r="D5" s="1">
        <v>0</v>
      </c>
      <c r="E5" s="1">
        <v>1</v>
      </c>
      <c r="F5" s="1">
        <v>0</v>
      </c>
      <c r="G5" s="18"/>
      <c r="H5" s="18"/>
      <c r="I5" s="18">
        <v>580</v>
      </c>
      <c r="J5" s="18"/>
      <c r="K5" s="18"/>
      <c r="L5" s="18"/>
      <c r="M5" s="18"/>
      <c r="N5" s="18"/>
      <c r="O5" s="8"/>
      <c r="P5" s="8"/>
      <c r="Q5" s="19"/>
      <c r="R5" s="18"/>
      <c r="S5" s="8"/>
      <c r="T5" s="18"/>
      <c r="U5" s="1"/>
      <c r="V5" s="1">
        <v>1</v>
      </c>
      <c r="W5" s="1"/>
      <c r="X5" s="1"/>
      <c r="Y5" s="1"/>
      <c r="Z5" s="1"/>
      <c r="AA5" s="1"/>
      <c r="AB5" s="1"/>
      <c r="AC5" s="1"/>
      <c r="AD5" s="1"/>
      <c r="AE5" s="1"/>
      <c r="AF5" s="7"/>
      <c r="AG5" s="7"/>
      <c r="AH5" s="7"/>
      <c r="AI5" s="7"/>
      <c r="AJ5" s="1"/>
      <c r="AK5" s="1" t="s">
        <v>194</v>
      </c>
      <c r="AL5" s="1"/>
      <c r="AM5" s="1"/>
      <c r="AN5" s="12">
        <v>15</v>
      </c>
      <c r="AO5" s="1"/>
      <c r="AP5" s="12"/>
      <c r="AQ5" s="12"/>
      <c r="AR5" s="12"/>
      <c r="AS5" s="1"/>
      <c r="AT5" s="12"/>
      <c r="AU5" s="12"/>
      <c r="AV5" s="1">
        <v>15</v>
      </c>
      <c r="AW5" s="1"/>
      <c r="AX5" s="1"/>
      <c r="AY5" s="1"/>
      <c r="AZ5" s="1"/>
      <c r="BA5" s="1"/>
      <c r="BB5" s="1"/>
      <c r="BC5" s="1"/>
      <c r="BD5" s="1"/>
      <c r="BE5" s="1"/>
      <c r="BF5" s="1" t="s">
        <v>195</v>
      </c>
    </row>
    <row r="6" spans="1:58" x14ac:dyDescent="0.2">
      <c r="A6" s="5" t="s">
        <v>190</v>
      </c>
      <c r="B6" s="1" t="s">
        <v>129</v>
      </c>
      <c r="C6" s="1">
        <v>2010</v>
      </c>
      <c r="D6" s="1">
        <v>0</v>
      </c>
      <c r="E6" s="1">
        <v>1</v>
      </c>
      <c r="F6" s="1">
        <v>0</v>
      </c>
      <c r="G6" s="18"/>
      <c r="H6" s="18"/>
      <c r="I6" s="18">
        <v>180</v>
      </c>
      <c r="J6" s="18"/>
      <c r="K6" s="18"/>
      <c r="L6" s="18"/>
      <c r="M6" s="18"/>
      <c r="N6" s="18"/>
      <c r="O6" s="8"/>
      <c r="P6" s="8"/>
      <c r="Q6" s="19"/>
      <c r="R6" s="18"/>
      <c r="S6" s="8"/>
      <c r="T6" s="18"/>
      <c r="U6" s="1"/>
      <c r="V6" s="1">
        <v>1</v>
      </c>
      <c r="W6" s="1"/>
      <c r="X6" s="1"/>
      <c r="Y6" s="1"/>
      <c r="Z6" s="1"/>
      <c r="AA6" s="1"/>
      <c r="AB6" s="1"/>
      <c r="AC6" s="1"/>
      <c r="AD6" s="1"/>
      <c r="AE6" s="1"/>
      <c r="AF6" s="7"/>
      <c r="AG6" s="7"/>
      <c r="AH6" s="7"/>
      <c r="AI6" s="7"/>
      <c r="AJ6" s="1"/>
      <c r="AK6" s="1" t="s">
        <v>194</v>
      </c>
      <c r="AL6" s="1"/>
      <c r="AM6" s="1"/>
      <c r="AN6" s="12">
        <v>15</v>
      </c>
      <c r="AO6" s="1"/>
      <c r="AP6" s="12"/>
      <c r="AQ6" s="12"/>
      <c r="AR6" s="12"/>
      <c r="AS6" s="1"/>
      <c r="AT6" s="12"/>
      <c r="AU6" s="12"/>
      <c r="AV6" s="1">
        <v>15</v>
      </c>
      <c r="AW6" s="1"/>
      <c r="AX6" s="1"/>
      <c r="AY6" s="1"/>
      <c r="AZ6" s="1"/>
      <c r="BA6" s="1"/>
      <c r="BB6" s="1"/>
      <c r="BC6" s="1"/>
      <c r="BD6" s="1"/>
      <c r="BE6" s="1"/>
      <c r="BF6" s="1" t="s">
        <v>195</v>
      </c>
    </row>
    <row r="7" spans="1:58" x14ac:dyDescent="0.2">
      <c r="A7" s="1" t="s">
        <v>191</v>
      </c>
      <c r="B7" s="1" t="s">
        <v>129</v>
      </c>
      <c r="C7" s="1">
        <v>2010</v>
      </c>
      <c r="D7" s="1">
        <v>0</v>
      </c>
      <c r="E7" s="1">
        <v>1</v>
      </c>
      <c r="F7" s="1">
        <v>0</v>
      </c>
      <c r="G7" s="18"/>
      <c r="H7" s="18"/>
      <c r="I7" s="18">
        <v>90</v>
      </c>
      <c r="J7" s="18"/>
      <c r="K7" s="18"/>
      <c r="L7" s="18"/>
      <c r="M7" s="18"/>
      <c r="N7" s="18"/>
      <c r="O7" s="8"/>
      <c r="P7" s="8"/>
      <c r="Q7" s="19"/>
      <c r="R7" s="18"/>
      <c r="S7" s="8"/>
      <c r="T7" s="18"/>
      <c r="U7" s="1"/>
      <c r="V7" s="1">
        <v>1</v>
      </c>
      <c r="W7" s="1"/>
      <c r="X7" s="1"/>
      <c r="Y7" s="1"/>
      <c r="Z7" s="1"/>
      <c r="AA7" s="1"/>
      <c r="AB7" s="1"/>
      <c r="AC7" s="1"/>
      <c r="AD7" s="1"/>
      <c r="AE7" s="1"/>
      <c r="AF7" s="7"/>
      <c r="AG7" s="7"/>
      <c r="AH7" s="7"/>
      <c r="AI7" s="7"/>
      <c r="AJ7" s="1"/>
      <c r="AK7" s="1" t="s">
        <v>194</v>
      </c>
      <c r="AL7" s="1"/>
      <c r="AM7" s="1"/>
      <c r="AN7" s="12">
        <v>15</v>
      </c>
      <c r="AO7" s="1"/>
      <c r="AP7" s="12"/>
      <c r="AQ7" s="12"/>
      <c r="AR7" s="12"/>
      <c r="AS7" s="1"/>
      <c r="AT7" s="12"/>
      <c r="AU7" s="12"/>
      <c r="AV7" s="1">
        <v>15</v>
      </c>
      <c r="AW7" s="1"/>
      <c r="AX7" s="1"/>
      <c r="AY7" s="1"/>
      <c r="AZ7" s="1"/>
      <c r="BA7" s="1"/>
      <c r="BB7" s="1"/>
      <c r="BC7" s="1"/>
      <c r="BD7" s="1"/>
      <c r="BE7" s="1"/>
      <c r="BF7" s="1" t="s">
        <v>195</v>
      </c>
    </row>
    <row r="8" spans="1:58" x14ac:dyDescent="0.2">
      <c r="A8" s="5" t="s">
        <v>192</v>
      </c>
      <c r="B8" s="1" t="s">
        <v>129</v>
      </c>
      <c r="C8" s="1">
        <v>2010</v>
      </c>
      <c r="D8" s="1">
        <v>0</v>
      </c>
      <c r="E8" s="1">
        <v>1</v>
      </c>
      <c r="F8" s="1">
        <v>0</v>
      </c>
      <c r="G8" s="18"/>
      <c r="H8" s="18"/>
      <c r="I8" s="18">
        <v>130</v>
      </c>
      <c r="J8" s="18"/>
      <c r="K8" s="18"/>
      <c r="L8" s="18"/>
      <c r="M8" s="18"/>
      <c r="N8" s="18"/>
      <c r="O8" s="8"/>
      <c r="P8" s="8"/>
      <c r="Q8" s="19"/>
      <c r="R8" s="18"/>
      <c r="S8" s="8"/>
      <c r="T8" s="18"/>
      <c r="U8" s="1"/>
      <c r="V8" s="1">
        <v>1</v>
      </c>
      <c r="W8" s="1"/>
      <c r="X8" s="1"/>
      <c r="Y8" s="1"/>
      <c r="Z8" s="1"/>
      <c r="AA8" s="1"/>
      <c r="AB8" s="1"/>
      <c r="AC8" s="1"/>
      <c r="AD8" s="1"/>
      <c r="AE8" s="1"/>
      <c r="AF8" s="7"/>
      <c r="AG8" s="7"/>
      <c r="AH8" s="7"/>
      <c r="AI8" s="7"/>
      <c r="AJ8" s="1"/>
      <c r="AK8" s="1" t="s">
        <v>194</v>
      </c>
      <c r="AL8" s="1"/>
      <c r="AM8" s="1"/>
      <c r="AN8" s="12">
        <v>15</v>
      </c>
      <c r="AO8" s="1"/>
      <c r="AP8" s="12"/>
      <c r="AQ8" s="12"/>
      <c r="AR8" s="12"/>
      <c r="AS8" s="1"/>
      <c r="AT8" s="12"/>
      <c r="AU8" s="12"/>
      <c r="AV8" s="1">
        <v>15</v>
      </c>
      <c r="AW8" s="1"/>
      <c r="AX8" s="1"/>
      <c r="AY8" s="1"/>
      <c r="AZ8" s="1"/>
      <c r="BA8" s="1"/>
      <c r="BB8" s="1"/>
      <c r="BC8" s="1"/>
      <c r="BD8" s="1"/>
      <c r="BE8" s="1"/>
      <c r="BF8" s="1" t="s">
        <v>195</v>
      </c>
    </row>
    <row r="9" spans="1:58" x14ac:dyDescent="0.2">
      <c r="A9" s="1" t="s">
        <v>193</v>
      </c>
      <c r="B9" s="1" t="s">
        <v>129</v>
      </c>
      <c r="C9" s="1">
        <v>2010</v>
      </c>
      <c r="D9" s="1">
        <v>0</v>
      </c>
      <c r="E9" s="1">
        <v>1</v>
      </c>
      <c r="F9" s="1">
        <v>0</v>
      </c>
      <c r="G9" s="18"/>
      <c r="H9" s="18"/>
      <c r="I9" s="18">
        <v>500</v>
      </c>
      <c r="J9" s="18"/>
      <c r="K9" s="18"/>
      <c r="L9" s="18"/>
      <c r="M9" s="18"/>
      <c r="N9" s="18"/>
      <c r="O9" s="8"/>
      <c r="P9" s="8"/>
      <c r="Q9" s="19"/>
      <c r="R9" s="18"/>
      <c r="S9" s="8"/>
      <c r="T9" s="18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7"/>
      <c r="AG9" s="7"/>
      <c r="AH9" s="7"/>
      <c r="AI9" s="7"/>
      <c r="AJ9" s="1"/>
      <c r="AK9" s="1" t="s">
        <v>194</v>
      </c>
      <c r="AL9" s="1"/>
      <c r="AM9" s="1"/>
      <c r="AN9" s="12">
        <v>15</v>
      </c>
      <c r="AO9" s="1"/>
      <c r="AP9" s="12"/>
      <c r="AQ9" s="12"/>
      <c r="AR9" s="12"/>
      <c r="AS9" s="1"/>
      <c r="AT9" s="12"/>
      <c r="AU9" s="12"/>
      <c r="AV9" s="1">
        <v>15</v>
      </c>
      <c r="AW9" s="1"/>
      <c r="AX9" s="1"/>
      <c r="AY9" s="1"/>
      <c r="AZ9" s="1"/>
      <c r="BA9" s="1"/>
      <c r="BB9" s="1"/>
      <c r="BC9" s="1"/>
      <c r="BD9" s="1"/>
      <c r="BE9" s="1"/>
      <c r="BF9" s="1" t="s">
        <v>195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Dropdown!$C$2:$C$4</xm:f>
          </x14:formula1>
          <xm:sqref>B2:B9</xm:sqref>
        </x14:dataValidation>
        <x14:dataValidation type="list" allowBlank="1" showInputMessage="1" showErrorMessage="1" xr:uid="{00000000-0002-0000-0400-000001000000}">
          <x14:formula1>
            <xm:f>Dropdown!$A$2:$A$54</xm:f>
          </x14:formula1>
          <xm:sqref>A2:A9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26"/>
  <dimension ref="A1:O77"/>
  <sheetViews>
    <sheetView workbookViewId="0">
      <selection activeCell="F2" sqref="F2"/>
    </sheetView>
  </sheetViews>
  <sheetFormatPr baseColWidth="10" defaultRowHeight="15" x14ac:dyDescent="0.25"/>
  <cols>
    <col min="1" max="1" width="30.42578125" bestFit="1" customWidth="1"/>
    <col min="2" max="2" width="30.42578125" customWidth="1"/>
    <col min="4" max="4" width="12.28515625" bestFit="1" customWidth="1"/>
    <col min="5" max="5" width="25.140625" bestFit="1" customWidth="1"/>
    <col min="6" max="6" width="22.42578125" bestFit="1" customWidth="1"/>
    <col min="7" max="7" width="39.85546875" bestFit="1" customWidth="1"/>
    <col min="8" max="8" width="43.140625" bestFit="1" customWidth="1"/>
    <col min="9" max="9" width="35.7109375" bestFit="1" customWidth="1"/>
    <col min="10" max="10" width="20.28515625" bestFit="1" customWidth="1"/>
    <col min="14" max="14" width="22.28515625" bestFit="1" customWidth="1"/>
  </cols>
  <sheetData>
    <row r="1" spans="1:15" x14ac:dyDescent="0.25">
      <c r="A1" s="4" t="s">
        <v>0</v>
      </c>
      <c r="B1" s="2" t="s">
        <v>131</v>
      </c>
      <c r="C1" s="4" t="s">
        <v>8</v>
      </c>
      <c r="D1" s="2" t="s">
        <v>398</v>
      </c>
      <c r="E1" s="2" t="s">
        <v>399</v>
      </c>
      <c r="F1" s="2" t="s">
        <v>400</v>
      </c>
      <c r="G1" s="2" t="s">
        <v>396</v>
      </c>
      <c r="H1" s="2" t="s">
        <v>397</v>
      </c>
      <c r="I1" s="2" t="s">
        <v>402</v>
      </c>
      <c r="J1" s="2" t="s">
        <v>404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s="1" t="s">
        <v>54</v>
      </c>
      <c r="B2" s="1" t="s">
        <v>129</v>
      </c>
      <c r="C2" s="1">
        <v>2010</v>
      </c>
      <c r="D2" s="7">
        <f>Tabelle223[[#This Row],[Produktionskapazität Mt]]*Tabelle223[[#This Row],[spez. Verbrauch (kWh/t)]]*10^-3</f>
        <v>53.2</v>
      </c>
      <c r="E2" s="7">
        <v>14000</v>
      </c>
      <c r="F2" s="1">
        <v>3.8</v>
      </c>
      <c r="G2" s="39">
        <v>-5.0000000000000001E-3</v>
      </c>
      <c r="H2" s="39">
        <v>-5.0000000000000001E-3</v>
      </c>
      <c r="I2" s="39"/>
      <c r="J2" s="39"/>
      <c r="K2" s="1"/>
      <c r="L2" s="18"/>
      <c r="M2" s="18"/>
      <c r="N2" s="18"/>
      <c r="O2" s="10">
        <v>56</v>
      </c>
    </row>
    <row r="3" spans="1:15" x14ac:dyDescent="0.25">
      <c r="A3" s="1" t="s">
        <v>54</v>
      </c>
      <c r="B3" s="1" t="s">
        <v>129</v>
      </c>
      <c r="C3" s="1">
        <v>2020</v>
      </c>
      <c r="D3" s="7">
        <f>Tabelle223[[#This Row],[Produktionskapazität Mt]]*Tabelle223[[#This Row],[spez. Verbrauch (kWh/t)]]*10^-3</f>
        <v>48.125277550609667</v>
      </c>
      <c r="E3" s="7">
        <f>E2*(1+G2)^(Tabelle223[[#This Row],[Jahr]]-C2)</f>
        <v>13315.541826520808</v>
      </c>
      <c r="F3" s="7">
        <f>F2*(1+H2)^(Tabelle223[[#This Row],[Jahr]]-C2)</f>
        <v>3.6142184957699333</v>
      </c>
      <c r="G3" s="39">
        <v>-5.0000000000000001E-3</v>
      </c>
      <c r="H3" s="39">
        <v>-5.0000000000000001E-3</v>
      </c>
      <c r="I3" s="39"/>
      <c r="J3" s="39"/>
      <c r="K3" s="1"/>
      <c r="L3" s="18"/>
      <c r="M3" s="18"/>
      <c r="N3" s="18"/>
      <c r="O3" s="18" t="s">
        <v>403</v>
      </c>
    </row>
    <row r="4" spans="1:15" x14ac:dyDescent="0.25">
      <c r="A4" s="1" t="s">
        <v>54</v>
      </c>
      <c r="B4" s="1" t="s">
        <v>129</v>
      </c>
      <c r="C4" s="1">
        <v>2030</v>
      </c>
      <c r="D4" s="7">
        <f>Tabelle223[[#This Row],[Produktionskapazität Mt]]*Tabelle223[[#This Row],[spez. Verbrauch (kWh/t)]]*10^-3</f>
        <v>43.534630438406289</v>
      </c>
      <c r="E4" s="7">
        <f>E3*(1+G3)^(Tabelle223[[#This Row],[Jahr]]-C3)</f>
        <v>12664.546723844649</v>
      </c>
      <c r="F4" s="7">
        <f>F3*(1+H3)^(Tabelle223[[#This Row],[Jahr]]-C3)</f>
        <v>3.4375198250435473</v>
      </c>
      <c r="G4" s="39">
        <v>-5.0000000000000001E-3</v>
      </c>
      <c r="H4" s="39">
        <v>-5.0000000000000001E-3</v>
      </c>
      <c r="I4" s="39"/>
      <c r="J4" s="39"/>
      <c r="K4" s="1"/>
      <c r="L4" s="18"/>
      <c r="M4" s="18"/>
      <c r="N4" s="18"/>
      <c r="O4" s="18" t="s">
        <v>403</v>
      </c>
    </row>
    <row r="5" spans="1:15" x14ac:dyDescent="0.25">
      <c r="A5" s="1" t="s">
        <v>54</v>
      </c>
      <c r="B5" s="1" t="s">
        <v>129</v>
      </c>
      <c r="C5" s="1">
        <v>2050</v>
      </c>
      <c r="D5" s="7">
        <f>Tabelle223[[#This Row],[Produktionskapazität Mt]]*Tabelle223[[#This Row],[spez. Verbrauch (kWh/t)]]*10^-3</f>
        <v>35.625264049034051</v>
      </c>
      <c r="E5" s="7">
        <f>E4*(1+G4)^(Tabelle223[[#This Row],[Jahr]]-C4)</f>
        <v>11456.481694317445</v>
      </c>
      <c r="F5" s="7">
        <f>F4*(1+H4)^(Tabelle223[[#This Row],[Jahr]]-C4)</f>
        <v>3.1096164598861633</v>
      </c>
      <c r="G5" s="39">
        <v>-5.0000000000000001E-3</v>
      </c>
      <c r="H5" s="39">
        <v>-5.0000000000000001E-3</v>
      </c>
      <c r="I5" s="39"/>
      <c r="J5" s="39"/>
      <c r="K5" s="1"/>
      <c r="L5" s="18"/>
      <c r="M5" s="18"/>
      <c r="N5" s="18"/>
      <c r="O5" s="18" t="s">
        <v>403</v>
      </c>
    </row>
    <row r="6" spans="1:15" x14ac:dyDescent="0.25">
      <c r="A6" s="1" t="s">
        <v>29</v>
      </c>
      <c r="B6" s="1" t="s">
        <v>129</v>
      </c>
      <c r="C6" s="1">
        <v>2010</v>
      </c>
      <c r="D6" s="7">
        <f>Tabelle223[[#This Row],[Produktionskapazität Mt]]*Tabelle223[[#This Row],[spez. Verbrauch (kWh/t)]]*10^-3</f>
        <v>28.410000000000004</v>
      </c>
      <c r="E6" s="7">
        <f>(6.5*2100+4.1*3600)/10.6</f>
        <v>2680.1886792452833</v>
      </c>
      <c r="F6" s="7">
        <f>10.6</f>
        <v>10.6</v>
      </c>
      <c r="G6" s="39">
        <v>-5.0000000000000001E-3</v>
      </c>
      <c r="H6" s="39">
        <v>-2E-3</v>
      </c>
      <c r="I6" s="39"/>
      <c r="J6" s="39"/>
      <c r="K6" s="1"/>
      <c r="L6" s="18"/>
      <c r="M6" s="18"/>
      <c r="N6" s="18"/>
      <c r="O6" s="10">
        <v>56</v>
      </c>
    </row>
    <row r="7" spans="1:15" x14ac:dyDescent="0.25">
      <c r="A7" s="1" t="s">
        <v>29</v>
      </c>
      <c r="B7" s="1" t="s">
        <v>129</v>
      </c>
      <c r="C7" s="1">
        <v>2020</v>
      </c>
      <c r="D7" s="7">
        <f>Tabelle223[[#This Row],[Produktionskapazität Mt]]*Tabelle223[[#This Row],[spez. Verbrauch (kWh/t)]]*10^-3</f>
        <v>26.485455967763013</v>
      </c>
      <c r="E7" s="7">
        <f>E6*(1+G6)^(Tabelle223[[#This Row],[Jahr]]-C6)</f>
        <v>2549.1546043898666</v>
      </c>
      <c r="F7" s="7">
        <f>F6*(1+H6)^(Tabelle223[[#This Row],[Jahr]]-C6)</f>
        <v>10.389897859530665</v>
      </c>
      <c r="G7" s="39">
        <v>-5.0000000000000001E-3</v>
      </c>
      <c r="H7" s="39">
        <v>-2E-3</v>
      </c>
      <c r="I7" s="39"/>
      <c r="J7" s="39"/>
      <c r="K7" s="1"/>
      <c r="L7" s="18"/>
      <c r="M7" s="18"/>
      <c r="N7" s="18"/>
      <c r="O7" s="18" t="s">
        <v>403</v>
      </c>
    </row>
    <row r="8" spans="1:15" x14ac:dyDescent="0.25">
      <c r="A8" s="1" t="s">
        <v>29</v>
      </c>
      <c r="B8" s="1" t="s">
        <v>129</v>
      </c>
      <c r="C8" s="1">
        <v>2030</v>
      </c>
      <c r="D8" s="7">
        <f>Tabelle223[[#This Row],[Produktionskapazität Mt]]*Tabelle223[[#This Row],[spez. Verbrauch (kWh/t)]]*10^-3</f>
        <v>24.691283978187727</v>
      </c>
      <c r="E8" s="7">
        <f>E7*(1+G7)^(Tabelle223[[#This Row],[Jahr]]-C7)</f>
        <v>2424.5267683586694</v>
      </c>
      <c r="F8" s="7">
        <f>F7*(1+H7)^(Tabelle223[[#This Row],[Jahr]]-C7)</f>
        <v>10.183960144479235</v>
      </c>
      <c r="G8" s="39">
        <v>-5.0000000000000001E-3</v>
      </c>
      <c r="H8" s="39">
        <v>-2E-3</v>
      </c>
      <c r="I8" s="39"/>
      <c r="J8" s="39"/>
      <c r="K8" s="1"/>
      <c r="L8" s="18"/>
      <c r="M8" s="18"/>
      <c r="N8" s="18"/>
      <c r="O8" s="18" t="s">
        <v>403</v>
      </c>
    </row>
    <row r="9" spans="1:15" x14ac:dyDescent="0.25">
      <c r="A9" s="1" t="s">
        <v>29</v>
      </c>
      <c r="B9" s="1" t="s">
        <v>129</v>
      </c>
      <c r="C9" s="1">
        <v>2050</v>
      </c>
      <c r="D9" s="7">
        <f>Tabelle223[[#This Row],[Produktionskapazität Mt]]*Tabelle223[[#This Row],[spez. Verbrauch (kWh/t)]]*10^-3</f>
        <v>21.45932785960964</v>
      </c>
      <c r="E9" s="7">
        <f>E8*(1+G8)^(Tabelle223[[#This Row],[Jahr]]-C8)</f>
        <v>2193.2523243636028</v>
      </c>
      <c r="F9" s="7">
        <f>F8*(1+H8)^(Tabelle223[[#This Row],[Jahr]]-C8)</f>
        <v>9.7842494551265577</v>
      </c>
      <c r="G9" s="39">
        <v>-5.0000000000000001E-3</v>
      </c>
      <c r="H9" s="39">
        <v>-2E-3</v>
      </c>
      <c r="I9" s="39"/>
      <c r="J9" s="39"/>
      <c r="K9" s="1"/>
      <c r="L9" s="18"/>
      <c r="M9" s="18"/>
      <c r="N9" s="18"/>
      <c r="O9" s="18" t="s">
        <v>403</v>
      </c>
    </row>
    <row r="10" spans="1:15" x14ac:dyDescent="0.25">
      <c r="A10" s="1" t="s">
        <v>72</v>
      </c>
      <c r="B10" s="1" t="s">
        <v>129</v>
      </c>
      <c r="C10" s="1">
        <v>2010</v>
      </c>
      <c r="D10" s="7">
        <f>Tabelle223[[#This Row],[Produktionskapazität Mt]]*Tabelle223[[#This Row],[spez. Verbrauch (kWh/t)]]*10^-3</f>
        <v>1.085</v>
      </c>
      <c r="E10" s="7">
        <v>350</v>
      </c>
      <c r="F10" s="7">
        <v>3.1</v>
      </c>
      <c r="G10" s="39">
        <v>-3.0000000000000001E-3</v>
      </c>
      <c r="H10" s="39">
        <v>0</v>
      </c>
      <c r="I10" s="39"/>
      <c r="J10" s="39"/>
      <c r="K10" s="1"/>
      <c r="L10" s="18"/>
      <c r="M10" s="18"/>
      <c r="N10" s="18"/>
      <c r="O10" s="10">
        <v>56</v>
      </c>
    </row>
    <row r="11" spans="1:15" x14ac:dyDescent="0.25">
      <c r="A11" s="1" t="s">
        <v>72</v>
      </c>
      <c r="B11" s="1" t="s">
        <v>129</v>
      </c>
      <c r="C11" s="1">
        <v>2020</v>
      </c>
      <c r="D11" s="7">
        <f>Tabelle223[[#This Row],[Produktionskapazität Mt]]*Tabelle223[[#This Row],[spez. Verbrauch (kWh/t)]]*10^-3</f>
        <v>1.052885927989575</v>
      </c>
      <c r="E11" s="7">
        <f>E10*(1+G10)^(Tabelle223[[#This Row],[Jahr]]-C10)</f>
        <v>339.64062193212095</v>
      </c>
      <c r="F11" s="7">
        <f>F10*(1+H10)^(Tabelle223[[#This Row],[Jahr]]-C10)</f>
        <v>3.1</v>
      </c>
      <c r="G11" s="39">
        <v>-3.0000000000000001E-3</v>
      </c>
      <c r="H11" s="39">
        <v>0</v>
      </c>
      <c r="I11" s="39"/>
      <c r="J11" s="39"/>
      <c r="K11" s="1"/>
      <c r="L11" s="18"/>
      <c r="M11" s="18"/>
      <c r="N11" s="18"/>
      <c r="O11" s="18" t="s">
        <v>403</v>
      </c>
    </row>
    <row r="12" spans="1:15" x14ac:dyDescent="0.25">
      <c r="A12" s="1" t="s">
        <v>72</v>
      </c>
      <c r="B12" s="1" t="s">
        <v>129</v>
      </c>
      <c r="C12" s="1">
        <v>2030</v>
      </c>
      <c r="D12" s="7">
        <f>Tabelle223[[#This Row],[Produktionskapazität Mt]]*Tabelle223[[#This Row],[spez. Verbrauch (kWh/t)]]*10^-3</f>
        <v>1.0217223754455931</v>
      </c>
      <c r="E12" s="7">
        <f>E11*(1+G11)^(Tabelle223[[#This Row],[Jahr]]-C11)</f>
        <v>329.58786304696548</v>
      </c>
      <c r="F12" s="7">
        <f>F11*(1+H11)^(Tabelle223[[#This Row],[Jahr]]-C11)</f>
        <v>3.1</v>
      </c>
      <c r="G12" s="39">
        <v>-3.0000000000000001E-3</v>
      </c>
      <c r="H12" s="39">
        <v>0</v>
      </c>
      <c r="I12" s="39"/>
      <c r="J12" s="39"/>
      <c r="K12" s="1"/>
      <c r="L12" s="18"/>
      <c r="M12" s="18"/>
      <c r="N12" s="18"/>
      <c r="O12" s="18" t="s">
        <v>403</v>
      </c>
    </row>
    <row r="13" spans="1:15" x14ac:dyDescent="0.25">
      <c r="A13" s="1" t="s">
        <v>72</v>
      </c>
      <c r="B13" s="1" t="s">
        <v>129</v>
      </c>
      <c r="C13" s="1">
        <v>2050</v>
      </c>
      <c r="D13" s="7">
        <f>Tabelle223[[#This Row],[Produktionskapazität Mt]]*Tabelle223[[#This Row],[spez. Verbrauch (kWh/t)]]*10^-3</f>
        <v>0.96213512671537815</v>
      </c>
      <c r="E13" s="7">
        <f>E12*(1+G12)^(Tabelle223[[#This Row],[Jahr]]-C12)</f>
        <v>310.36616990818646</v>
      </c>
      <c r="F13" s="7">
        <f>F12*(1+H12)^(Tabelle223[[#This Row],[Jahr]]-C12)</f>
        <v>3.1</v>
      </c>
      <c r="G13" s="39">
        <v>-3.0000000000000001E-3</v>
      </c>
      <c r="H13" s="39">
        <v>0</v>
      </c>
      <c r="I13" s="39"/>
      <c r="J13" s="39"/>
      <c r="K13" s="1"/>
      <c r="L13" s="18"/>
      <c r="M13" s="18"/>
      <c r="N13" s="18"/>
      <c r="O13" s="18" t="s">
        <v>403</v>
      </c>
    </row>
    <row r="14" spans="1:15" x14ac:dyDescent="0.25">
      <c r="A14" s="1" t="s">
        <v>76</v>
      </c>
      <c r="B14" s="1" t="s">
        <v>129</v>
      </c>
      <c r="C14" s="1">
        <v>2010</v>
      </c>
      <c r="D14" s="7">
        <f>Tabelle223[[#This Row],[Produktionskapazität Mt]]*Tabelle223[[#This Row],[spez. Verbrauch (kWh/t)]]*10^-3</f>
        <v>7.1400000000000006</v>
      </c>
      <c r="E14" s="7">
        <v>3400</v>
      </c>
      <c r="F14" s="7">
        <v>2.1</v>
      </c>
      <c r="G14" s="39">
        <v>-3.0000000000000001E-3</v>
      </c>
      <c r="H14" s="39">
        <v>0</v>
      </c>
      <c r="I14" s="39"/>
      <c r="J14" s="39"/>
      <c r="K14" s="1"/>
      <c r="L14" s="18"/>
      <c r="M14" s="18"/>
      <c r="N14" s="18"/>
      <c r="O14" s="10">
        <v>56</v>
      </c>
    </row>
    <row r="15" spans="1:15" x14ac:dyDescent="0.25">
      <c r="A15" s="1" t="s">
        <v>76</v>
      </c>
      <c r="B15" s="1" t="s">
        <v>129</v>
      </c>
      <c r="C15" s="1">
        <v>2020</v>
      </c>
      <c r="D15" s="7">
        <f>Tabelle223[[#This Row],[Produktionskapazität Mt]]*Tabelle223[[#This Row],[spez. Verbrauch (kWh/t)]]*10^-3</f>
        <v>6.928668687415267</v>
      </c>
      <c r="E15" s="7">
        <f>E14*(1+G14)^(Tabelle223[[#This Row],[Jahr]]-C14)</f>
        <v>3299.3660416263174</v>
      </c>
      <c r="F15" s="7">
        <f>F14*(1+H14)^(Tabelle223[[#This Row],[Jahr]]-C14)</f>
        <v>2.1</v>
      </c>
      <c r="G15" s="39">
        <v>-3.0000000000000001E-3</v>
      </c>
      <c r="H15" s="39">
        <v>0</v>
      </c>
      <c r="I15" s="39"/>
      <c r="J15" s="39"/>
      <c r="K15" s="1"/>
      <c r="L15" s="18"/>
      <c r="M15" s="18"/>
      <c r="N15" s="18"/>
      <c r="O15" s="18" t="s">
        <v>403</v>
      </c>
    </row>
    <row r="16" spans="1:15" x14ac:dyDescent="0.25">
      <c r="A16" s="1" t="s">
        <v>76</v>
      </c>
      <c r="B16" s="1" t="s">
        <v>129</v>
      </c>
      <c r="C16" s="1">
        <v>2030</v>
      </c>
      <c r="D16" s="7">
        <f>Tabelle223[[#This Row],[Produktionskapazität Mt]]*Tabelle223[[#This Row],[spez. Verbrauch (kWh/t)]]*10^-3</f>
        <v>6.7235924061580956</v>
      </c>
      <c r="E16" s="7">
        <f>E15*(1+G15)^(Tabelle223[[#This Row],[Jahr]]-C15)</f>
        <v>3201.7106695990929</v>
      </c>
      <c r="F16" s="7">
        <f>F15*(1+H15)^(Tabelle223[[#This Row],[Jahr]]-C15)</f>
        <v>2.1</v>
      </c>
      <c r="G16" s="39">
        <v>-3.0000000000000001E-3</v>
      </c>
      <c r="H16" s="39">
        <v>0</v>
      </c>
      <c r="I16" s="39"/>
      <c r="J16" s="39"/>
      <c r="K16" s="1"/>
      <c r="L16" s="18"/>
      <c r="M16" s="18"/>
      <c r="N16" s="18"/>
      <c r="O16" s="18" t="s">
        <v>403</v>
      </c>
    </row>
    <row r="17" spans="1:15" x14ac:dyDescent="0.25">
      <c r="A17" s="1" t="s">
        <v>76</v>
      </c>
      <c r="B17" s="1" t="s">
        <v>129</v>
      </c>
      <c r="C17" s="1">
        <v>2050</v>
      </c>
      <c r="D17" s="7">
        <f>Tabelle223[[#This Row],[Produktionskapazität Mt]]*Tabelle223[[#This Row],[spez. Verbrauch (kWh/t)]]*10^-3</f>
        <v>6.3314698661270032</v>
      </c>
      <c r="E17" s="7">
        <f>E16*(1+G16)^(Tabelle223[[#This Row],[Jahr]]-C16)</f>
        <v>3014.9856505366679</v>
      </c>
      <c r="F17" s="7">
        <f>F16*(1+H16)^(Tabelle223[[#This Row],[Jahr]]-C16)</f>
        <v>2.1</v>
      </c>
      <c r="G17" s="39">
        <v>-3.0000000000000001E-3</v>
      </c>
      <c r="H17" s="39">
        <v>0</v>
      </c>
      <c r="I17" s="39"/>
      <c r="J17" s="39"/>
      <c r="K17" s="1"/>
      <c r="L17" s="18"/>
      <c r="M17" s="18"/>
      <c r="N17" s="18"/>
      <c r="O17" s="18" t="s">
        <v>403</v>
      </c>
    </row>
    <row r="18" spans="1:15" x14ac:dyDescent="0.25">
      <c r="A18" s="1" t="s">
        <v>77</v>
      </c>
      <c r="B18" s="1" t="s">
        <v>129</v>
      </c>
      <c r="C18" s="1">
        <v>2010</v>
      </c>
      <c r="D18" s="7">
        <f>Tabelle223[[#This Row],[Produktionskapazität Mt]]*Tabelle223[[#This Row],[spez. Verbrauch (kWh/t)]]*10^-3</f>
        <v>28.5</v>
      </c>
      <c r="E18" s="7">
        <v>1500</v>
      </c>
      <c r="F18" s="7">
        <v>19</v>
      </c>
      <c r="G18" s="39">
        <v>-3.0000000000000001E-3</v>
      </c>
      <c r="H18" s="39">
        <v>0</v>
      </c>
      <c r="I18" s="39"/>
      <c r="J18" s="39"/>
      <c r="K18" s="1"/>
      <c r="L18" s="18"/>
      <c r="M18" s="18"/>
      <c r="N18" s="18"/>
      <c r="O18" s="10">
        <v>56</v>
      </c>
    </row>
    <row r="19" spans="1:15" x14ac:dyDescent="0.25">
      <c r="A19" s="1" t="s">
        <v>77</v>
      </c>
      <c r="B19" s="1" t="s">
        <v>129</v>
      </c>
      <c r="C19" s="1">
        <v>2020</v>
      </c>
      <c r="D19" s="7">
        <f>Tabelle223[[#This Row],[Produktionskapazität Mt]]*Tabelle223[[#This Row],[spez. Verbrauch (kWh/t)]]*10^-3</f>
        <v>27.656450643044131</v>
      </c>
      <c r="E19" s="7">
        <f>E18*(1+G18)^(Tabelle223[[#This Row],[Jahr]]-C18)</f>
        <v>1455.6026654233754</v>
      </c>
      <c r="F19" s="7">
        <f>F18*(1+H18)^(Tabelle223[[#This Row],[Jahr]]-C18)</f>
        <v>19</v>
      </c>
      <c r="G19" s="39">
        <v>-3.0000000000000001E-3</v>
      </c>
      <c r="H19" s="39">
        <v>0</v>
      </c>
      <c r="I19" s="39"/>
      <c r="J19" s="39"/>
      <c r="K19" s="1"/>
      <c r="L19" s="18"/>
      <c r="M19" s="18"/>
      <c r="N19" s="18"/>
      <c r="O19" s="18" t="s">
        <v>403</v>
      </c>
    </row>
    <row r="20" spans="1:15" x14ac:dyDescent="0.25">
      <c r="A20" s="1" t="s">
        <v>77</v>
      </c>
      <c r="B20" s="1" t="s">
        <v>129</v>
      </c>
      <c r="C20" s="1">
        <v>2030</v>
      </c>
      <c r="D20" s="7">
        <f>Tabelle223[[#This Row],[Produktionskapazität Mt]]*Tabelle223[[#This Row],[spez. Verbrauch (kWh/t)]]*10^-3</f>
        <v>26.837868848110041</v>
      </c>
      <c r="E20" s="7">
        <f>E19*(1+G19)^(Tabelle223[[#This Row],[Jahr]]-C19)</f>
        <v>1412.5194130584232</v>
      </c>
      <c r="F20" s="7">
        <f>F19*(1+H19)^(Tabelle223[[#This Row],[Jahr]]-C19)</f>
        <v>19</v>
      </c>
      <c r="G20" s="39">
        <v>-3.0000000000000001E-3</v>
      </c>
      <c r="H20" s="39">
        <v>0</v>
      </c>
      <c r="I20" s="39"/>
      <c r="J20" s="39"/>
      <c r="K20" s="1"/>
      <c r="L20" s="18"/>
      <c r="M20" s="18"/>
      <c r="N20" s="18"/>
      <c r="O20" s="18" t="s">
        <v>403</v>
      </c>
    </row>
    <row r="21" spans="1:15" x14ac:dyDescent="0.25">
      <c r="A21" s="1" t="s">
        <v>77</v>
      </c>
      <c r="B21" s="1" t="s">
        <v>129</v>
      </c>
      <c r="C21" s="1">
        <v>2050</v>
      </c>
      <c r="D21" s="7">
        <f>Tabelle223[[#This Row],[Produktionskapazität Mt]]*Tabelle223[[#This Row],[spez. Verbrauch (kWh/t)]]*10^-3</f>
        <v>25.272673835380893</v>
      </c>
      <c r="E21" s="7">
        <f>E20*(1+G20)^(Tabelle223[[#This Row],[Jahr]]-C20)</f>
        <v>1330.1407281779416</v>
      </c>
      <c r="F21" s="7">
        <f>F20*(1+H20)^(Tabelle223[[#This Row],[Jahr]]-C20)</f>
        <v>19</v>
      </c>
      <c r="G21" s="39">
        <v>-3.0000000000000001E-3</v>
      </c>
      <c r="H21" s="39">
        <v>0</v>
      </c>
      <c r="I21" s="39"/>
      <c r="J21" s="39"/>
      <c r="K21" s="1"/>
      <c r="L21" s="18"/>
      <c r="M21" s="18"/>
      <c r="N21" s="18"/>
      <c r="O21" s="18" t="s">
        <v>403</v>
      </c>
    </row>
    <row r="22" spans="1:15" x14ac:dyDescent="0.25">
      <c r="A22" s="1" t="s">
        <v>80</v>
      </c>
      <c r="B22" s="1" t="s">
        <v>129</v>
      </c>
      <c r="C22" s="1">
        <v>2010</v>
      </c>
      <c r="D22" s="7">
        <f>Tabelle223[[#This Row],[Produktionskapazität Mt]]*Tabelle223[[#This Row],[spez. Verbrauch (kWh/t)]]*10^-3</f>
        <v>18</v>
      </c>
      <c r="E22" s="7">
        <v>250</v>
      </c>
      <c r="F22" s="7">
        <v>72</v>
      </c>
      <c r="G22" s="39">
        <v>0</v>
      </c>
      <c r="H22" s="39">
        <v>0.03</v>
      </c>
      <c r="I22" s="39"/>
      <c r="J22" s="39"/>
      <c r="K22" s="1"/>
      <c r="L22" s="18"/>
      <c r="M22" s="18"/>
      <c r="N22" s="18"/>
      <c r="O22" s="10">
        <v>56</v>
      </c>
    </row>
    <row r="23" spans="1:15" x14ac:dyDescent="0.25">
      <c r="A23" s="1" t="s">
        <v>80</v>
      </c>
      <c r="B23" s="1" t="s">
        <v>129</v>
      </c>
      <c r="C23" s="1">
        <v>2020</v>
      </c>
      <c r="D23" s="7">
        <f>Tabelle223[[#This Row],[Produktionskapazität Mt]]*Tabelle223[[#This Row],[spez. Verbrauch (kWh/t)]]*10^-3</f>
        <v>24.190494828194193</v>
      </c>
      <c r="E23" s="7">
        <f>E22*(1+G22)^(Tabelle223[[#This Row],[Jahr]]-C22)</f>
        <v>250</v>
      </c>
      <c r="F23" s="7">
        <f>F22*(1+H22)^(Tabelle223[[#This Row],[Jahr]]-C22)</f>
        <v>96.761979312776774</v>
      </c>
      <c r="G23" s="39">
        <v>0</v>
      </c>
      <c r="H23" s="39">
        <v>1.4999999999999999E-2</v>
      </c>
      <c r="I23" s="39"/>
      <c r="J23" s="39"/>
      <c r="K23" s="1"/>
      <c r="L23" s="18"/>
      <c r="M23" s="18"/>
      <c r="N23" s="18"/>
      <c r="O23" s="18" t="s">
        <v>403</v>
      </c>
    </row>
    <row r="24" spans="1:15" x14ac:dyDescent="0.25">
      <c r="A24" s="1" t="s">
        <v>80</v>
      </c>
      <c r="B24" s="1" t="s">
        <v>129</v>
      </c>
      <c r="C24" s="1">
        <v>2030</v>
      </c>
      <c r="D24" s="7">
        <f>Tabelle223[[#This Row],[Produktionskapazität Mt]]*Tabelle223[[#This Row],[spez. Verbrauch (kWh/t)]]*10^-3</f>
        <v>28.074056825679079</v>
      </c>
      <c r="E24" s="7">
        <f>E23*(1+G23)^(Tabelle223[[#This Row],[Jahr]]-C23)</f>
        <v>250</v>
      </c>
      <c r="F24" s="7">
        <f>F23*(1+H23)^(Tabelle223[[#This Row],[Jahr]]-C23)</f>
        <v>112.29622730271632</v>
      </c>
      <c r="G24" s="39">
        <v>0</v>
      </c>
      <c r="H24" s="39">
        <v>1.4999999999999999E-2</v>
      </c>
      <c r="I24" s="39"/>
      <c r="J24" s="39"/>
      <c r="K24" s="1"/>
      <c r="L24" s="18"/>
      <c r="M24" s="18"/>
      <c r="N24" s="18"/>
      <c r="O24" s="18" t="s">
        <v>403</v>
      </c>
    </row>
    <row r="25" spans="1:15" x14ac:dyDescent="0.25">
      <c r="A25" s="1" t="s">
        <v>80</v>
      </c>
      <c r="B25" s="1" t="s">
        <v>129</v>
      </c>
      <c r="C25" s="1">
        <v>2050</v>
      </c>
      <c r="D25" s="7">
        <f>Tabelle223[[#This Row],[Produktionskapazität Mt]]*Tabelle223[[#This Row],[spez. Verbrauch (kWh/t)]]*10^-3</f>
        <v>37.811683989836531</v>
      </c>
      <c r="E25" s="7">
        <f>E24*(1+G24)^(Tabelle223[[#This Row],[Jahr]]-C24)</f>
        <v>250</v>
      </c>
      <c r="F25" s="7">
        <f>F24*(1+H24)^(Tabelle223[[#This Row],[Jahr]]-C24)</f>
        <v>151.24673595934613</v>
      </c>
      <c r="G25" s="39">
        <v>0</v>
      </c>
      <c r="H25" s="39">
        <v>1.4999999999999999E-2</v>
      </c>
      <c r="I25" s="39"/>
      <c r="J25" s="39"/>
      <c r="K25" s="1"/>
      <c r="L25" s="18"/>
      <c r="M25" s="18"/>
      <c r="N25" s="18"/>
      <c r="O25" s="18" t="s">
        <v>403</v>
      </c>
    </row>
    <row r="26" spans="1:15" x14ac:dyDescent="0.25">
      <c r="A26" s="1" t="s">
        <v>81</v>
      </c>
      <c r="B26" s="1" t="s">
        <v>129</v>
      </c>
      <c r="C26" s="1">
        <v>2010</v>
      </c>
      <c r="D26" s="7">
        <f>Tabelle223[[#This Row],[Produktionskapazität Mt]]*Tabelle223[[#This Row],[spez. Verbrauch (kWh/t)]]*10^-3</f>
        <v>50.15</v>
      </c>
      <c r="E26" s="7">
        <v>425</v>
      </c>
      <c r="F26" s="7">
        <v>118</v>
      </c>
      <c r="G26" s="39">
        <v>-3.0000000000000001E-3</v>
      </c>
      <c r="H26" s="39">
        <v>1.4999999999999999E-2</v>
      </c>
      <c r="I26" s="39"/>
      <c r="J26" s="39"/>
      <c r="K26" s="1"/>
      <c r="L26" s="18"/>
      <c r="M26" s="18"/>
      <c r="N26" s="18"/>
      <c r="O26" s="10">
        <v>56</v>
      </c>
    </row>
    <row r="27" spans="1:15" x14ac:dyDescent="0.25">
      <c r="A27" s="1" t="s">
        <v>81</v>
      </c>
      <c r="B27" s="1" t="s">
        <v>129</v>
      </c>
      <c r="C27" s="1">
        <v>2020</v>
      </c>
      <c r="D27" s="7">
        <f>Tabelle223[[#This Row],[Produktionskapazität Mt]]*Tabelle223[[#This Row],[spez. Verbrauch (kWh/t)]]*10^-3</f>
        <v>56.478472573132237</v>
      </c>
      <c r="E27" s="7">
        <f>E26*(1+G26)^(Tabelle223[[#This Row],[Jahr]]-C26)</f>
        <v>412.42075520328967</v>
      </c>
      <c r="F27" s="7">
        <f>F26*(1+H26)^(Tabelle223[[#This Row],[Jahr]]-C26)</f>
        <v>136.94381735296753</v>
      </c>
      <c r="G27" s="39">
        <v>-3.0000000000000001E-3</v>
      </c>
      <c r="H27" s="39">
        <v>1.0999999999999999E-2</v>
      </c>
      <c r="I27" s="39"/>
      <c r="J27" s="39"/>
      <c r="K27" s="1"/>
      <c r="L27" s="18"/>
      <c r="M27" s="18"/>
      <c r="N27" s="18"/>
      <c r="O27" s="18" t="s">
        <v>403</v>
      </c>
    </row>
    <row r="28" spans="1:15" x14ac:dyDescent="0.25">
      <c r="A28" s="1" t="s">
        <v>81</v>
      </c>
      <c r="B28" s="1" t="s">
        <v>129</v>
      </c>
      <c r="C28" s="1">
        <v>2030</v>
      </c>
      <c r="D28" s="7">
        <f>Tabelle223[[#This Row],[Produktionskapazität Mt]]*Tabelle223[[#This Row],[spez. Verbrauch (kWh/t)]]*10^-3</f>
        <v>61.142906839567537</v>
      </c>
      <c r="E28" s="7">
        <f>E27*(1+G27)^(Tabelle223[[#This Row],[Jahr]]-C27)</f>
        <v>400.21383369988661</v>
      </c>
      <c r="F28" s="7">
        <f>F27*(1+H27)^(Tabelle223[[#This Row],[Jahr]]-C27)</f>
        <v>152.77559567173168</v>
      </c>
      <c r="G28" s="39">
        <v>-3.0000000000000001E-3</v>
      </c>
      <c r="H28" s="39">
        <v>1.0999999999999999E-2</v>
      </c>
      <c r="I28" s="39"/>
      <c r="J28" s="39"/>
      <c r="K28" s="1"/>
      <c r="L28" s="18"/>
      <c r="M28" s="18"/>
      <c r="N28" s="18"/>
      <c r="O28" s="18" t="s">
        <v>403</v>
      </c>
    </row>
    <row r="29" spans="1:15" x14ac:dyDescent="0.25">
      <c r="A29" s="1" t="s">
        <v>81</v>
      </c>
      <c r="B29" s="1" t="s">
        <v>129</v>
      </c>
      <c r="C29" s="1">
        <v>2050</v>
      </c>
      <c r="D29" s="7">
        <f>Tabelle223[[#This Row],[Produktionskapazität Mt]]*Tabelle223[[#This Row],[spez. Verbrauch (kWh/t)]]*10^-3</f>
        <v>71.659266764781037</v>
      </c>
      <c r="E29" s="7">
        <f>E28*(1+G28)^(Tabelle223[[#This Row],[Jahr]]-C28)</f>
        <v>376.87320631708349</v>
      </c>
      <c r="F29" s="7">
        <f>F28*(1+H28)^(Tabelle223[[#This Row],[Jahr]]-C28)</f>
        <v>190.1415796178683</v>
      </c>
      <c r="G29" s="39">
        <v>-3.0000000000000001E-3</v>
      </c>
      <c r="H29" s="39">
        <v>1.0999999999999999E-2</v>
      </c>
      <c r="I29" s="39"/>
      <c r="J29" s="39"/>
      <c r="K29" s="1"/>
      <c r="L29" s="18"/>
      <c r="M29" s="18"/>
      <c r="N29" s="18"/>
      <c r="O29" s="18" t="s">
        <v>403</v>
      </c>
    </row>
    <row r="30" spans="1:15" x14ac:dyDescent="0.25">
      <c r="A30" s="1" t="s">
        <v>84</v>
      </c>
      <c r="B30" s="1" t="s">
        <v>129</v>
      </c>
      <c r="C30" s="1">
        <v>2010</v>
      </c>
      <c r="D30" s="7">
        <f>Tabelle223[[#This Row],[Produktionskapazität Mt]]*Tabelle223[[#This Row],[spez. Verbrauch (kWh/t)]]*10^-3</f>
        <v>47.25</v>
      </c>
      <c r="E30" s="7">
        <v>525</v>
      </c>
      <c r="F30" s="7">
        <v>90</v>
      </c>
      <c r="G30" s="39">
        <v>-5.0000000000000001E-3</v>
      </c>
      <c r="H30" s="39">
        <v>5.0000000000000001E-3</v>
      </c>
      <c r="I30" s="39"/>
      <c r="J30" s="39"/>
      <c r="K30" s="1"/>
      <c r="L30" s="18"/>
      <c r="M30" s="18"/>
      <c r="N30" s="18"/>
      <c r="O30" s="10">
        <v>56</v>
      </c>
    </row>
    <row r="31" spans="1:15" x14ac:dyDescent="0.25">
      <c r="A31" s="1" t="s">
        <v>84</v>
      </c>
      <c r="B31" s="1" t="s">
        <v>129</v>
      </c>
      <c r="C31" s="1">
        <v>2020</v>
      </c>
      <c r="D31" s="7">
        <f>Tabelle223[[#This Row],[Produktionskapazität Mt]]*Tabelle223[[#This Row],[spez. Verbrauch (kWh/t)]]*10^-3</f>
        <v>47.238188828817592</v>
      </c>
      <c r="E31" s="7">
        <f>E30*(1+G30)^(Tabelle223[[#This Row],[Jahr]]-C30)</f>
        <v>499.33281849453027</v>
      </c>
      <c r="F31" s="7">
        <f>F30*(1+H30)^(Tabelle223[[#This Row],[Jahr]]-C30)</f>
        <v>94.602611883671017</v>
      </c>
      <c r="G31" s="39">
        <v>-5.0000000000000001E-3</v>
      </c>
      <c r="H31" s="39">
        <v>5.0000000000000001E-3</v>
      </c>
      <c r="I31" s="39"/>
      <c r="J31" s="39"/>
      <c r="K31" s="1"/>
      <c r="L31" s="18"/>
      <c r="M31" s="18"/>
      <c r="N31" s="18"/>
      <c r="O31" s="18" t="s">
        <v>403</v>
      </c>
    </row>
    <row r="32" spans="1:15" x14ac:dyDescent="0.25">
      <c r="A32" s="1" t="s">
        <v>84</v>
      </c>
      <c r="B32" s="1" t="s">
        <v>129</v>
      </c>
      <c r="C32" s="1">
        <v>2030</v>
      </c>
      <c r="D32" s="7">
        <f>Tabelle223[[#This Row],[Produktionskapazität Mt]]*Tabelle223[[#This Row],[spez. Verbrauch (kWh/t)]]*10^-3</f>
        <v>47.226380610095823</v>
      </c>
      <c r="E32" s="7">
        <f>E31*(1+G31)^(Tabelle223[[#This Row],[Jahr]]-C31)</f>
        <v>474.92050214417435</v>
      </c>
      <c r="F32" s="7">
        <f>F31*(1+H31)^(Tabelle223[[#This Row],[Jahr]]-C31)</f>
        <v>99.440601946805486</v>
      </c>
      <c r="G32" s="39">
        <v>-5.0000000000000001E-3</v>
      </c>
      <c r="H32" s="39">
        <v>5.0000000000000001E-3</v>
      </c>
      <c r="I32" s="39"/>
      <c r="J32" s="39"/>
      <c r="K32" s="1"/>
      <c r="L32" s="18"/>
      <c r="M32" s="18"/>
      <c r="N32" s="18"/>
      <c r="O32" s="18" t="s">
        <v>403</v>
      </c>
    </row>
    <row r="33" spans="1:15" x14ac:dyDescent="0.25">
      <c r="A33" s="1" t="s">
        <v>84</v>
      </c>
      <c r="B33" s="1" t="s">
        <v>129</v>
      </c>
      <c r="C33" s="1">
        <v>2050</v>
      </c>
      <c r="D33" s="7">
        <f>Tabelle223[[#This Row],[Produktionskapazität Mt]]*Tabelle223[[#This Row],[spez. Verbrauch (kWh/t)]]*10^-3</f>
        <v>47.202773027082209</v>
      </c>
      <c r="E33" s="7">
        <f>E32*(1+G32)^(Tabelle223[[#This Row],[Jahr]]-C32)</f>
        <v>429.61806353690417</v>
      </c>
      <c r="F33" s="7">
        <f>F32*(1+H32)^(Tabelle223[[#This Row],[Jahr]]-C32)</f>
        <v>109.87148128381126</v>
      </c>
      <c r="G33" s="39">
        <v>-5.0000000000000001E-3</v>
      </c>
      <c r="H33" s="39">
        <v>5.0000000000000001E-3</v>
      </c>
      <c r="I33" s="39"/>
      <c r="J33" s="39"/>
      <c r="K33" s="1"/>
      <c r="L33" s="18"/>
      <c r="M33" s="18"/>
      <c r="N33" s="18"/>
      <c r="O33" s="18" t="s">
        <v>403</v>
      </c>
    </row>
    <row r="34" spans="1:15" x14ac:dyDescent="0.25">
      <c r="A34" s="1" t="s">
        <v>168</v>
      </c>
      <c r="B34" s="1" t="s">
        <v>129</v>
      </c>
      <c r="C34" s="1">
        <v>2010</v>
      </c>
      <c r="D34" s="7">
        <f>Tabelle223[[#This Row],[Produktionskapazität Mt]]*Tabelle223[[#This Row],[spez. Verbrauch (kWh/t)]]*10^-3</f>
        <v>37.18</v>
      </c>
      <c r="E34" s="7">
        <v>110</v>
      </c>
      <c r="F34" s="7">
        <v>338</v>
      </c>
      <c r="G34" s="39">
        <v>-5.0000000000000001E-3</v>
      </c>
      <c r="H34" s="39">
        <v>0</v>
      </c>
      <c r="I34" s="39"/>
      <c r="J34" s="39"/>
      <c r="K34" s="1"/>
      <c r="L34" s="18"/>
      <c r="M34" s="18"/>
      <c r="N34" s="18"/>
      <c r="O34" s="10">
        <v>56</v>
      </c>
    </row>
    <row r="35" spans="1:15" x14ac:dyDescent="0.25">
      <c r="A35" s="1" t="s">
        <v>168</v>
      </c>
      <c r="B35" s="1" t="s">
        <v>129</v>
      </c>
      <c r="C35" s="1">
        <v>2020</v>
      </c>
      <c r="D35" s="7">
        <f>Tabelle223[[#This Row],[Produktionskapazität Mt]]*Tabelle223[[#This Row],[spez. Verbrauch (kWh/t)]]*10^-3</f>
        <v>35.362274650717403</v>
      </c>
      <c r="E35" s="7">
        <f>E34*(1+G34)^(Tabelle223[[#This Row],[Jahr]]-C34)</f>
        <v>104.62211435123491</v>
      </c>
      <c r="F35" s="7">
        <f>F34*(1+H34)^(Tabelle223[[#This Row],[Jahr]]-C34)</f>
        <v>338</v>
      </c>
      <c r="G35" s="39">
        <v>-5.0000000000000001E-3</v>
      </c>
      <c r="H35" s="39">
        <v>0</v>
      </c>
      <c r="I35" s="39"/>
      <c r="J35" s="39"/>
      <c r="K35" s="1"/>
      <c r="L35" s="18"/>
      <c r="M35" s="18"/>
      <c r="N35" s="18"/>
      <c r="O35" s="18" t="s">
        <v>403</v>
      </c>
    </row>
    <row r="36" spans="1:15" x14ac:dyDescent="0.25">
      <c r="A36" s="1" t="s">
        <v>168</v>
      </c>
      <c r="B36" s="1" t="s">
        <v>129</v>
      </c>
      <c r="C36" s="1">
        <v>2030</v>
      </c>
      <c r="D36" s="7">
        <f>Tabelle223[[#This Row],[Produktionskapazität Mt]]*Tabelle223[[#This Row],[spez. Verbrauch (kWh/t)]]*10^-3</f>
        <v>33.633417656610291</v>
      </c>
      <c r="E36" s="7">
        <f>E35*(1+G35)^(Tabelle223[[#This Row],[Jahr]]-C35)</f>
        <v>99.507152830207957</v>
      </c>
      <c r="F36" s="7">
        <f>F35*(1+H35)^(Tabelle223[[#This Row],[Jahr]]-C35)</f>
        <v>338</v>
      </c>
      <c r="G36" s="39">
        <v>-5.0000000000000001E-3</v>
      </c>
      <c r="H36" s="39">
        <v>0</v>
      </c>
      <c r="I36" s="39"/>
      <c r="J36" s="39"/>
      <c r="K36" s="1"/>
      <c r="L36" s="18"/>
      <c r="M36" s="18"/>
      <c r="N36" s="18"/>
      <c r="O36" s="18" t="s">
        <v>403</v>
      </c>
    </row>
    <row r="37" spans="1:15" x14ac:dyDescent="0.25">
      <c r="A37" s="1" t="s">
        <v>168</v>
      </c>
      <c r="B37" s="1" t="s">
        <v>129</v>
      </c>
      <c r="C37" s="1">
        <v>2050</v>
      </c>
      <c r="D37" s="7">
        <f>Tabelle223[[#This Row],[Produktionskapazität Mt]]*Tabelle223[[#This Row],[spez. Verbrauch (kWh/t)]]*10^-3</f>
        <v>30.425142099623045</v>
      </c>
      <c r="E37" s="7">
        <f>E36*(1+G36)^(Tabelle223[[#This Row],[Jahr]]-C36)</f>
        <v>90.015213312494211</v>
      </c>
      <c r="F37" s="7">
        <f>F36*(1+H36)^(Tabelle223[[#This Row],[Jahr]]-C36)</f>
        <v>338</v>
      </c>
      <c r="G37" s="39">
        <v>-5.0000000000000001E-3</v>
      </c>
      <c r="H37" s="39">
        <v>0</v>
      </c>
      <c r="I37" s="39"/>
      <c r="J37" s="39"/>
      <c r="K37" s="1"/>
      <c r="L37" s="18"/>
      <c r="M37" s="18"/>
      <c r="N37" s="18"/>
      <c r="O37" s="18" t="s">
        <v>403</v>
      </c>
    </row>
    <row r="38" spans="1:15" x14ac:dyDescent="0.25">
      <c r="A38" s="1" t="s">
        <v>373</v>
      </c>
      <c r="B38" s="1" t="s">
        <v>129</v>
      </c>
      <c r="C38" s="1">
        <v>2010</v>
      </c>
      <c r="D38" s="7">
        <f>Tabelle223[[#This Row],[Produktionskapazität Mt]]*Tabelle223[[#This Row],[spez. Verbrauch (kWh/t)]]*10^-3</f>
        <v>1.24</v>
      </c>
      <c r="E38" s="7">
        <v>3100</v>
      </c>
      <c r="F38" s="7">
        <v>0.4</v>
      </c>
      <c r="G38" s="39">
        <v>-3.0000000000000001E-3</v>
      </c>
      <c r="H38" s="39">
        <v>-0.01</v>
      </c>
      <c r="I38" s="39"/>
      <c r="J38" s="39"/>
      <c r="K38" s="1"/>
      <c r="L38" s="18"/>
      <c r="M38" s="18"/>
      <c r="N38" s="18"/>
      <c r="O38" s="10">
        <v>56</v>
      </c>
    </row>
    <row r="39" spans="1:15" x14ac:dyDescent="0.25">
      <c r="A39" s="1" t="s">
        <v>373</v>
      </c>
      <c r="B39" s="1" t="s">
        <v>129</v>
      </c>
      <c r="C39" s="1">
        <v>2020</v>
      </c>
      <c r="D39" s="7">
        <f>Tabelle223[[#This Row],[Produktionskapazität Mt]]*Tabelle223[[#This Row],[spez. Verbrauch (kWh/t)]]*10^-3</f>
        <v>1.0882413260603228</v>
      </c>
      <c r="E39" s="7">
        <f>E38*(1+G38)^(Tabelle223[[#This Row],[Jahr]]-C38)</f>
        <v>3008.2455085416427</v>
      </c>
      <c r="F39" s="7">
        <f>F38*(1+H38)^(Tabelle223[[#This Row],[Jahr]]-C38)</f>
        <v>0.36175283000352176</v>
      </c>
      <c r="G39" s="39">
        <v>-3.0000000000000001E-3</v>
      </c>
      <c r="H39" s="39">
        <v>-0.01</v>
      </c>
      <c r="I39" s="39"/>
      <c r="J39" s="39"/>
      <c r="K39" s="1"/>
      <c r="L39" s="18"/>
      <c r="M39" s="18"/>
      <c r="N39" s="18"/>
      <c r="O39" s="18" t="s">
        <v>403</v>
      </c>
    </row>
    <row r="40" spans="1:15" x14ac:dyDescent="0.25">
      <c r="A40" s="1" t="s">
        <v>373</v>
      </c>
      <c r="B40" s="1" t="s">
        <v>129</v>
      </c>
      <c r="C40" s="1">
        <v>2030</v>
      </c>
      <c r="D40" s="7">
        <f>Tabelle223[[#This Row],[Produktionskapazität Mt]]*Tabelle223[[#This Row],[spez. Verbrauch (kWh/t)]]*10^-3</f>
        <v>0.95505579334316892</v>
      </c>
      <c r="E40" s="7">
        <f>E39*(1+G39)^(Tabelle223[[#This Row],[Jahr]]-C39)</f>
        <v>2919.2067869874086</v>
      </c>
      <c r="F40" s="7">
        <f>F39*(1+H39)^(Tabelle223[[#This Row],[Jahr]]-C39)</f>
        <v>0.32716277503889224</v>
      </c>
      <c r="G40" s="39">
        <v>-3.0000000000000001E-3</v>
      </c>
      <c r="H40" s="39">
        <v>-0.01</v>
      </c>
      <c r="I40" s="39"/>
      <c r="J40" s="39"/>
      <c r="K40" s="1"/>
      <c r="L40" s="18"/>
      <c r="M40" s="18"/>
      <c r="N40" s="18"/>
      <c r="O40" s="18" t="s">
        <v>403</v>
      </c>
    </row>
    <row r="41" spans="1:15" x14ac:dyDescent="0.25">
      <c r="A41" s="1" t="s">
        <v>373</v>
      </c>
      <c r="B41" s="1" t="s">
        <v>129</v>
      </c>
      <c r="C41" s="1">
        <v>2050</v>
      </c>
      <c r="D41" s="7">
        <f>Tabelle223[[#This Row],[Produktionskapazität Mt]]*Tabelle223[[#This Row],[spez. Verbrauch (kWh/t)]]*10^-3</f>
        <v>0.73558997451479824</v>
      </c>
      <c r="E41" s="7">
        <f>E40*(1+G40)^(Tabelle223[[#This Row],[Jahr]]-C40)</f>
        <v>2748.95750490108</v>
      </c>
      <c r="F41" s="7">
        <f>F40*(1+H40)^(Tabelle223[[#This Row],[Jahr]]-C40)</f>
        <v>0.26758870342787205</v>
      </c>
      <c r="G41" s="39">
        <v>-3.0000000000000001E-3</v>
      </c>
      <c r="H41" s="39">
        <v>-0.01</v>
      </c>
      <c r="I41" s="39"/>
      <c r="J41" s="39"/>
      <c r="K41" s="1"/>
      <c r="L41" s="18"/>
      <c r="M41" s="18"/>
      <c r="N41" s="18"/>
      <c r="O41" s="18" t="s">
        <v>403</v>
      </c>
    </row>
    <row r="42" spans="1:15" x14ac:dyDescent="0.25">
      <c r="A42" s="1" t="s">
        <v>374</v>
      </c>
      <c r="B42" s="1" t="s">
        <v>129</v>
      </c>
      <c r="C42" s="1">
        <v>2010</v>
      </c>
      <c r="D42" s="7">
        <f>Tabelle223[[#This Row],[Produktionskapazität Mt]]*Tabelle223[[#This Row],[spez. Verbrauch (kWh/t)]]*10^-3</f>
        <v>9.5134000000000025</v>
      </c>
      <c r="E42" s="7">
        <f>(23.3*238+13.6*160+8*224)/SUM(23.3,13.6,8)</f>
        <v>211.87973273942097</v>
      </c>
      <c r="F42" s="7">
        <f>23.3+13.6+8</f>
        <v>44.9</v>
      </c>
      <c r="G42" s="39">
        <v>-3.0000000000000001E-3</v>
      </c>
      <c r="H42" s="39">
        <v>5.0000000000000001E-3</v>
      </c>
      <c r="I42" s="39"/>
      <c r="J42" s="39"/>
      <c r="K42" s="1"/>
      <c r="L42" s="18"/>
      <c r="M42" s="18"/>
      <c r="N42" s="18"/>
      <c r="O42" s="10">
        <v>56</v>
      </c>
    </row>
    <row r="43" spans="1:15" x14ac:dyDescent="0.25">
      <c r="A43" s="1" t="s">
        <v>374</v>
      </c>
      <c r="B43" s="1" t="s">
        <v>129</v>
      </c>
      <c r="C43" s="1">
        <v>2020</v>
      </c>
      <c r="D43" s="7">
        <f>Tabelle223[[#This Row],[Produktionskapazität Mt]]*Tabelle223[[#This Row],[spez. Verbrauch (kWh/t)]]*10^-3</f>
        <v>9.7039367721458536</v>
      </c>
      <c r="E43" s="7">
        <f>E42*(1+G42)^(Tabelle223[[#This Row],[Jahr]]-C42)</f>
        <v>205.60846914979572</v>
      </c>
      <c r="F43" s="7">
        <f>F42*(1+H42)^(Tabelle223[[#This Row],[Jahr]]-C42)</f>
        <v>47.196191928631428</v>
      </c>
      <c r="G43" s="39">
        <v>-3.0000000000000001E-3</v>
      </c>
      <c r="H43" s="39">
        <v>5.0000000000000001E-3</v>
      </c>
      <c r="I43" s="39"/>
      <c r="J43" s="39"/>
      <c r="K43" s="1"/>
      <c r="L43" s="18"/>
      <c r="M43" s="18"/>
      <c r="N43" s="18"/>
      <c r="O43" s="18" t="s">
        <v>403</v>
      </c>
    </row>
    <row r="44" spans="1:15" x14ac:dyDescent="0.25">
      <c r="A44" s="1" t="s">
        <v>374</v>
      </c>
      <c r="B44" s="1" t="s">
        <v>129</v>
      </c>
      <c r="C44" s="1">
        <v>2030</v>
      </c>
      <c r="D44" s="7">
        <f>Tabelle223[[#This Row],[Produktionskapazität Mt]]*Tabelle223[[#This Row],[spez. Verbrauch (kWh/t)]]*10^-3</f>
        <v>9.8982896627708765</v>
      </c>
      <c r="E44" s="7">
        <f>E43*(1+G43)^(Tabelle223[[#This Row],[Jahr]]-C43)</f>
        <v>199.52282381870833</v>
      </c>
      <c r="F44" s="7">
        <f>F43*(1+H43)^(Tabelle223[[#This Row],[Jahr]]-C43)</f>
        <v>49.609811415684064</v>
      </c>
      <c r="G44" s="39">
        <v>-3.0000000000000001E-3</v>
      </c>
      <c r="H44" s="39">
        <v>5.0000000000000001E-3</v>
      </c>
      <c r="I44" s="39"/>
      <c r="J44" s="39"/>
      <c r="K44" s="1"/>
      <c r="L44" s="18"/>
      <c r="M44" s="18"/>
      <c r="N44" s="18"/>
      <c r="O44" s="18" t="s">
        <v>403</v>
      </c>
    </row>
    <row r="45" spans="1:15" x14ac:dyDescent="0.25">
      <c r="A45" s="1" t="s">
        <v>374</v>
      </c>
      <c r="B45" s="1" t="s">
        <v>129</v>
      </c>
      <c r="C45" s="1">
        <v>2050</v>
      </c>
      <c r="D45" s="7">
        <f>Tabelle223[[#This Row],[Produktionskapazität Mt]]*Tabelle223[[#This Row],[spez. Verbrauch (kWh/t)]]*10^-3</f>
        <v>10.298751050950953</v>
      </c>
      <c r="E45" s="7">
        <f>E44*(1+G44)^(Tabelle223[[#This Row],[Jahr]]-C44)</f>
        <v>187.88657466144073</v>
      </c>
      <c r="F45" s="7">
        <f>F44*(1+H44)^(Tabelle223[[#This Row],[Jahr]]-C44)</f>
        <v>54.813661218256946</v>
      </c>
      <c r="G45" s="39">
        <v>-3.0000000000000001E-3</v>
      </c>
      <c r="H45" s="39">
        <v>5.0000000000000001E-3</v>
      </c>
      <c r="I45" s="39"/>
      <c r="J45" s="39"/>
      <c r="K45" s="1"/>
      <c r="L45" s="18"/>
      <c r="M45" s="18"/>
      <c r="N45" s="18"/>
      <c r="O45" s="18" t="s">
        <v>403</v>
      </c>
    </row>
    <row r="46" spans="1:15" x14ac:dyDescent="0.25">
      <c r="A46" s="1" t="s">
        <v>100</v>
      </c>
      <c r="B46" s="1" t="s">
        <v>129</v>
      </c>
      <c r="C46" s="1">
        <v>2010</v>
      </c>
      <c r="D46" s="1">
        <f>Tabelle223[[#This Row],[Produktionskapazität Mt]]*Tabelle223[[#This Row],[spez. Verbrauch (kWh/t)]]*10^-3</f>
        <v>0</v>
      </c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</row>
    <row r="47" spans="1:15" x14ac:dyDescent="0.25">
      <c r="A47" s="1" t="s">
        <v>100</v>
      </c>
      <c r="B47" s="1" t="s">
        <v>129</v>
      </c>
      <c r="C47" s="1">
        <v>2020</v>
      </c>
      <c r="D47" s="1">
        <f>Tabelle223[[#This Row],[Produktionskapazität Mt]]*Tabelle223[[#This Row],[spez. Verbrauch (kWh/t)]]*10^-3</f>
        <v>0</v>
      </c>
      <c r="E47" s="1"/>
      <c r="F47" s="1"/>
      <c r="G47" s="1"/>
      <c r="H47" s="1"/>
      <c r="I47" s="1"/>
      <c r="J47" s="1"/>
      <c r="K47" s="1"/>
      <c r="L47" s="18"/>
      <c r="M47" s="18"/>
      <c r="N47" s="18"/>
      <c r="O47" s="18"/>
    </row>
    <row r="48" spans="1:15" x14ac:dyDescent="0.25">
      <c r="A48" s="1" t="s">
        <v>100</v>
      </c>
      <c r="B48" s="1" t="s">
        <v>129</v>
      </c>
      <c r="C48" s="1">
        <v>2030</v>
      </c>
      <c r="D48" s="1">
        <f>Tabelle223[[#This Row],[Produktionskapazität Mt]]*Tabelle223[[#This Row],[spez. Verbrauch (kWh/t)]]*10^-3</f>
        <v>0</v>
      </c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</row>
    <row r="49" spans="1:15" x14ac:dyDescent="0.25">
      <c r="A49" s="1" t="s">
        <v>100</v>
      </c>
      <c r="B49" s="1" t="s">
        <v>129</v>
      </c>
      <c r="C49" s="1">
        <v>2050</v>
      </c>
      <c r="D49" s="1">
        <f>Tabelle223[[#This Row],[Produktionskapazität Mt]]*Tabelle223[[#This Row],[spez. Verbrauch (kWh/t)]]*10^-3</f>
        <v>0</v>
      </c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</row>
    <row r="50" spans="1:15" x14ac:dyDescent="0.25">
      <c r="A50" s="1" t="s">
        <v>211</v>
      </c>
      <c r="B50" s="1" t="s">
        <v>129</v>
      </c>
      <c r="C50" s="1">
        <v>2010</v>
      </c>
      <c r="D50" s="1">
        <f>Tabelle223[[#This Row],[Produktionskapazität Mt]]*Tabelle223[[#This Row],[spez. Verbrauch (kWh/t)]]*10^-3</f>
        <v>0</v>
      </c>
      <c r="E50" s="1"/>
      <c r="F50" s="1"/>
      <c r="G50" s="1"/>
      <c r="H50" s="1"/>
      <c r="I50" s="1"/>
      <c r="J50" s="1"/>
      <c r="K50" s="1"/>
      <c r="L50" s="18"/>
      <c r="M50" s="18"/>
      <c r="N50" s="18"/>
      <c r="O50" s="18"/>
    </row>
    <row r="51" spans="1:15" x14ac:dyDescent="0.25">
      <c r="A51" s="1" t="s">
        <v>211</v>
      </c>
      <c r="B51" s="1" t="s">
        <v>129</v>
      </c>
      <c r="C51" s="1">
        <v>2020</v>
      </c>
      <c r="D51" s="1">
        <f>Tabelle223[[#This Row],[Produktionskapazität Mt]]*Tabelle223[[#This Row],[spez. Verbrauch (kWh/t)]]*10^-3</f>
        <v>0</v>
      </c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</row>
    <row r="52" spans="1:15" x14ac:dyDescent="0.25">
      <c r="A52" s="1" t="s">
        <v>211</v>
      </c>
      <c r="B52" s="1" t="s">
        <v>129</v>
      </c>
      <c r="C52" s="1">
        <v>2030</v>
      </c>
      <c r="D52" s="1">
        <f>Tabelle223[[#This Row],[Produktionskapazität Mt]]*Tabelle223[[#This Row],[spez. Verbrauch (kWh/t)]]*10^-3</f>
        <v>0</v>
      </c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</row>
    <row r="53" spans="1:15" x14ac:dyDescent="0.25">
      <c r="A53" s="1" t="s">
        <v>211</v>
      </c>
      <c r="B53" s="1" t="s">
        <v>129</v>
      </c>
      <c r="C53" s="1">
        <v>2050</v>
      </c>
      <c r="D53" s="1">
        <f>Tabelle223[[#This Row],[Produktionskapazität Mt]]*Tabelle223[[#This Row],[spez. Verbrauch (kWh/t)]]*10^-3</f>
        <v>0</v>
      </c>
      <c r="E53" s="1"/>
      <c r="F53" s="1"/>
      <c r="G53" s="1"/>
      <c r="H53" s="1"/>
      <c r="I53" s="1"/>
      <c r="J53" s="1"/>
      <c r="K53" s="1"/>
      <c r="L53" s="18"/>
      <c r="M53" s="18"/>
      <c r="N53" s="18"/>
      <c r="O53" s="18"/>
    </row>
    <row r="54" spans="1:15" x14ac:dyDescent="0.25">
      <c r="A54" s="1" t="s">
        <v>401</v>
      </c>
      <c r="B54" s="1" t="s">
        <v>130</v>
      </c>
      <c r="C54" s="1">
        <v>2010</v>
      </c>
      <c r="D54" s="1">
        <v>136.19999999999999</v>
      </c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</row>
    <row r="55" spans="1:15" x14ac:dyDescent="0.25">
      <c r="A55" s="1" t="s">
        <v>401</v>
      </c>
      <c r="B55" s="1" t="s">
        <v>130</v>
      </c>
      <c r="C55" s="1">
        <v>2020</v>
      </c>
      <c r="D55" s="1">
        <v>146.5</v>
      </c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</row>
    <row r="56" spans="1:15" x14ac:dyDescent="0.25">
      <c r="A56" s="1" t="s">
        <v>401</v>
      </c>
      <c r="B56" s="1" t="s">
        <v>130</v>
      </c>
      <c r="C56" s="1">
        <v>2030</v>
      </c>
      <c r="D56" s="1">
        <v>150.9</v>
      </c>
      <c r="E56" s="1"/>
      <c r="F56" s="1"/>
      <c r="G56" s="1"/>
      <c r="H56" s="1"/>
      <c r="I56" s="1"/>
      <c r="J56" s="1"/>
      <c r="K56" s="1"/>
      <c r="L56" s="18"/>
      <c r="M56" s="18"/>
      <c r="N56" s="18"/>
      <c r="O56" s="18"/>
    </row>
    <row r="57" spans="1:15" x14ac:dyDescent="0.25">
      <c r="A57" s="1" t="s">
        <v>401</v>
      </c>
      <c r="B57" s="1" t="s">
        <v>130</v>
      </c>
      <c r="C57" s="1">
        <v>2050</v>
      </c>
      <c r="D57" s="1">
        <v>131.80000000000001</v>
      </c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</row>
    <row r="58" spans="1:15" x14ac:dyDescent="0.25">
      <c r="A58" s="5" t="s">
        <v>100</v>
      </c>
      <c r="B58" s="1" t="s">
        <v>130</v>
      </c>
      <c r="C58" s="5">
        <v>2010</v>
      </c>
      <c r="D58" s="5"/>
      <c r="E58" s="5"/>
      <c r="F58" s="5"/>
      <c r="G58" s="5"/>
      <c r="H58" s="5"/>
      <c r="I58" s="40">
        <v>8.6999999999999994E-2</v>
      </c>
      <c r="J58" s="40"/>
      <c r="K58" s="1"/>
      <c r="L58" s="18"/>
      <c r="M58" s="18"/>
      <c r="N58" s="18"/>
      <c r="O58" s="10">
        <v>56</v>
      </c>
    </row>
    <row r="59" spans="1:15" x14ac:dyDescent="0.25">
      <c r="A59" s="5" t="s">
        <v>100</v>
      </c>
      <c r="B59" s="1" t="s">
        <v>130</v>
      </c>
      <c r="C59" s="5">
        <v>2020</v>
      </c>
      <c r="D59" s="5">
        <f>Tabelle223[[#This Row],[Produktionskapazität Mt]]*Tabelle223[[#This Row],[spez. Verbrauch (kWh/t)]]*10^-3</f>
        <v>0</v>
      </c>
      <c r="E59" s="5"/>
      <c r="F59" s="5"/>
      <c r="G59" s="5"/>
      <c r="H59" s="5"/>
      <c r="I59" s="40">
        <f>I58+(Tabelle223[[#This Row],[Jahr]]-C58)*($I$61-$I$58)/($C$61-$C$58)</f>
        <v>9.0249999999999997E-2</v>
      </c>
      <c r="J59" s="40"/>
      <c r="K59" s="1"/>
      <c r="L59" s="18"/>
      <c r="M59" s="18"/>
      <c r="N59" s="18"/>
      <c r="O59" s="10"/>
    </row>
    <row r="60" spans="1:15" x14ac:dyDescent="0.25">
      <c r="A60" s="5" t="s">
        <v>100</v>
      </c>
      <c r="B60" s="1" t="s">
        <v>130</v>
      </c>
      <c r="C60" s="5">
        <v>2030</v>
      </c>
      <c r="D60" s="5">
        <f>Tabelle223[[#This Row],[Produktionskapazität Mt]]*Tabelle223[[#This Row],[spez. Verbrauch (kWh/t)]]*10^-3</f>
        <v>0</v>
      </c>
      <c r="E60" s="5"/>
      <c r="F60" s="5"/>
      <c r="G60" s="5"/>
      <c r="H60" s="5"/>
      <c r="I60" s="40">
        <f>I59+(Tabelle223[[#This Row],[Jahr]]-C59)*($I$61-$I$58)/($C$61-$C$58)</f>
        <v>9.35E-2</v>
      </c>
      <c r="J60" s="40"/>
      <c r="K60" s="1"/>
      <c r="L60" s="18"/>
      <c r="M60" s="18"/>
      <c r="N60" s="18"/>
      <c r="O60" s="10"/>
    </row>
    <row r="61" spans="1:15" x14ac:dyDescent="0.25">
      <c r="A61" s="5" t="s">
        <v>100</v>
      </c>
      <c r="B61" s="1" t="s">
        <v>130</v>
      </c>
      <c r="C61" s="5">
        <v>2050</v>
      </c>
      <c r="D61" s="5"/>
      <c r="E61" s="5"/>
      <c r="F61" s="5"/>
      <c r="G61" s="5"/>
      <c r="H61" s="5"/>
      <c r="I61" s="6">
        <v>0.1</v>
      </c>
      <c r="J61" s="6"/>
      <c r="K61" s="1"/>
      <c r="L61" s="18"/>
      <c r="M61" s="18"/>
      <c r="N61" s="18"/>
      <c r="O61" s="10">
        <v>56</v>
      </c>
    </row>
    <row r="62" spans="1:15" x14ac:dyDescent="0.25">
      <c r="A62" s="5" t="s">
        <v>211</v>
      </c>
      <c r="B62" s="1" t="s">
        <v>130</v>
      </c>
      <c r="C62" s="5">
        <v>2010</v>
      </c>
      <c r="D62" s="5"/>
      <c r="E62" s="5"/>
      <c r="F62" s="5"/>
      <c r="G62" s="5"/>
      <c r="H62" s="5"/>
      <c r="I62" s="39">
        <v>0.126</v>
      </c>
      <c r="J62" s="39"/>
      <c r="K62" s="1"/>
      <c r="L62" s="18"/>
      <c r="M62" s="18"/>
      <c r="N62" s="18"/>
      <c r="O62" s="10">
        <v>56</v>
      </c>
    </row>
    <row r="63" spans="1:15" x14ac:dyDescent="0.25">
      <c r="A63" s="5" t="s">
        <v>211</v>
      </c>
      <c r="B63" s="1" t="s">
        <v>130</v>
      </c>
      <c r="C63" s="5">
        <v>2020</v>
      </c>
      <c r="D63" s="5">
        <f>Tabelle223[[#This Row],[Produktionskapazität Mt]]*Tabelle223[[#This Row],[spez. Verbrauch (kWh/t)]]*10^-3</f>
        <v>0</v>
      </c>
      <c r="E63" s="5"/>
      <c r="F63" s="5"/>
      <c r="G63" s="5"/>
      <c r="H63" s="5"/>
      <c r="I63" s="40">
        <f>I62+(Tabelle223[[#This Row],[Jahr]]-C62)*($I$65-$I$62)/($C$65-$C$62)</f>
        <v>0.127</v>
      </c>
      <c r="J63" s="39"/>
      <c r="K63" s="1"/>
      <c r="L63" s="18"/>
      <c r="M63" s="18"/>
      <c r="N63" s="18"/>
      <c r="O63" s="10"/>
    </row>
    <row r="64" spans="1:15" x14ac:dyDescent="0.25">
      <c r="A64" s="5" t="s">
        <v>211</v>
      </c>
      <c r="B64" s="1" t="s">
        <v>130</v>
      </c>
      <c r="C64" s="5">
        <v>2030</v>
      </c>
      <c r="D64" s="5">
        <f>Tabelle223[[#This Row],[Produktionskapazität Mt]]*Tabelle223[[#This Row],[spez. Verbrauch (kWh/t)]]*10^-3</f>
        <v>0</v>
      </c>
      <c r="E64" s="5"/>
      <c r="F64" s="5"/>
      <c r="G64" s="5"/>
      <c r="H64" s="5"/>
      <c r="I64" s="40">
        <f>I63+(Tabelle223[[#This Row],[Jahr]]-C63)*($I$65-$I$62)/($C$65-$C$62)</f>
        <v>0.128</v>
      </c>
      <c r="J64" s="39"/>
      <c r="K64" s="1"/>
      <c r="L64" s="18"/>
      <c r="M64" s="18"/>
      <c r="N64" s="18"/>
      <c r="O64" s="10"/>
    </row>
    <row r="65" spans="1:15" x14ac:dyDescent="0.25">
      <c r="A65" s="5" t="s">
        <v>211</v>
      </c>
      <c r="B65" s="1" t="s">
        <v>130</v>
      </c>
      <c r="C65" s="5">
        <v>2050</v>
      </c>
      <c r="D65" s="5"/>
      <c r="E65" s="5"/>
      <c r="F65" s="5"/>
      <c r="G65" s="5"/>
      <c r="H65" s="5"/>
      <c r="I65" s="6">
        <v>0.13</v>
      </c>
      <c r="J65" s="6"/>
      <c r="K65" s="1"/>
      <c r="L65" s="18"/>
      <c r="M65" s="18"/>
      <c r="N65" s="18"/>
      <c r="O65" s="10">
        <v>56</v>
      </c>
    </row>
    <row r="66" spans="1:15" x14ac:dyDescent="0.25">
      <c r="A66" s="1" t="s">
        <v>224</v>
      </c>
      <c r="B66" s="1" t="s">
        <v>130</v>
      </c>
      <c r="C66" s="5">
        <v>2010</v>
      </c>
      <c r="D66" s="5">
        <f>Tabelle223[[#This Row],[Produktionskapazität Mt]]*Tabelle223[[#This Row],[spez. Verbrauch (kWh/t)]]*10^-3</f>
        <v>0</v>
      </c>
      <c r="E66" s="5"/>
      <c r="F66" s="5"/>
      <c r="G66" s="5"/>
      <c r="H66" s="5"/>
      <c r="I66" s="39"/>
      <c r="J66" s="6">
        <v>0</v>
      </c>
      <c r="K66" s="1"/>
      <c r="L66" s="18"/>
      <c r="M66" s="18"/>
      <c r="N66" s="18"/>
      <c r="O66" s="18"/>
    </row>
    <row r="67" spans="1:15" x14ac:dyDescent="0.25">
      <c r="A67" s="1" t="s">
        <v>224</v>
      </c>
      <c r="B67" s="1" t="s">
        <v>130</v>
      </c>
      <c r="C67" s="5">
        <v>2020</v>
      </c>
      <c r="D67" s="5">
        <f>Tabelle223[[#This Row],[Produktionskapazität Mt]]*Tabelle223[[#This Row],[spez. Verbrauch (kWh/t)]]*10^-3</f>
        <v>0</v>
      </c>
      <c r="E67" s="5"/>
      <c r="F67" s="5"/>
      <c r="G67" s="5"/>
      <c r="H67" s="5"/>
      <c r="I67" s="40"/>
      <c r="J67" s="40">
        <f>J66+(Tabelle223[[#This Row],[Jahr]]-C66)*($J$69-$J$66)/($C$69-$C$66)</f>
        <v>0.125</v>
      </c>
      <c r="K67" s="1"/>
      <c r="L67" s="18"/>
      <c r="M67" s="18"/>
      <c r="N67" s="18"/>
      <c r="O67" s="18"/>
    </row>
    <row r="68" spans="1:15" x14ac:dyDescent="0.25">
      <c r="A68" s="1" t="s">
        <v>224</v>
      </c>
      <c r="B68" s="1" t="s">
        <v>130</v>
      </c>
      <c r="C68" s="5">
        <v>2030</v>
      </c>
      <c r="D68" s="5">
        <f>Tabelle223[[#This Row],[Produktionskapazität Mt]]*Tabelle223[[#This Row],[spez. Verbrauch (kWh/t)]]*10^-3</f>
        <v>0</v>
      </c>
      <c r="E68" s="5"/>
      <c r="F68" s="5"/>
      <c r="G68" s="5"/>
      <c r="H68" s="5"/>
      <c r="I68" s="40"/>
      <c r="J68" s="40">
        <f>J67+(Tabelle223[[#This Row],[Jahr]]-C67)*($J$69-$J$66)/($C$69-$C$66)</f>
        <v>0.25</v>
      </c>
      <c r="K68" s="1"/>
      <c r="L68" s="18"/>
      <c r="M68" s="18"/>
      <c r="N68" s="18"/>
      <c r="O68" s="18"/>
    </row>
    <row r="69" spans="1:15" x14ac:dyDescent="0.25">
      <c r="A69" s="5" t="s">
        <v>224</v>
      </c>
      <c r="B69" s="1" t="s">
        <v>130</v>
      </c>
      <c r="C69" s="5">
        <v>2050</v>
      </c>
      <c r="D69" s="5">
        <f>Tabelle223[[#This Row],[Produktionskapazität Mt]]*Tabelle223[[#This Row],[spez. Verbrauch (kWh/t)]]*10^-3</f>
        <v>0</v>
      </c>
      <c r="E69" s="5"/>
      <c r="F69" s="5"/>
      <c r="G69" s="5"/>
      <c r="H69" s="5"/>
      <c r="I69" s="1"/>
      <c r="J69" s="6">
        <v>0.5</v>
      </c>
      <c r="K69" s="1"/>
      <c r="L69" s="18"/>
      <c r="M69" s="18"/>
      <c r="N69" s="18"/>
      <c r="O69" s="18"/>
    </row>
    <row r="70" spans="1:15" x14ac:dyDescent="0.25">
      <c r="A70" s="5" t="s">
        <v>139</v>
      </c>
      <c r="B70" s="1" t="s">
        <v>130</v>
      </c>
      <c r="C70" s="5">
        <v>2010</v>
      </c>
      <c r="D70" s="5">
        <f>Tabelle223[[#This Row],[Produktionskapazität Mt]]*Tabelle223[[#This Row],[spez. Verbrauch (kWh/t)]]*10^-3</f>
        <v>0</v>
      </c>
      <c r="E70" s="5"/>
      <c r="F70" s="5"/>
      <c r="G70" s="5"/>
      <c r="H70" s="5"/>
      <c r="I70" s="6"/>
      <c r="J70" s="6">
        <v>0</v>
      </c>
      <c r="K70" s="1"/>
      <c r="L70" s="18"/>
      <c r="M70" s="18"/>
      <c r="N70" s="18"/>
      <c r="O70" s="18"/>
    </row>
    <row r="71" spans="1:15" x14ac:dyDescent="0.25">
      <c r="A71" s="5" t="s">
        <v>139</v>
      </c>
      <c r="B71" s="1" t="s">
        <v>130</v>
      </c>
      <c r="C71" s="5">
        <v>2020</v>
      </c>
      <c r="D71" s="5">
        <f>Tabelle223[[#This Row],[Produktionskapazität Mt]]*Tabelle223[[#This Row],[spez. Verbrauch (kWh/t)]]*10^-3</f>
        <v>0</v>
      </c>
      <c r="E71" s="5"/>
      <c r="F71" s="5"/>
      <c r="G71" s="5"/>
      <c r="H71" s="5"/>
      <c r="I71" s="6"/>
      <c r="J71" s="6">
        <f>J70+(Tabelle223[[#This Row],[Jahr]]-C70)*($J$73-$J$70)/($C$73-$C$70)</f>
        <v>-0.1</v>
      </c>
      <c r="K71" s="1"/>
      <c r="L71" s="18"/>
      <c r="M71" s="18"/>
      <c r="N71" s="18"/>
      <c r="O71" s="18"/>
    </row>
    <row r="72" spans="1:15" x14ac:dyDescent="0.25">
      <c r="A72" s="5" t="s">
        <v>139</v>
      </c>
      <c r="B72" s="1" t="s">
        <v>130</v>
      </c>
      <c r="C72" s="5">
        <v>2030</v>
      </c>
      <c r="D72" s="5">
        <f>Tabelle223[[#This Row],[Produktionskapazität Mt]]*Tabelle223[[#This Row],[spez. Verbrauch (kWh/t)]]*10^-3</f>
        <v>0</v>
      </c>
      <c r="E72" s="5"/>
      <c r="F72" s="5"/>
      <c r="G72" s="5"/>
      <c r="H72" s="5"/>
      <c r="I72" s="6"/>
      <c r="J72" s="6">
        <f>J71+(Tabelle223[[#This Row],[Jahr]]-C71)*($J$73-$J$70)/($C$73-$C$70)</f>
        <v>-0.2</v>
      </c>
      <c r="K72" s="1"/>
      <c r="L72" s="18"/>
      <c r="M72" s="18"/>
      <c r="N72" s="18"/>
      <c r="O72" s="18"/>
    </row>
    <row r="73" spans="1:15" x14ac:dyDescent="0.25">
      <c r="A73" s="5" t="s">
        <v>139</v>
      </c>
      <c r="B73" s="1" t="s">
        <v>130</v>
      </c>
      <c r="C73" s="5">
        <v>2050</v>
      </c>
      <c r="D73" s="5">
        <f>Tabelle223[[#This Row],[Produktionskapazität Mt]]*Tabelle223[[#This Row],[spez. Verbrauch (kWh/t)]]*10^-3</f>
        <v>0</v>
      </c>
      <c r="E73" s="5"/>
      <c r="F73" s="5"/>
      <c r="G73" s="5"/>
      <c r="H73" s="5"/>
      <c r="I73" s="6"/>
      <c r="J73" s="6">
        <v>-0.4</v>
      </c>
      <c r="K73" s="1"/>
      <c r="L73" s="18"/>
      <c r="M73" s="18"/>
      <c r="N73" s="18"/>
      <c r="O73" s="18"/>
    </row>
    <row r="74" spans="1:15" x14ac:dyDescent="0.25">
      <c r="A74" s="5" t="s">
        <v>377</v>
      </c>
      <c r="B74" s="1" t="s">
        <v>130</v>
      </c>
      <c r="C74" s="5">
        <v>2010</v>
      </c>
      <c r="D74" s="5">
        <f>Tabelle223[[#This Row],[Produktionskapazität Mt]]*Tabelle223[[#This Row],[spez. Verbrauch (kWh/t)]]*10^-3</f>
        <v>0</v>
      </c>
      <c r="E74" s="5"/>
      <c r="F74" s="5"/>
      <c r="G74" s="5"/>
      <c r="H74" s="5"/>
      <c r="I74" s="6">
        <v>0.03</v>
      </c>
      <c r="K74" s="1"/>
      <c r="L74" s="18"/>
      <c r="M74" s="18"/>
      <c r="N74" s="18"/>
      <c r="O74" s="18"/>
    </row>
    <row r="75" spans="1:15" x14ac:dyDescent="0.25">
      <c r="A75" s="5" t="s">
        <v>377</v>
      </c>
      <c r="B75" s="1" t="s">
        <v>130</v>
      </c>
      <c r="C75" s="5">
        <v>2020</v>
      </c>
      <c r="D75" s="5">
        <f>Tabelle223[[#This Row],[Produktionskapazität Mt]]*Tabelle223[[#This Row],[spez. Verbrauch (kWh/t)]]*10^-3</f>
        <v>0</v>
      </c>
      <c r="E75" s="5"/>
      <c r="F75" s="5"/>
      <c r="G75" s="5"/>
      <c r="H75" s="5"/>
      <c r="I75" s="41">
        <f>I74+(Tabelle223[[#This Row],[Jahr]]-C74)*($I$77-$I$74)/($C$77-$C$74)</f>
        <v>2.8749999999999998E-2</v>
      </c>
      <c r="K75" s="1"/>
      <c r="L75" s="18"/>
      <c r="M75" s="18"/>
      <c r="N75" s="18"/>
      <c r="O75" s="18"/>
    </row>
    <row r="76" spans="1:15" x14ac:dyDescent="0.25">
      <c r="A76" s="5" t="s">
        <v>377</v>
      </c>
      <c r="B76" s="1" t="s">
        <v>130</v>
      </c>
      <c r="C76" s="5">
        <v>2030</v>
      </c>
      <c r="D76" s="5">
        <f>Tabelle223[[#This Row],[Produktionskapazität Mt]]*Tabelle223[[#This Row],[spez. Verbrauch (kWh/t)]]*10^-3</f>
        <v>0</v>
      </c>
      <c r="E76" s="5"/>
      <c r="F76" s="5"/>
      <c r="G76" s="5"/>
      <c r="H76" s="5"/>
      <c r="I76" s="41">
        <f>I75+(Tabelle223[[#This Row],[Jahr]]-C75)*($I$77-$I$74)/($C$77-$C$74)</f>
        <v>2.7499999999999997E-2</v>
      </c>
      <c r="K76" s="1"/>
      <c r="L76" s="18"/>
      <c r="M76" s="18"/>
      <c r="N76" s="18"/>
      <c r="O76" s="18"/>
    </row>
    <row r="77" spans="1:15" x14ac:dyDescent="0.25">
      <c r="A77" s="5" t="s">
        <v>377</v>
      </c>
      <c r="B77" s="1" t="s">
        <v>130</v>
      </c>
      <c r="C77" s="5">
        <v>2050</v>
      </c>
      <c r="D77" s="5">
        <f>Tabelle223[[#This Row],[Produktionskapazität Mt]]*Tabelle223[[#This Row],[spez. Verbrauch (kWh/t)]]*10^-3</f>
        <v>0</v>
      </c>
      <c r="E77" s="5"/>
      <c r="F77" s="5"/>
      <c r="G77" s="5"/>
      <c r="H77" s="5"/>
      <c r="I77" s="39">
        <v>2.5000000000000001E-2</v>
      </c>
      <c r="K77" s="1"/>
      <c r="L77" s="18"/>
      <c r="M77" s="18"/>
      <c r="N77" s="18"/>
      <c r="O77" s="18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Dropdown!$C$2:$C$4</xm:f>
          </x14:formula1>
          <xm:sqref>B2:B77</xm:sqref>
        </x14:dataValidation>
        <x14:dataValidation type="list" allowBlank="1" showInputMessage="1" showErrorMessage="1" xr:uid="{00000000-0002-0000-0B00-000001000000}">
          <x14:formula1>
            <xm:f>Dropdown!$A$2:$A$91</xm:f>
          </x14:formula1>
          <xm:sqref>A2:A77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7"/>
  <dimension ref="A1:M41"/>
  <sheetViews>
    <sheetView zoomScaleNormal="100" workbookViewId="0">
      <selection activeCell="E3" sqref="E3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25" style="1" bestFit="1" customWidth="1"/>
    <col min="5" max="5" width="17.85546875" style="1" bestFit="1" customWidth="1"/>
    <col min="6" max="6" width="17.85546875" style="1" customWidth="1"/>
    <col min="7" max="10" width="24.28515625" style="1" customWidth="1"/>
    <col min="11" max="11" width="17.5703125" style="1" customWidth="1"/>
    <col min="12" max="12" width="17.85546875" style="1" customWidth="1"/>
    <col min="13" max="13" width="30.7109375" style="1" bestFit="1" customWidth="1"/>
    <col min="14" max="16384" width="11.42578125" style="1"/>
  </cols>
  <sheetData>
    <row r="1" spans="1:13" x14ac:dyDescent="0.2">
      <c r="A1" s="2" t="s">
        <v>0</v>
      </c>
      <c r="B1" s="2" t="s">
        <v>131</v>
      </c>
      <c r="C1" s="2" t="s">
        <v>8</v>
      </c>
      <c r="D1" s="2" t="s">
        <v>482</v>
      </c>
      <c r="E1" s="1" t="s">
        <v>485</v>
      </c>
      <c r="F1" s="1" t="s">
        <v>486</v>
      </c>
      <c r="G1" s="1" t="s">
        <v>25</v>
      </c>
      <c r="H1" s="1" t="s">
        <v>483</v>
      </c>
      <c r="I1" s="1" t="s">
        <v>487</v>
      </c>
      <c r="J1" s="1" t="s">
        <v>484</v>
      </c>
      <c r="K1" s="1" t="s">
        <v>488</v>
      </c>
      <c r="L1" s="1" t="s">
        <v>489</v>
      </c>
      <c r="M1" s="1" t="s">
        <v>28</v>
      </c>
    </row>
    <row r="2" spans="1:13" x14ac:dyDescent="0.2">
      <c r="A2" s="32" t="s">
        <v>365</v>
      </c>
      <c r="B2" s="32" t="s">
        <v>142</v>
      </c>
      <c r="C2" s="5">
        <v>2010</v>
      </c>
      <c r="D2" s="5">
        <v>39.799999999999997</v>
      </c>
      <c r="E2" s="29">
        <f>Tabelle234[[#This Row],[Leistung je Einheit (kW)]]*Tabelle234[[#This Row],[Anzahl Haushalte (Mio.)]]*Tabelle234[[#This Row],[Vollbenutzungsstunden]]*Tabelle234[[#This Row],[Ausstattungsraten]]/10^3</f>
        <v>0.36118499999999992</v>
      </c>
      <c r="F2" s="29">
        <f>Tabelle234[[#This Row],[Anzahl Haushalte (Mio.)]]*Tabelle234[[#This Row],[Ausstattungsraten]]*Tabelle234[[#This Row],[Leistung je Einheit (kW)]]*10^3</f>
        <v>1313.3999999999999</v>
      </c>
      <c r="G2" s="10">
        <v>275</v>
      </c>
      <c r="H2" s="8">
        <v>0.02</v>
      </c>
      <c r="I2" s="44"/>
      <c r="J2" s="45">
        <v>1.65</v>
      </c>
      <c r="K2" s="18">
        <v>32</v>
      </c>
      <c r="L2" s="18">
        <v>985</v>
      </c>
      <c r="M2" s="1" t="s">
        <v>490</v>
      </c>
    </row>
    <row r="3" spans="1:13" x14ac:dyDescent="0.2">
      <c r="A3" s="32" t="s">
        <v>365</v>
      </c>
      <c r="B3" s="32" t="s">
        <v>142</v>
      </c>
      <c r="C3" s="1">
        <v>2020</v>
      </c>
      <c r="D3" s="1">
        <v>40.659999999999997</v>
      </c>
      <c r="E3" s="29">
        <f>Tabelle234[[#This Row],[Leistung je Einheit (kW)]]*Tabelle234[[#This Row],[Anzahl Haushalte (Mio.)]]*Tabelle234[[#This Row],[Vollbenutzungsstunden]]*Tabelle234[[#This Row],[Ausstattungsraten]]/10^3</f>
        <v>0.70016519999999993</v>
      </c>
      <c r="F3" s="29">
        <f>Tabelle234[[#This Row],[Anzahl Haushalte (Mio.)]]*Tabelle234[[#This Row],[Ausstattungsraten]]*Tabelle234[[#This Row],[Leistung je Einheit (kW)]]*10^3</f>
        <v>2439.5999999999995</v>
      </c>
      <c r="G3" s="10">
        <v>287</v>
      </c>
      <c r="H3" s="8">
        <f>$H$2+(Tabelle234[[#This Row],[Jahr]]-$C$2)*($H$5-$H$2)/($C$5-$C$2)</f>
        <v>0.04</v>
      </c>
      <c r="I3" s="44"/>
      <c r="J3" s="45">
        <v>1.5</v>
      </c>
      <c r="K3" s="18">
        <f>Tabelle234[[#This Row],[Leistung gesamt (MW)]]/F2*K2</f>
        <v>59.439013248058465</v>
      </c>
      <c r="L3" s="18">
        <f>Tabelle234[[#This Row],[Leistung gesamt (MW)]]/F2*L2</f>
        <v>1829.6071265417997</v>
      </c>
      <c r="M3" s="1" t="s">
        <v>490</v>
      </c>
    </row>
    <row r="4" spans="1:13" x14ac:dyDescent="0.2">
      <c r="A4" s="32" t="s">
        <v>365</v>
      </c>
      <c r="B4" s="32" t="s">
        <v>142</v>
      </c>
      <c r="C4" s="5">
        <v>2030</v>
      </c>
      <c r="D4" s="5">
        <v>41.2</v>
      </c>
      <c r="E4" s="29">
        <f>Tabelle234[[#This Row],[Leistung je Einheit (kW)]]*Tabelle234[[#This Row],[Anzahl Haushalte (Mio.)]]*Tabelle234[[#This Row],[Vollbenutzungsstunden]]*Tabelle234[[#This Row],[Ausstattungsraten]]/10^3</f>
        <v>1.00116</v>
      </c>
      <c r="F4" s="29">
        <f>Tabelle234[[#This Row],[Anzahl Haushalte (Mio.)]]*Tabelle234[[#This Row],[Ausstattungsraten]]*Tabelle234[[#This Row],[Leistung je Einheit (kW)]]*10^3</f>
        <v>3337.2000000000003</v>
      </c>
      <c r="G4" s="10">
        <v>300</v>
      </c>
      <c r="H4" s="8">
        <f>$H$2+(Tabelle234[[#This Row],[Jahr]]-$C$2)*($H$5-$H$2)/($C$5-$C$2)</f>
        <v>0.06</v>
      </c>
      <c r="I4" s="44"/>
      <c r="J4" s="45">
        <v>1.35</v>
      </c>
      <c r="K4" s="18">
        <f>Tabelle234[[#This Row],[Leistung gesamt (MW)]]/F3*K3</f>
        <v>81.308359981726824</v>
      </c>
      <c r="L4" s="18">
        <f>Tabelle234[[#This Row],[Leistung gesamt (MW)]]/F3*L3</f>
        <v>2502.7729556875292</v>
      </c>
      <c r="M4" s="1" t="s">
        <v>490</v>
      </c>
    </row>
    <row r="5" spans="1:13" x14ac:dyDescent="0.2">
      <c r="A5" s="32" t="s">
        <v>365</v>
      </c>
      <c r="B5" s="32" t="s">
        <v>142</v>
      </c>
      <c r="C5" s="1">
        <v>2050</v>
      </c>
      <c r="D5" s="1">
        <v>39.68</v>
      </c>
      <c r="E5" s="29">
        <f>Tabelle234[[#This Row],[Leistung je Einheit (kW)]]*Tabelle234[[#This Row],[Anzahl Haushalte (Mio.)]]*Tabelle234[[#This Row],[Vollbenutzungsstunden]]*Tabelle234[[#This Row],[Ausstattungsraten]]/10^3</f>
        <v>1.4360192000000003</v>
      </c>
      <c r="F5" s="29">
        <f>Tabelle234[[#This Row],[Anzahl Haushalte (Mio.)]]*Tabelle234[[#This Row],[Ausstattungsraten]]*Tabelle234[[#This Row],[Leistung je Einheit (kW)]]*10^3</f>
        <v>4364.8000000000011</v>
      </c>
      <c r="G5" s="10">
        <v>329</v>
      </c>
      <c r="H5" s="8">
        <v>0.1</v>
      </c>
      <c r="I5" s="44"/>
      <c r="J5" s="45">
        <v>1.1000000000000001</v>
      </c>
      <c r="K5" s="18">
        <f>Tabelle234[[#This Row],[Leistung gesamt (MW)]]/F4*K4</f>
        <v>106.34505862646569</v>
      </c>
      <c r="L5" s="18">
        <f>Tabelle234[[#This Row],[Leistung gesamt (MW)]]/F4*L4</f>
        <v>3273.4338358458976</v>
      </c>
      <c r="M5" s="1" t="s">
        <v>490</v>
      </c>
    </row>
    <row r="6" spans="1:13" x14ac:dyDescent="0.2">
      <c r="A6" s="32" t="s">
        <v>151</v>
      </c>
      <c r="B6" s="32" t="s">
        <v>142</v>
      </c>
      <c r="C6" s="5">
        <v>2010</v>
      </c>
      <c r="D6" s="5">
        <v>39.799999999999997</v>
      </c>
      <c r="E6" s="29">
        <f>Tabelle234[[#This Row],[Leistung je Einheit (kW)]]*Tabelle234[[#This Row],[Anzahl Haushalte (Mio.)]]*Tabelle234[[#This Row],[Vollbenutzungsstunden]]*Tabelle234[[#This Row],[Ausstattungsraten]]/10^3</f>
        <v>11.636724000000001</v>
      </c>
      <c r="F6" s="29">
        <f>Tabelle234[[#This Row],[Anzahl Haushalte (Mio.)]]*Tabelle234[[#This Row],[Ausstattungsraten]]*Tabelle234[[#This Row],[Leistung je Einheit (kW)]]*10^3</f>
        <v>2388</v>
      </c>
      <c r="G6" s="10">
        <v>4873</v>
      </c>
      <c r="H6" s="6">
        <v>0.6</v>
      </c>
      <c r="I6" s="43"/>
      <c r="J6" s="3">
        <v>0.1</v>
      </c>
      <c r="K6" s="18">
        <v>1330</v>
      </c>
      <c r="L6" s="18">
        <v>1058</v>
      </c>
      <c r="M6" s="1" t="s">
        <v>490</v>
      </c>
    </row>
    <row r="7" spans="1:13" x14ac:dyDescent="0.2">
      <c r="A7" s="32" t="s">
        <v>151</v>
      </c>
      <c r="B7" s="32" t="s">
        <v>142</v>
      </c>
      <c r="C7" s="1">
        <v>2020</v>
      </c>
      <c r="D7" s="1">
        <v>40.659999999999997</v>
      </c>
      <c r="E7" s="29">
        <f>Tabelle234[[#This Row],[Leistung je Einheit (kW)]]*Tabelle234[[#This Row],[Anzahl Haushalte (Mio.)]]*Tabelle234[[#This Row],[Vollbenutzungsstunden]]*Tabelle234[[#This Row],[Ausstattungsraten]]/10^3</f>
        <v>10.311538639999998</v>
      </c>
      <c r="F7" s="29">
        <f>Tabelle234[[#This Row],[Anzahl Haushalte (Mio.)]]*Tabelle234[[#This Row],[Ausstattungsraten]]*Tabelle234[[#This Row],[Leistung je Einheit (kW)]]*10^3</f>
        <v>2114.3199999999997</v>
      </c>
      <c r="G7" s="10">
        <v>4877</v>
      </c>
      <c r="H7" s="8">
        <f>$H$6+(Tabelle234[[#This Row],[Jahr]]-$C$6)*($H$9-$H$6)/($C$9-$C$6)</f>
        <v>0.65</v>
      </c>
      <c r="I7" s="44"/>
      <c r="J7" s="45">
        <v>0.08</v>
      </c>
      <c r="K7" s="18">
        <f>Tabelle234[[#This Row],[Leistung gesamt (MW)]]/F6*K6</f>
        <v>1177.5735343383583</v>
      </c>
      <c r="L7" s="18">
        <f>Tabelle234[[#This Row],[Leistung gesamt (MW)]]/F6*L6</f>
        <v>936.74646566164142</v>
      </c>
      <c r="M7" s="1" t="s">
        <v>490</v>
      </c>
    </row>
    <row r="8" spans="1:13" x14ac:dyDescent="0.2">
      <c r="A8" s="32" t="s">
        <v>151</v>
      </c>
      <c r="B8" s="32" t="s">
        <v>142</v>
      </c>
      <c r="C8" s="5">
        <v>2030</v>
      </c>
      <c r="D8" s="5">
        <v>41.2</v>
      </c>
      <c r="E8" s="29">
        <f>Tabelle234[[#This Row],[Leistung je Einheit (kW)]]*Tabelle234[[#This Row],[Anzahl Haushalte (Mio.)]]*Tabelle234[[#This Row],[Vollbenutzungsstunden]]*Tabelle234[[#This Row],[Ausstattungsraten]]/10^3</f>
        <v>8.4322392000000015</v>
      </c>
      <c r="F8" s="29">
        <f>Tabelle234[[#This Row],[Anzahl Haushalte (Mio.)]]*Tabelle234[[#This Row],[Ausstattungsraten]]*Tabelle234[[#This Row],[Leistung je Einheit (kW)]]*10^3</f>
        <v>1730.4</v>
      </c>
      <c r="G8" s="10">
        <v>4873</v>
      </c>
      <c r="H8" s="8">
        <f>$H$6+(Tabelle234[[#This Row],[Jahr]]-$C$6)*($H$9-$H$6)/($C$9-$C$6)</f>
        <v>0.70000000000000007</v>
      </c>
      <c r="I8" s="44"/>
      <c r="J8" s="45">
        <v>0.06</v>
      </c>
      <c r="K8" s="18">
        <f>Tabelle234[[#This Row],[Leistung gesamt (MW)]]/F7*K7</f>
        <v>963.748743718593</v>
      </c>
      <c r="L8" s="18">
        <f>Tabelle234[[#This Row],[Leistung gesamt (MW)]]/F7*L7</f>
        <v>766.65125628140709</v>
      </c>
      <c r="M8" s="1" t="s">
        <v>490</v>
      </c>
    </row>
    <row r="9" spans="1:13" x14ac:dyDescent="0.2">
      <c r="A9" s="32" t="s">
        <v>151</v>
      </c>
      <c r="B9" s="32" t="s">
        <v>142</v>
      </c>
      <c r="C9" s="1">
        <v>2050</v>
      </c>
      <c r="D9" s="1">
        <v>39.68</v>
      </c>
      <c r="E9" s="29">
        <f>Tabelle234[[#This Row],[Leistung je Einheit (kW)]]*Tabelle234[[#This Row],[Anzahl Haushalte (Mio.)]]*Tabelle234[[#This Row],[Vollbenutzungsstunden]]*Tabelle234[[#This Row],[Ausstattungsraten]]/10^3</f>
        <v>3.0740889600000001</v>
      </c>
      <c r="F9" s="29">
        <f>Tabelle234[[#This Row],[Anzahl Haushalte (Mio.)]]*Tabelle234[[#This Row],[Ausstattungsraten]]*Tabelle234[[#This Row],[Leistung je Einheit (kW)]]*10^3</f>
        <v>634.88</v>
      </c>
      <c r="G9" s="10">
        <v>4842</v>
      </c>
      <c r="H9" s="6">
        <v>0.8</v>
      </c>
      <c r="I9" s="43"/>
      <c r="J9" s="3">
        <v>0.02</v>
      </c>
      <c r="K9" s="18">
        <f>Tabelle234[[#This Row],[Leistung gesamt (MW)]]/F8*K8</f>
        <v>353.59731993299829</v>
      </c>
      <c r="L9" s="18">
        <f>Tabelle234[[#This Row],[Leistung gesamt (MW)]]/F8*L8</f>
        <v>281.28268006700165</v>
      </c>
      <c r="M9" s="1" t="s">
        <v>490</v>
      </c>
    </row>
    <row r="10" spans="1:13" x14ac:dyDescent="0.2">
      <c r="A10" s="32" t="s">
        <v>135</v>
      </c>
      <c r="B10" s="32" t="s">
        <v>142</v>
      </c>
      <c r="C10" s="5">
        <v>2010</v>
      </c>
      <c r="D10" s="5">
        <v>39.799999999999997</v>
      </c>
      <c r="E10" s="29">
        <f>Tabelle234[[#This Row],[Anzahl Haushalte (Mio.)]]*Tabelle234[[#This Row],[Ausstattungsraten]]*Tabelle234[[#This Row],[Stromverbrauch je Einheit (kWh)]]/10^3</f>
        <v>15.740899999999996</v>
      </c>
      <c r="F10" s="29">
        <f>Tabelle234[[#This Row],[Stromverbrauch gesamt (TWh)]]+E14</f>
        <v>25.213299999999997</v>
      </c>
      <c r="G10" s="10"/>
      <c r="H10" s="6">
        <v>1.1299999999999999</v>
      </c>
      <c r="I10" s="43">
        <v>350</v>
      </c>
      <c r="J10" s="3"/>
      <c r="K10" s="18">
        <v>2885</v>
      </c>
      <c r="L10" s="18">
        <v>3614</v>
      </c>
      <c r="M10" s="1" t="s">
        <v>490</v>
      </c>
    </row>
    <row r="11" spans="1:13" x14ac:dyDescent="0.2">
      <c r="A11" s="32" t="s">
        <v>135</v>
      </c>
      <c r="B11" s="32" t="s">
        <v>142</v>
      </c>
      <c r="C11" s="1">
        <v>2020</v>
      </c>
      <c r="D11" s="1">
        <v>40.659999999999997</v>
      </c>
      <c r="E11" s="29">
        <f>Tabelle234[[#This Row],[Anzahl Haushalte (Mio.)]]*Tabelle234[[#This Row],[Ausstattungsraten]]*Tabelle234[[#This Row],[Stromverbrauch je Einheit (kWh)]]/10^3</f>
        <v>11.156087499999998</v>
      </c>
      <c r="F11" s="29">
        <f>Tabelle234[[#This Row],[Stromverbrauch gesamt (TWh)]]+E15</f>
        <v>18.373237499999998</v>
      </c>
      <c r="G11" s="10"/>
      <c r="H11" s="8">
        <f>$H$10+(Tabelle234[[#This Row],[Jahr]]-$C$10)*($H$13-$H$10)/($C$13-$C$10)</f>
        <v>1.0974999999999999</v>
      </c>
      <c r="I11" s="44">
        <v>250</v>
      </c>
      <c r="J11" s="45"/>
      <c r="K11" s="18">
        <f>Tabelle234[[#This Row],[Stromverbrauch gesamt (TWh)]]/E10*K10</f>
        <v>2044.6932791327054</v>
      </c>
      <c r="L11" s="18">
        <f>Tabelle234[[#This Row],[Stromverbrauch gesamt (TWh)]]/E10*L10</f>
        <v>2561.3592758355621</v>
      </c>
      <c r="M11" s="1" t="s">
        <v>490</v>
      </c>
    </row>
    <row r="12" spans="1:13" x14ac:dyDescent="0.2">
      <c r="A12" s="32" t="s">
        <v>135</v>
      </c>
      <c r="B12" s="32" t="s">
        <v>142</v>
      </c>
      <c r="C12" s="5">
        <v>2030</v>
      </c>
      <c r="D12" s="5">
        <v>41.2</v>
      </c>
      <c r="E12" s="29">
        <f>Tabelle234[[#This Row],[Anzahl Haushalte (Mio.)]]*Tabelle234[[#This Row],[Ausstattungsraten]]*Tabelle234[[#This Row],[Stromverbrauch je Einheit (kWh)]]/10^3</f>
        <v>7.6786499999999993</v>
      </c>
      <c r="F12" s="29">
        <f>Tabelle234[[#This Row],[Stromverbrauch gesamt (TWh)]]+E16</f>
        <v>13.014050000000001</v>
      </c>
      <c r="G12" s="10"/>
      <c r="H12" s="8">
        <f>$H$10+(Tabelle234[[#This Row],[Jahr]]-$C$10)*($H$13-$H$10)/($C$13-$C$10)</f>
        <v>1.0649999999999999</v>
      </c>
      <c r="I12" s="44">
        <v>175</v>
      </c>
      <c r="J12" s="45"/>
      <c r="K12" s="18">
        <f>Tabelle234[[#This Row],[Stromverbrauch gesamt (TWh)]]/E11*K11</f>
        <v>1407.3468003735493</v>
      </c>
      <c r="L12" s="18">
        <f>Tabelle234[[#This Row],[Stromverbrauch gesamt (TWh)]]/E11*L11</f>
        <v>1762.9640681282519</v>
      </c>
      <c r="M12" s="1" t="s">
        <v>490</v>
      </c>
    </row>
    <row r="13" spans="1:13" x14ac:dyDescent="0.2">
      <c r="A13" s="32" t="s">
        <v>135</v>
      </c>
      <c r="B13" s="32" t="s">
        <v>142</v>
      </c>
      <c r="C13" s="1">
        <v>2050</v>
      </c>
      <c r="D13" s="1">
        <v>39.68</v>
      </c>
      <c r="E13" s="29">
        <f>Tabelle234[[#This Row],[Anzahl Haushalte (Mio.)]]*Tabelle234[[#This Row],[Ausstattungsraten]]*Tabelle234[[#This Row],[Stromverbrauch je Einheit (kWh)]]/10^3</f>
        <v>3.968</v>
      </c>
      <c r="F13" s="29">
        <f>Tabelle234[[#This Row],[Stromverbrauch gesamt (TWh)]]+E17</f>
        <v>7.1424000000000003</v>
      </c>
      <c r="G13" s="10"/>
      <c r="H13" s="6">
        <v>1</v>
      </c>
      <c r="I13" s="43">
        <v>100</v>
      </c>
      <c r="J13" s="3"/>
      <c r="K13" s="18">
        <f>Tabelle234[[#This Row],[Stromverbrauch gesamt (TWh)]]/E12*K12</f>
        <v>727.25701834075574</v>
      </c>
      <c r="L13" s="18">
        <f>Tabelle234[[#This Row],[Stromverbrauch gesamt (TWh)]]/E12*L12</f>
        <v>911.02490963032608</v>
      </c>
      <c r="M13" s="1" t="s">
        <v>490</v>
      </c>
    </row>
    <row r="14" spans="1:13" x14ac:dyDescent="0.2">
      <c r="A14" s="32" t="s">
        <v>136</v>
      </c>
      <c r="B14" s="32" t="s">
        <v>142</v>
      </c>
      <c r="C14" s="5">
        <v>2010</v>
      </c>
      <c r="D14" s="5">
        <v>39.799999999999997</v>
      </c>
      <c r="E14" s="29">
        <f>Tabelle234[[#This Row],[Anzahl Haushalte (Mio.)]]*Tabelle234[[#This Row],[Ausstattungsraten]]*Tabelle234[[#This Row],[Stromverbrauch je Einheit (kWh)]]/10^3</f>
        <v>9.4724000000000004</v>
      </c>
      <c r="F14" s="29"/>
      <c r="G14" s="10"/>
      <c r="H14" s="6">
        <v>0.68</v>
      </c>
      <c r="I14" s="43">
        <v>350</v>
      </c>
      <c r="J14" s="3"/>
      <c r="K14" s="18"/>
      <c r="L14" s="18"/>
      <c r="M14" s="1" t="s">
        <v>490</v>
      </c>
    </row>
    <row r="15" spans="1:13" x14ac:dyDescent="0.2">
      <c r="A15" s="32" t="s">
        <v>136</v>
      </c>
      <c r="B15" s="32" t="s">
        <v>142</v>
      </c>
      <c r="C15" s="1">
        <v>2020</v>
      </c>
      <c r="D15" s="1">
        <v>40.659999999999997</v>
      </c>
      <c r="E15" s="29">
        <f>Tabelle234[[#This Row],[Anzahl Haushalte (Mio.)]]*Tabelle234[[#This Row],[Ausstattungsraten]]*Tabelle234[[#This Row],[Stromverbrauch je Einheit (kWh)]]/10^3</f>
        <v>7.2171500000000002</v>
      </c>
      <c r="F15" s="29"/>
      <c r="G15" s="10"/>
      <c r="H15" s="8">
        <f>$H$14+(Tabelle234[[#This Row],[Jahr]]-$C$14)*($H$17-$H$14)/($C$17-$C$14)</f>
        <v>0.71000000000000008</v>
      </c>
      <c r="I15" s="44">
        <v>250</v>
      </c>
      <c r="J15" s="45"/>
      <c r="K15" s="18"/>
      <c r="L15" s="18"/>
      <c r="M15" s="1" t="s">
        <v>490</v>
      </c>
    </row>
    <row r="16" spans="1:13" x14ac:dyDescent="0.2">
      <c r="A16" s="32" t="s">
        <v>136</v>
      </c>
      <c r="B16" s="32" t="s">
        <v>142</v>
      </c>
      <c r="C16" s="5">
        <v>2030</v>
      </c>
      <c r="D16" s="5">
        <v>41.2</v>
      </c>
      <c r="E16" s="29">
        <f>Tabelle234[[#This Row],[Anzahl Haushalte (Mio.)]]*Tabelle234[[#This Row],[Ausstattungsraten]]*Tabelle234[[#This Row],[Stromverbrauch je Einheit (kWh)]]/10^3</f>
        <v>5.3354000000000008</v>
      </c>
      <c r="F16" s="29"/>
      <c r="G16" s="10"/>
      <c r="H16" s="8">
        <f>$H$14+(Tabelle234[[#This Row],[Jahr]]-$C$14)*($H$17-$H$14)/($C$17-$C$14)</f>
        <v>0.74</v>
      </c>
      <c r="I16" s="44">
        <v>175</v>
      </c>
      <c r="J16" s="45"/>
      <c r="K16" s="18"/>
      <c r="L16" s="18"/>
      <c r="M16" s="1" t="s">
        <v>490</v>
      </c>
    </row>
    <row r="17" spans="1:13" x14ac:dyDescent="0.2">
      <c r="A17" s="32" t="s">
        <v>136</v>
      </c>
      <c r="B17" s="32" t="s">
        <v>142</v>
      </c>
      <c r="C17" s="1">
        <v>2050</v>
      </c>
      <c r="D17" s="1">
        <v>39.68</v>
      </c>
      <c r="E17" s="29">
        <f>Tabelle234[[#This Row],[Anzahl Haushalte (Mio.)]]*Tabelle234[[#This Row],[Ausstattungsraten]]*Tabelle234[[#This Row],[Stromverbrauch je Einheit (kWh)]]/10^3</f>
        <v>3.1743999999999999</v>
      </c>
      <c r="F17" s="29"/>
      <c r="G17" s="10"/>
      <c r="H17" s="6">
        <v>0.8</v>
      </c>
      <c r="I17" s="43">
        <v>100</v>
      </c>
      <c r="J17" s="3"/>
      <c r="K17" s="18"/>
      <c r="L17" s="18"/>
      <c r="M17" s="1" t="s">
        <v>490</v>
      </c>
    </row>
    <row r="18" spans="1:13" x14ac:dyDescent="0.2">
      <c r="A18" s="32" t="s">
        <v>132</v>
      </c>
      <c r="B18" s="32" t="s">
        <v>142</v>
      </c>
      <c r="C18" s="5">
        <v>2010</v>
      </c>
      <c r="D18" s="5">
        <v>39.799999999999997</v>
      </c>
      <c r="E18" s="29">
        <f>Tabelle234[[#This Row],[Anzahl Haushalte (Mio.)]]*Tabelle234[[#This Row],[Ausstattungsraten]]*Tabelle234[[#This Row],[Stromverbrauch je Einheit (kWh)]]/10^3</f>
        <v>7.4959319999999989</v>
      </c>
      <c r="F18" s="29">
        <f>Tabelle234[[#This Row],[Anzahl Haushalte (Mio.)]]*Tabelle234[[#This Row],[Ausstattungsraten]]*Tabelle234[[#This Row],[Leistung je Einheit (kW)]]*10^3</f>
        <v>25670.999999999996</v>
      </c>
      <c r="G18" s="10">
        <f>Tabelle234[[#This Row],[Stromverbrauch gesamt (TWh)]]*10^6/Tabelle234[[#This Row],[Leistung gesamt (MW)]]</f>
        <v>292</v>
      </c>
      <c r="H18" s="6">
        <v>0.86</v>
      </c>
      <c r="I18" s="43">
        <v>219</v>
      </c>
      <c r="J18" s="3">
        <v>0.75</v>
      </c>
      <c r="K18" s="18">
        <v>854</v>
      </c>
      <c r="L18" s="18">
        <v>24770</v>
      </c>
      <c r="M18" s="1" t="s">
        <v>490</v>
      </c>
    </row>
    <row r="19" spans="1:13" x14ac:dyDescent="0.2">
      <c r="A19" s="32" t="s">
        <v>132</v>
      </c>
      <c r="B19" s="32" t="s">
        <v>142</v>
      </c>
      <c r="C19" s="1">
        <v>2020</v>
      </c>
      <c r="D19" s="1">
        <v>40.659999999999997</v>
      </c>
      <c r="E19" s="29">
        <f>Tabelle234[[#This Row],[Leistung je Einheit (kW)]]*Tabelle234[[#This Row],[Anzahl Haushalte (Mio.)]]*Tabelle234[[#This Row],[Vollbenutzungsstunden]]*Tabelle234[[#This Row],[Ausstattungsraten]]/10^3</f>
        <v>5.7953714499999993</v>
      </c>
      <c r="F19" s="29">
        <f>Tabelle234[[#This Row],[Anzahl Haushalte (Mio.)]]*Tabelle234[[#This Row],[Ausstattungsraten]]*Tabelle234[[#This Row],[Leistung je Einheit (kW)]]*10^3</f>
        <v>19847.162499999999</v>
      </c>
      <c r="G19" s="10">
        <f>G18</f>
        <v>292</v>
      </c>
      <c r="H19" s="8">
        <f>$H$18+(Tabelle234[[#This Row],[Jahr]]-$C$18)*($H$21-$H$18)/($C$21-$C$18)</f>
        <v>0.88749999999999996</v>
      </c>
      <c r="I19" s="44"/>
      <c r="J19" s="45">
        <v>0.55000000000000004</v>
      </c>
      <c r="K19" s="18">
        <f>Tabelle234[[#This Row],[Leistung gesamt (MW)]]/F18*K18</f>
        <v>660.25775291184607</v>
      </c>
      <c r="L19" s="18">
        <f>Tabelle234[[#This Row],[Leistung gesamt (MW)]]/F18*L18</f>
        <v>19150.567376611743</v>
      </c>
      <c r="M19" s="1" t="s">
        <v>490</v>
      </c>
    </row>
    <row r="20" spans="1:13" x14ac:dyDescent="0.2">
      <c r="A20" s="32" t="s">
        <v>132</v>
      </c>
      <c r="B20" s="32" t="s">
        <v>142</v>
      </c>
      <c r="C20" s="5">
        <v>2030</v>
      </c>
      <c r="D20" s="5">
        <v>41.2</v>
      </c>
      <c r="E20" s="29">
        <f>Tabelle234[[#This Row],[Leistung je Einheit (kW)]]*Tabelle234[[#This Row],[Anzahl Haushalte (Mio.)]]*Tabelle234[[#This Row],[Vollbenutzungsstunden]]*Tabelle234[[#This Row],[Ausstattungsraten]]/10^3</f>
        <v>4.4031263999999997</v>
      </c>
      <c r="F20" s="29">
        <f>Tabelle234[[#This Row],[Anzahl Haushalte (Mio.)]]*Tabelle234[[#This Row],[Ausstattungsraten]]*Tabelle234[[#This Row],[Leistung je Einheit (kW)]]*10^3</f>
        <v>15079.200000000004</v>
      </c>
      <c r="G20" s="10">
        <f>G19</f>
        <v>292</v>
      </c>
      <c r="H20" s="8">
        <f>$H$18+(Tabelle234[[#This Row],[Jahr]]-$C$18)*($H$21-$H$18)/($C$21-$C$18)</f>
        <v>0.91500000000000004</v>
      </c>
      <c r="I20" s="44"/>
      <c r="J20" s="45">
        <v>0.4</v>
      </c>
      <c r="K20" s="18">
        <f>Tabelle234[[#This Row],[Leistung gesamt (MW)]]/F19*K19</f>
        <v>501.64141638424701</v>
      </c>
      <c r="L20" s="18">
        <f>Tabelle234[[#This Row],[Leistung gesamt (MW)]]/F19*L19</f>
        <v>14549.950683650819</v>
      </c>
      <c r="M20" s="1" t="s">
        <v>490</v>
      </c>
    </row>
    <row r="21" spans="1:13" x14ac:dyDescent="0.2">
      <c r="A21" s="32" t="s">
        <v>132</v>
      </c>
      <c r="B21" s="32" t="s">
        <v>142</v>
      </c>
      <c r="C21" s="1">
        <v>2050</v>
      </c>
      <c r="D21" s="1">
        <v>39.68</v>
      </c>
      <c r="E21" s="29">
        <f>Tabelle234[[#This Row],[Leistung je Einheit (kW)]]*Tabelle234[[#This Row],[Anzahl Haushalte (Mio.)]]*Tabelle234[[#This Row],[Vollbenutzungsstunden]]*Tabelle234[[#This Row],[Ausstattungsraten]]/10^3</f>
        <v>3.3716889599999997</v>
      </c>
      <c r="F21" s="29">
        <f>Tabelle234[[#This Row],[Anzahl Haushalte (Mio.)]]*Tabelle234[[#This Row],[Ausstattungsraten]]*Tabelle234[[#This Row],[Leistung je Einheit (kW)]]*10^3</f>
        <v>11546.879999999997</v>
      </c>
      <c r="G21" s="10">
        <f>G20</f>
        <v>292</v>
      </c>
      <c r="H21" s="6">
        <v>0.97</v>
      </c>
      <c r="I21" s="43"/>
      <c r="J21" s="3">
        <v>0.3</v>
      </c>
      <c r="K21" s="18">
        <f>Tabelle234[[#This Row],[Leistung gesamt (MW)]]/F20*K20</f>
        <v>384.13133574850991</v>
      </c>
      <c r="L21" s="18">
        <f>Tabelle234[[#This Row],[Leistung gesamt (MW)]]/F20*L20</f>
        <v>11141.607946710295</v>
      </c>
      <c r="M21" s="1" t="s">
        <v>490</v>
      </c>
    </row>
    <row r="22" spans="1:13" x14ac:dyDescent="0.2">
      <c r="A22" s="32" t="s">
        <v>133</v>
      </c>
      <c r="B22" s="32" t="s">
        <v>142</v>
      </c>
      <c r="C22" s="5">
        <v>2010</v>
      </c>
      <c r="D22" s="5">
        <v>39.799999999999997</v>
      </c>
      <c r="E22" s="29">
        <f>Tabelle234[[#This Row],[Anzahl Haushalte (Mio.)]]*Tabelle234[[#This Row],[Ausstattungsraten]]*Tabelle234[[#This Row],[Stromverbrauch je Einheit (kWh)]]/10^3</f>
        <v>4.7497319999999998</v>
      </c>
      <c r="F22" s="29">
        <f>Tabelle234[[#This Row],[Anzahl Haushalte (Mio.)]]*Tabelle234[[#This Row],[Ausstattungsraten]]*Tabelle234[[#This Row],[Leistung je Einheit (kW)]]*10^3</f>
        <v>23283</v>
      </c>
      <c r="G22" s="10">
        <f>Tabelle234[[#This Row],[Stromverbrauch gesamt (TWh)]]*10^6/Tabelle234[[#This Row],[Leistung gesamt (MW)]]</f>
        <v>204</v>
      </c>
      <c r="H22" s="6">
        <v>0.39</v>
      </c>
      <c r="I22" s="43">
        <v>306</v>
      </c>
      <c r="J22" s="3">
        <v>1.5</v>
      </c>
      <c r="K22" s="18">
        <v>543</v>
      </c>
      <c r="L22" s="18">
        <v>22743</v>
      </c>
      <c r="M22" s="1" t="s">
        <v>490</v>
      </c>
    </row>
    <row r="23" spans="1:13" x14ac:dyDescent="0.2">
      <c r="A23" s="32" t="s">
        <v>133</v>
      </c>
      <c r="B23" s="32" t="s">
        <v>142</v>
      </c>
      <c r="C23" s="1">
        <v>2020</v>
      </c>
      <c r="D23" s="1">
        <v>40.659999999999997</v>
      </c>
      <c r="E23" s="29">
        <f>Tabelle234[[#This Row],[Leistung je Einheit (kW)]]*Tabelle234[[#This Row],[Anzahl Haushalte (Mio.)]]*Tabelle234[[#This Row],[Vollbenutzungsstunden]]*Tabelle234[[#This Row],[Ausstattungsraten]]/10^3</f>
        <v>4.3287652499999991</v>
      </c>
      <c r="F23" s="29">
        <f>Tabelle234[[#This Row],[Anzahl Haushalte (Mio.)]]*Tabelle234[[#This Row],[Ausstattungsraten]]*Tabelle234[[#This Row],[Leistung je Einheit (kW)]]*10^3</f>
        <v>21219.437499999996</v>
      </c>
      <c r="G23" s="10">
        <f>G22</f>
        <v>204</v>
      </c>
      <c r="H23" s="8">
        <f>$H$22+(Tabelle234[[#This Row],[Jahr]]-$C$22)*($H$25-$H$22)/($C$25-$C$22)</f>
        <v>0.41749999999999998</v>
      </c>
      <c r="I23" s="44"/>
      <c r="J23" s="45">
        <v>1.25</v>
      </c>
      <c r="K23" s="18">
        <f>Tabelle234[[#This Row],[Leistung gesamt (MW)]]/F22*K22</f>
        <v>494.87413831980405</v>
      </c>
      <c r="L23" s="18">
        <f>Tabelle234[[#This Row],[Leistung gesamt (MW)]]/F22*L22</f>
        <v>20727.297472941627</v>
      </c>
      <c r="M23" s="1" t="s">
        <v>490</v>
      </c>
    </row>
    <row r="24" spans="1:13" x14ac:dyDescent="0.2">
      <c r="A24" s="32" t="s">
        <v>133</v>
      </c>
      <c r="B24" s="32" t="s">
        <v>142</v>
      </c>
      <c r="C24" s="5">
        <v>2030</v>
      </c>
      <c r="D24" s="5">
        <v>41.2</v>
      </c>
      <c r="E24" s="29">
        <f>Tabelle234[[#This Row],[Leistung je Einheit (kW)]]*Tabelle234[[#This Row],[Anzahl Haushalte (Mio.)]]*Tabelle234[[#This Row],[Vollbenutzungsstunden]]*Tabelle234[[#This Row],[Ausstattungsraten]]/10^3</f>
        <v>3.9271428000000004</v>
      </c>
      <c r="F24" s="29">
        <f>Tabelle234[[#This Row],[Anzahl Haushalte (Mio.)]]*Tabelle234[[#This Row],[Ausstattungsraten]]*Tabelle234[[#This Row],[Leistung je Einheit (kW)]]*10^3</f>
        <v>19250.700000000004</v>
      </c>
      <c r="G24" s="10">
        <f>G23</f>
        <v>204</v>
      </c>
      <c r="H24" s="8">
        <f>$H$22+(Tabelle234[[#This Row],[Jahr]]-$C$22)*($H$25-$H$22)/($C$25-$C$22)</f>
        <v>0.44500000000000001</v>
      </c>
      <c r="I24" s="44"/>
      <c r="J24" s="45">
        <v>1.05</v>
      </c>
      <c r="K24" s="18">
        <f>Tabelle234[[#This Row],[Leistung gesamt (MW)]]/F23*K23</f>
        <v>448.9597603401624</v>
      </c>
      <c r="L24" s="18">
        <f>Tabelle234[[#This Row],[Leistung gesamt (MW)]]/F23*L23</f>
        <v>18804.220680324703</v>
      </c>
      <c r="M24" s="1" t="s">
        <v>490</v>
      </c>
    </row>
    <row r="25" spans="1:13" x14ac:dyDescent="0.2">
      <c r="A25" s="32" t="s">
        <v>133</v>
      </c>
      <c r="B25" s="32" t="s">
        <v>142</v>
      </c>
      <c r="C25" s="1">
        <v>2050</v>
      </c>
      <c r="D25" s="1">
        <v>39.68</v>
      </c>
      <c r="E25" s="29">
        <f>Tabelle234[[#This Row],[Leistung je Einheit (kW)]]*Tabelle234[[#This Row],[Anzahl Haushalte (Mio.)]]*Tabelle234[[#This Row],[Vollbenutzungsstunden]]*Tabelle234[[#This Row],[Ausstattungsraten]]/10^3</f>
        <v>2.8331520000000001</v>
      </c>
      <c r="F25" s="29">
        <f>Tabelle234[[#This Row],[Anzahl Haushalte (Mio.)]]*Tabelle234[[#This Row],[Ausstattungsraten]]*Tabelle234[[#This Row],[Leistung je Einheit (kW)]]*10^3</f>
        <v>13888</v>
      </c>
      <c r="G25" s="10">
        <f>G24</f>
        <v>204</v>
      </c>
      <c r="H25" s="6">
        <v>0.5</v>
      </c>
      <c r="I25" s="43"/>
      <c r="J25" s="3">
        <v>0.7</v>
      </c>
      <c r="K25" s="18">
        <f>Tabelle234[[#This Row],[Leistung gesamt (MW)]]/F24*K24</f>
        <v>323.89228192243263</v>
      </c>
      <c r="L25" s="18">
        <f>Tabelle234[[#This Row],[Leistung gesamt (MW)]]/F24*L24</f>
        <v>13565.897178198684</v>
      </c>
      <c r="M25" s="1" t="s">
        <v>490</v>
      </c>
    </row>
    <row r="26" spans="1:13" x14ac:dyDescent="0.2">
      <c r="A26" s="32" t="s">
        <v>134</v>
      </c>
      <c r="B26" s="32" t="s">
        <v>142</v>
      </c>
      <c r="C26" s="5">
        <v>2010</v>
      </c>
      <c r="D26" s="5">
        <v>39.799999999999997</v>
      </c>
      <c r="E26" s="29">
        <f>Tabelle234[[#This Row],[Anzahl Haushalte (Mio.)]]*Tabelle234[[#This Row],[Ausstattungsraten]]*Tabelle234[[#This Row],[Stromverbrauch je Einheit (kWh)]]/10^3</f>
        <v>6.87744</v>
      </c>
      <c r="F26" s="29">
        <f>Tabelle234[[#This Row],[Anzahl Haushalte (Mio.)]]*Tabelle234[[#This Row],[Ausstattungsraten]]*Tabelle234[[#This Row],[Leistung je Einheit (kW)]]*10^3</f>
        <v>16556.8</v>
      </c>
      <c r="G26" s="10">
        <f>Tabelle234[[#This Row],[Stromverbrauch gesamt (TWh)]]*10^6/Tabelle234[[#This Row],[Leistung gesamt (MW)]]</f>
        <v>415.38461538461542</v>
      </c>
      <c r="H26" s="6">
        <v>0.64</v>
      </c>
      <c r="I26" s="43">
        <v>270</v>
      </c>
      <c r="J26" s="3">
        <v>0.65</v>
      </c>
      <c r="K26" s="18">
        <v>791</v>
      </c>
      <c r="L26" s="18">
        <v>15863</v>
      </c>
      <c r="M26" s="1" t="s">
        <v>490</v>
      </c>
    </row>
    <row r="27" spans="1:13" x14ac:dyDescent="0.2">
      <c r="A27" s="32" t="s">
        <v>134</v>
      </c>
      <c r="B27" s="32" t="s">
        <v>142</v>
      </c>
      <c r="C27" s="1">
        <v>2020</v>
      </c>
      <c r="D27" s="1">
        <v>40.659999999999997</v>
      </c>
      <c r="E27" s="29">
        <f>Tabelle234[[#This Row],[Leistung je Einheit (kW)]]*Tabelle234[[#This Row],[Anzahl Haushalte (Mio.)]]*Tabelle234[[#This Row],[Vollbenutzungsstunden]]*Tabelle234[[#This Row],[Ausstattungsraten]]/10^3</f>
        <v>5.6368834615384609</v>
      </c>
      <c r="F27" s="29">
        <f>Tabelle234[[#This Row],[Anzahl Haushalte (Mio.)]]*Tabelle234[[#This Row],[Ausstattungsraten]]*Tabelle234[[#This Row],[Leistung je Einheit (kW)]]*10^3</f>
        <v>13570.275</v>
      </c>
      <c r="G27" s="10">
        <f>G26</f>
        <v>415.38461538461542</v>
      </c>
      <c r="H27" s="8">
        <f>$H$26+(Tabelle234[[#This Row],[Jahr]]-$C$26)*($H$29-$H$26)/($C$29-$C$26)</f>
        <v>0.66749999999999998</v>
      </c>
      <c r="I27" s="44"/>
      <c r="J27" s="45">
        <v>0.5</v>
      </c>
      <c r="K27" s="18">
        <f>Tabelle234[[#This Row],[Leistung gesamt (MW)]]/F26*K26</f>
        <v>648.31897015123695</v>
      </c>
      <c r="L27" s="18">
        <f>Tabelle234[[#This Row],[Leistung gesamt (MW)]]/F26*L26</f>
        <v>13001.623038570255</v>
      </c>
      <c r="M27" s="1" t="s">
        <v>490</v>
      </c>
    </row>
    <row r="28" spans="1:13" x14ac:dyDescent="0.2">
      <c r="A28" s="32" t="s">
        <v>134</v>
      </c>
      <c r="B28" s="32" t="s">
        <v>142</v>
      </c>
      <c r="C28" s="5">
        <v>2030</v>
      </c>
      <c r="D28" s="5">
        <v>41.2</v>
      </c>
      <c r="E28" s="29">
        <f>Tabelle234[[#This Row],[Leistung je Einheit (kW)]]*Tabelle234[[#This Row],[Anzahl Haushalte (Mio.)]]*Tabelle234[[#This Row],[Vollbenutzungsstunden]]*Tabelle234[[#This Row],[Ausstattungsraten]]/10^3</f>
        <v>4.7576492307692311</v>
      </c>
      <c r="F28" s="29">
        <f>Tabelle234[[#This Row],[Anzahl Haushalte (Mio.)]]*Tabelle234[[#This Row],[Ausstattungsraten]]*Tabelle234[[#This Row],[Leistung je Einheit (kW)]]*10^3</f>
        <v>11453.600000000002</v>
      </c>
      <c r="G28" s="10">
        <f>G27</f>
        <v>415.38461538461542</v>
      </c>
      <c r="H28" s="8">
        <f>$H$26+(Tabelle234[[#This Row],[Jahr]]-$C$26)*($H$29-$H$26)/($C$29-$C$26)</f>
        <v>0.69500000000000006</v>
      </c>
      <c r="I28" s="44"/>
      <c r="J28" s="45">
        <v>0.4</v>
      </c>
      <c r="K28" s="18">
        <f>Tabelle234[[#This Row],[Leistung gesamt (MW)]]/F27*K27</f>
        <v>547.1949652106689</v>
      </c>
      <c r="L28" s="18">
        <f>Tabelle234[[#This Row],[Leistung gesamt (MW)]]/F27*L27</f>
        <v>10973.645680324702</v>
      </c>
      <c r="M28" s="1" t="s">
        <v>490</v>
      </c>
    </row>
    <row r="29" spans="1:13" x14ac:dyDescent="0.2">
      <c r="A29" s="32" t="s">
        <v>134</v>
      </c>
      <c r="B29" s="32" t="s">
        <v>142</v>
      </c>
      <c r="C29" s="1">
        <v>2050</v>
      </c>
      <c r="D29" s="1">
        <v>39.68</v>
      </c>
      <c r="E29" s="29">
        <f>Tabelle234[[#This Row],[Leistung je Einheit (kW)]]*Tabelle234[[#This Row],[Anzahl Haushalte (Mio.)]]*Tabelle234[[#This Row],[Vollbenutzungsstunden]]*Tabelle234[[#This Row],[Ausstattungsraten]]/10^3</f>
        <v>3.7085538461538463</v>
      </c>
      <c r="F29" s="29">
        <f>Tabelle234[[#This Row],[Anzahl Haushalte (Mio.)]]*Tabelle234[[#This Row],[Ausstattungsraten]]*Tabelle234[[#This Row],[Leistung je Einheit (kW)]]*10^3</f>
        <v>8927.9999999999982</v>
      </c>
      <c r="G29" s="10">
        <f>G28</f>
        <v>415.38461538461542</v>
      </c>
      <c r="H29" s="6">
        <v>0.75</v>
      </c>
      <c r="I29" s="43"/>
      <c r="J29" s="3">
        <v>0.3</v>
      </c>
      <c r="K29" s="18">
        <f>Tabelle234[[#This Row],[Leistung gesamt (MW)]]/F28*K28</f>
        <v>426.53459605720906</v>
      </c>
      <c r="L29" s="18">
        <f>Tabelle234[[#This Row],[Leistung gesamt (MW)]]/F28*L28</f>
        <v>8553.8790104367963</v>
      </c>
      <c r="M29" s="1" t="s">
        <v>490</v>
      </c>
    </row>
    <row r="30" spans="1:13" x14ac:dyDescent="0.2">
      <c r="A30" s="32" t="s">
        <v>138</v>
      </c>
      <c r="B30" s="32" t="s">
        <v>142</v>
      </c>
      <c r="C30" s="5">
        <v>2010</v>
      </c>
      <c r="D30" s="5">
        <v>39.799999999999997</v>
      </c>
      <c r="E30" s="29"/>
      <c r="F30" s="29"/>
      <c r="G30" s="10"/>
      <c r="H30" s="6">
        <v>0.11</v>
      </c>
      <c r="I30" s="43"/>
      <c r="J30" s="3"/>
      <c r="K30" s="18">
        <v>250</v>
      </c>
      <c r="L30" s="18">
        <v>8507</v>
      </c>
      <c r="M30" s="1" t="s">
        <v>490</v>
      </c>
    </row>
    <row r="31" spans="1:13" x14ac:dyDescent="0.2">
      <c r="A31" s="32" t="s">
        <v>138</v>
      </c>
      <c r="B31" s="32" t="s">
        <v>142</v>
      </c>
      <c r="C31" s="1">
        <v>2020</v>
      </c>
      <c r="D31" s="1">
        <v>40.659999999999997</v>
      </c>
      <c r="E31" s="29"/>
      <c r="F31" s="29"/>
      <c r="G31" s="10"/>
      <c r="H31" s="8">
        <f>$H$30+(Tabelle234[[#This Row],[Jahr]]-$C$30)*($H$33-$H$30)/($C$33-$C$30)</f>
        <v>9.5000000000000001E-2</v>
      </c>
      <c r="I31" s="44"/>
      <c r="J31" s="45"/>
      <c r="K31" s="18"/>
      <c r="L31" s="18"/>
      <c r="M31" s="1" t="s">
        <v>490</v>
      </c>
    </row>
    <row r="32" spans="1:13" x14ac:dyDescent="0.2">
      <c r="A32" s="32" t="s">
        <v>138</v>
      </c>
      <c r="B32" s="32" t="s">
        <v>142</v>
      </c>
      <c r="C32" s="5">
        <v>2030</v>
      </c>
      <c r="D32" s="5">
        <v>41.2</v>
      </c>
      <c r="E32" s="29"/>
      <c r="F32" s="29"/>
      <c r="G32" s="10"/>
      <c r="H32" s="8">
        <f>$H$30+(Tabelle234[[#This Row],[Jahr]]-$C$30)*($H$33-$H$30)/($C$33-$C$30)</f>
        <v>0.08</v>
      </c>
      <c r="I32" s="44"/>
      <c r="J32" s="45"/>
      <c r="K32" s="18"/>
      <c r="L32" s="18"/>
      <c r="M32" s="1" t="s">
        <v>490</v>
      </c>
    </row>
    <row r="33" spans="1:13" x14ac:dyDescent="0.2">
      <c r="A33" s="32" t="s">
        <v>138</v>
      </c>
      <c r="B33" s="32" t="s">
        <v>142</v>
      </c>
      <c r="C33" s="1">
        <v>2050</v>
      </c>
      <c r="D33" s="1">
        <v>39.68</v>
      </c>
      <c r="E33" s="29"/>
      <c r="F33" s="29"/>
      <c r="G33" s="10"/>
      <c r="H33" s="6">
        <v>0.05</v>
      </c>
      <c r="I33" s="43"/>
      <c r="J33" s="3"/>
      <c r="K33" s="18"/>
      <c r="L33" s="18"/>
      <c r="M33" s="1" t="s">
        <v>490</v>
      </c>
    </row>
    <row r="34" spans="1:13" x14ac:dyDescent="0.2">
      <c r="A34" s="32" t="s">
        <v>141</v>
      </c>
      <c r="B34" s="32" t="s">
        <v>142</v>
      </c>
      <c r="C34" s="5">
        <v>2010</v>
      </c>
      <c r="D34" s="5">
        <v>39.799999999999997</v>
      </c>
      <c r="E34" s="29"/>
      <c r="F34" s="29"/>
      <c r="G34" s="10"/>
      <c r="H34" s="6">
        <v>0.04</v>
      </c>
      <c r="I34" s="43"/>
      <c r="J34" s="3"/>
      <c r="K34" s="18">
        <v>1654</v>
      </c>
      <c r="L34" s="18">
        <v>20637</v>
      </c>
      <c r="M34" s="1" t="s">
        <v>490</v>
      </c>
    </row>
    <row r="35" spans="1:13" x14ac:dyDescent="0.2">
      <c r="A35" s="32" t="s">
        <v>141</v>
      </c>
      <c r="B35" s="32" t="s">
        <v>142</v>
      </c>
      <c r="C35" s="1">
        <v>2020</v>
      </c>
      <c r="D35" s="1">
        <v>40.659999999999997</v>
      </c>
      <c r="E35" s="29"/>
      <c r="F35" s="29"/>
      <c r="G35" s="10"/>
      <c r="H35" s="8">
        <f>$H$34+(Tabelle234[[#This Row],[Jahr]]-$C$34)*($H$37-$H$34)/($C$37-$C$34)</f>
        <v>3.2500000000000001E-2</v>
      </c>
      <c r="I35" s="44"/>
      <c r="J35" s="45"/>
      <c r="K35" s="18"/>
      <c r="L35" s="18"/>
      <c r="M35" s="1" t="s">
        <v>490</v>
      </c>
    </row>
    <row r="36" spans="1:13" x14ac:dyDescent="0.2">
      <c r="A36" s="32" t="s">
        <v>141</v>
      </c>
      <c r="B36" s="32" t="s">
        <v>142</v>
      </c>
      <c r="C36" s="5">
        <v>2030</v>
      </c>
      <c r="D36" s="5">
        <v>41.2</v>
      </c>
      <c r="E36" s="29"/>
      <c r="F36" s="29"/>
      <c r="G36" s="10"/>
      <c r="H36" s="8">
        <f>$H$34+(Tabelle234[[#This Row],[Jahr]]-$C$34)*($H$37-$H$34)/($C$37-$C$34)</f>
        <v>2.5000000000000001E-2</v>
      </c>
      <c r="I36" s="44"/>
      <c r="J36" s="45"/>
      <c r="K36" s="18"/>
      <c r="L36" s="18"/>
      <c r="M36" s="1" t="s">
        <v>490</v>
      </c>
    </row>
    <row r="37" spans="1:13" x14ac:dyDescent="0.2">
      <c r="A37" s="32" t="s">
        <v>141</v>
      </c>
      <c r="B37" s="32" t="s">
        <v>142</v>
      </c>
      <c r="C37" s="1">
        <v>2050</v>
      </c>
      <c r="D37" s="1">
        <v>39.68</v>
      </c>
      <c r="E37" s="29"/>
      <c r="F37" s="29"/>
      <c r="G37" s="10"/>
      <c r="H37" s="6">
        <v>0.01</v>
      </c>
      <c r="I37" s="43"/>
      <c r="J37" s="3"/>
      <c r="K37" s="18"/>
      <c r="L37" s="18"/>
      <c r="M37" s="1" t="s">
        <v>490</v>
      </c>
    </row>
    <row r="38" spans="1:13" x14ac:dyDescent="0.2">
      <c r="A38" s="32"/>
      <c r="B38" s="32" t="s">
        <v>130</v>
      </c>
      <c r="C38" s="5">
        <v>2010</v>
      </c>
      <c r="D38" s="5"/>
      <c r="E38" s="5">
        <v>136.16999999999999</v>
      </c>
      <c r="F38" s="29"/>
      <c r="G38" s="10"/>
      <c r="H38" s="6"/>
      <c r="I38" s="43"/>
      <c r="J38" s="3"/>
      <c r="K38" s="18"/>
      <c r="L38" s="18"/>
      <c r="M38" s="1">
        <v>192</v>
      </c>
    </row>
    <row r="39" spans="1:13" x14ac:dyDescent="0.2">
      <c r="A39" s="32"/>
      <c r="B39" s="32" t="s">
        <v>130</v>
      </c>
      <c r="C39" s="1">
        <v>2020</v>
      </c>
      <c r="E39" s="1">
        <v>146.46</v>
      </c>
      <c r="F39" s="29"/>
      <c r="G39" s="10"/>
      <c r="H39" s="8"/>
      <c r="I39" s="44"/>
      <c r="J39" s="45"/>
      <c r="K39" s="18"/>
      <c r="L39" s="18"/>
      <c r="M39" s="1">
        <v>192</v>
      </c>
    </row>
    <row r="40" spans="1:13" x14ac:dyDescent="0.2">
      <c r="A40" s="32"/>
      <c r="B40" s="32" t="s">
        <v>130</v>
      </c>
      <c r="C40" s="5">
        <v>2030</v>
      </c>
      <c r="D40" s="5"/>
      <c r="E40" s="5">
        <v>150.86000000000001</v>
      </c>
      <c r="F40" s="29"/>
      <c r="G40" s="10"/>
      <c r="H40" s="8"/>
      <c r="I40" s="44"/>
      <c r="J40" s="45"/>
      <c r="K40" s="18"/>
      <c r="L40" s="18"/>
      <c r="M40" s="1">
        <v>192</v>
      </c>
    </row>
    <row r="41" spans="1:13" x14ac:dyDescent="0.2">
      <c r="A41" s="32"/>
      <c r="B41" s="32" t="s">
        <v>130</v>
      </c>
      <c r="C41" s="1">
        <v>2050</v>
      </c>
      <c r="E41" s="1">
        <v>131.83000000000001</v>
      </c>
      <c r="F41" s="29"/>
      <c r="G41" s="10"/>
      <c r="H41" s="6"/>
      <c r="I41" s="43"/>
      <c r="J41" s="3"/>
      <c r="K41" s="18"/>
      <c r="L41" s="18"/>
      <c r="M41" s="1">
        <v>192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Dropdown!$C$2:$C$4</xm:f>
          </x14:formula1>
          <xm:sqref>B2:B41</xm:sqref>
        </x14:dataValidation>
        <x14:dataValidation type="list" allowBlank="1" showInputMessage="1" showErrorMessage="1" xr:uid="{00000000-0002-0000-0C00-000000000000}">
          <x14:formula1>
            <xm:f>Dropdown!$A$2:$A$91</xm:f>
          </x14:formula1>
          <xm:sqref>A2:A41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C1D1-6C0C-4ACA-A874-1A416FF6E8B6}">
  <sheetPr codeName="Tabelle28"/>
  <dimension ref="A1:CO13"/>
  <sheetViews>
    <sheetView workbookViewId="0">
      <pane xSplit="4" ySplit="1" topLeftCell="CJ2" activePane="bottomRight" state="frozen"/>
      <selection pane="topRight" activeCell="E1" sqref="E1"/>
      <selection pane="bottomLeft" activeCell="A2" sqref="A2"/>
      <selection pane="bottomRight" activeCell="CO8" sqref="CO8"/>
    </sheetView>
  </sheetViews>
  <sheetFormatPr baseColWidth="10" defaultRowHeight="15" x14ac:dyDescent="0.25"/>
  <cols>
    <col min="1" max="1" width="26.5703125" bestFit="1" customWidth="1"/>
    <col min="2" max="2" width="21.28515625" bestFit="1" customWidth="1"/>
    <col min="3" max="3" width="21.28515625" customWidth="1"/>
    <col min="4" max="4" width="7.28515625" bestFit="1" customWidth="1"/>
    <col min="5" max="5" width="19.28515625" bestFit="1" customWidth="1"/>
    <col min="6" max="6" width="14.140625" bestFit="1" customWidth="1"/>
    <col min="7" max="16" width="14.140625" customWidth="1"/>
    <col min="17" max="17" width="29.28515625" bestFit="1" customWidth="1"/>
    <col min="18" max="18" width="24.42578125" bestFit="1" customWidth="1"/>
    <col min="19" max="19" width="32.28515625" bestFit="1" customWidth="1"/>
    <col min="20" max="20" width="28.85546875" bestFit="1" customWidth="1"/>
    <col min="21" max="21" width="27" bestFit="1" customWidth="1"/>
    <col min="22" max="22" width="29.140625" bestFit="1" customWidth="1"/>
    <col min="23" max="23" width="27.28515625" bestFit="1" customWidth="1"/>
    <col min="24" max="24" width="27.42578125" bestFit="1" customWidth="1"/>
    <col min="25" max="25" width="24.7109375" bestFit="1" customWidth="1"/>
    <col min="26" max="26" width="32.5703125" bestFit="1" customWidth="1"/>
    <col min="27" max="27" width="25.28515625" bestFit="1" customWidth="1"/>
    <col min="28" max="28" width="21.5703125" bestFit="1" customWidth="1"/>
    <col min="29" max="29" width="20.140625" bestFit="1" customWidth="1"/>
    <col min="30" max="30" width="24.42578125" bestFit="1" customWidth="1"/>
    <col min="31" max="31" width="43.42578125" bestFit="1" customWidth="1"/>
    <col min="32" max="32" width="43.42578125" customWidth="1"/>
    <col min="33" max="33" width="25.28515625" bestFit="1" customWidth="1"/>
    <col min="34" max="34" width="31.5703125" bestFit="1" customWidth="1"/>
    <col min="35" max="35" width="22.42578125" bestFit="1" customWidth="1"/>
    <col min="36" max="36" width="21" bestFit="1" customWidth="1"/>
    <col min="37" max="37" width="25.42578125" bestFit="1" customWidth="1"/>
    <col min="38" max="38" width="22.7109375" bestFit="1" customWidth="1"/>
    <col min="39" max="39" width="25.5703125" bestFit="1" customWidth="1"/>
    <col min="40" max="40" width="26.28515625" bestFit="1" customWidth="1"/>
    <col min="41" max="41" width="21.5703125" bestFit="1" customWidth="1"/>
    <col min="42" max="42" width="25.42578125" bestFit="1" customWidth="1"/>
    <col min="43" max="43" width="26.5703125" bestFit="1" customWidth="1"/>
    <col min="44" max="44" width="21.85546875" bestFit="1" customWidth="1"/>
    <col min="45" max="46" width="26.42578125" bestFit="1" customWidth="1"/>
    <col min="47" max="47" width="21.7109375" bestFit="1" customWidth="1"/>
    <col min="48" max="48" width="24.85546875" bestFit="1" customWidth="1"/>
    <col min="49" max="49" width="19.85546875" bestFit="1" customWidth="1"/>
    <col min="50" max="50" width="33.140625" bestFit="1" customWidth="1"/>
    <col min="51" max="51" width="30.85546875" bestFit="1" customWidth="1"/>
    <col min="52" max="52" width="37.42578125" bestFit="1" customWidth="1"/>
    <col min="53" max="53" width="38" bestFit="1" customWidth="1"/>
    <col min="54" max="54" width="32.7109375" bestFit="1" customWidth="1"/>
    <col min="55" max="55" width="30.140625" bestFit="1" customWidth="1"/>
    <col min="56" max="56" width="30.7109375" bestFit="1" customWidth="1"/>
    <col min="57" max="57" width="29.5703125" bestFit="1" customWidth="1"/>
    <col min="58" max="58" width="30.28515625" bestFit="1" customWidth="1"/>
    <col min="59" max="59" width="30.28515625" customWidth="1"/>
    <col min="60" max="60" width="25.5703125" bestFit="1" customWidth="1"/>
    <col min="61" max="61" width="47.5703125" bestFit="1" customWidth="1"/>
    <col min="62" max="62" width="47.5703125" customWidth="1"/>
    <col min="63" max="63" width="16" bestFit="1" customWidth="1"/>
    <col min="64" max="64" width="16" customWidth="1"/>
    <col min="65" max="65" width="29.5703125" bestFit="1" customWidth="1"/>
    <col min="66" max="66" width="24.42578125" bestFit="1" customWidth="1"/>
    <col min="67" max="72" width="24.42578125" customWidth="1"/>
    <col min="73" max="73" width="26.42578125" bestFit="1" customWidth="1"/>
    <col min="74" max="74" width="26.7109375" bestFit="1" customWidth="1"/>
    <col min="75" max="75" width="27.7109375" bestFit="1" customWidth="1"/>
    <col min="76" max="76" width="30.85546875" bestFit="1" customWidth="1"/>
    <col min="77" max="77" width="35.5703125" bestFit="1" customWidth="1"/>
    <col min="78" max="78" width="37.5703125" bestFit="1" customWidth="1"/>
    <col min="79" max="79" width="28.7109375" bestFit="1" customWidth="1"/>
    <col min="80" max="80" width="31.5703125" bestFit="1" customWidth="1"/>
    <col min="81" max="81" width="30.140625" bestFit="1" customWidth="1"/>
    <col min="82" max="82" width="24.5703125" bestFit="1" customWidth="1"/>
    <col min="83" max="83" width="29.140625" bestFit="1" customWidth="1"/>
    <col min="84" max="84" width="32.140625" bestFit="1" customWidth="1"/>
    <col min="85" max="85" width="29" bestFit="1" customWidth="1"/>
    <col min="86" max="86" width="32.7109375" bestFit="1" customWidth="1"/>
    <col min="87" max="87" width="18.7109375" bestFit="1" customWidth="1"/>
    <col min="88" max="89" width="23.7109375" bestFit="1" customWidth="1"/>
    <col min="90" max="90" width="40" bestFit="1" customWidth="1"/>
    <col min="91" max="91" width="40" customWidth="1"/>
    <col min="92" max="92" width="26.28515625" bestFit="1" customWidth="1"/>
    <col min="93" max="93" width="20.7109375" bestFit="1" customWidth="1"/>
  </cols>
  <sheetData>
    <row r="1" spans="1:93" s="1" customFormat="1" ht="12.75" x14ac:dyDescent="0.2">
      <c r="A1" s="2" t="s">
        <v>0</v>
      </c>
      <c r="B1" s="2" t="s">
        <v>131</v>
      </c>
      <c r="C1" s="2" t="s">
        <v>823</v>
      </c>
      <c r="D1" s="2" t="s">
        <v>8</v>
      </c>
      <c r="E1" s="2" t="s">
        <v>159</v>
      </c>
      <c r="F1" s="2" t="s">
        <v>160</v>
      </c>
      <c r="G1" s="2" t="s">
        <v>313</v>
      </c>
      <c r="H1" s="2" t="s">
        <v>853</v>
      </c>
      <c r="I1" s="2" t="s">
        <v>824</v>
      </c>
      <c r="J1" s="2" t="s">
        <v>855</v>
      </c>
      <c r="K1" s="2" t="s">
        <v>856</v>
      </c>
      <c r="L1" s="2" t="s">
        <v>854</v>
      </c>
      <c r="M1" s="2" t="s">
        <v>838</v>
      </c>
      <c r="N1" s="2" t="s">
        <v>839</v>
      </c>
      <c r="O1" s="2" t="s">
        <v>840</v>
      </c>
      <c r="P1" s="2" t="s">
        <v>771</v>
      </c>
      <c r="Q1" s="2" t="s">
        <v>857</v>
      </c>
      <c r="R1" s="2" t="s">
        <v>49</v>
      </c>
      <c r="S1" s="2" t="s">
        <v>149</v>
      </c>
      <c r="T1" s="2" t="s">
        <v>50</v>
      </c>
      <c r="U1" s="2" t="s">
        <v>289</v>
      </c>
      <c r="V1" s="2" t="s">
        <v>290</v>
      </c>
      <c r="W1" s="2" t="s">
        <v>291</v>
      </c>
      <c r="X1" s="2" t="s">
        <v>846</v>
      </c>
      <c r="Y1" s="2" t="s">
        <v>154</v>
      </c>
      <c r="Z1" s="2" t="s">
        <v>156</v>
      </c>
      <c r="AA1" s="2" t="s">
        <v>155</v>
      </c>
      <c r="AB1" s="2" t="s">
        <v>56</v>
      </c>
      <c r="AC1" s="2" t="s">
        <v>55</v>
      </c>
      <c r="AD1" s="2" t="s">
        <v>87</v>
      </c>
      <c r="AE1" s="2" t="s">
        <v>330</v>
      </c>
      <c r="AF1" s="2" t="s">
        <v>792</v>
      </c>
      <c r="AG1" s="2" t="s">
        <v>235</v>
      </c>
      <c r="AH1" s="2" t="s">
        <v>116</v>
      </c>
      <c r="AI1" s="2" t="s">
        <v>57</v>
      </c>
      <c r="AJ1" s="2" t="s">
        <v>123</v>
      </c>
      <c r="AK1" s="2" t="s">
        <v>58</v>
      </c>
      <c r="AL1" s="2" t="s">
        <v>9</v>
      </c>
      <c r="AM1" s="2" t="s">
        <v>423</v>
      </c>
      <c r="AN1" s="2" t="s">
        <v>225</v>
      </c>
      <c r="AO1" s="2" t="s">
        <v>157</v>
      </c>
      <c r="AP1" s="2" t="s">
        <v>227</v>
      </c>
      <c r="AQ1" s="2" t="s">
        <v>228</v>
      </c>
      <c r="AR1" s="2" t="s">
        <v>158</v>
      </c>
      <c r="AS1" s="2" t="s">
        <v>214</v>
      </c>
      <c r="AT1" s="2" t="s">
        <v>215</v>
      </c>
      <c r="AU1" s="2" t="s">
        <v>3</v>
      </c>
      <c r="AV1" s="2" t="s">
        <v>10</v>
      </c>
      <c r="AW1" s="2" t="s">
        <v>16</v>
      </c>
      <c r="AX1" s="2" t="s">
        <v>4</v>
      </c>
      <c r="AY1" s="2" t="s">
        <v>99</v>
      </c>
      <c r="AZ1" s="2" t="s">
        <v>183</v>
      </c>
      <c r="BA1" s="2" t="s">
        <v>182</v>
      </c>
      <c r="BB1" s="2" t="s">
        <v>12</v>
      </c>
      <c r="BC1" s="2" t="s">
        <v>231</v>
      </c>
      <c r="BD1" s="2" t="s">
        <v>232</v>
      </c>
      <c r="BE1" s="2" t="s">
        <v>230</v>
      </c>
      <c r="BF1" s="2" t="s">
        <v>332</v>
      </c>
      <c r="BG1" s="2" t="s">
        <v>451</v>
      </c>
      <c r="BH1" s="2" t="s">
        <v>333</v>
      </c>
      <c r="BI1" s="2" t="s">
        <v>147</v>
      </c>
      <c r="BJ1" s="2" t="s">
        <v>848</v>
      </c>
      <c r="BK1" s="2" t="s">
        <v>22</v>
      </c>
      <c r="BL1" s="2" t="s">
        <v>844</v>
      </c>
      <c r="BM1" s="2" t="s">
        <v>162</v>
      </c>
      <c r="BN1" s="2" t="s">
        <v>163</v>
      </c>
      <c r="BO1" s="2" t="s">
        <v>825</v>
      </c>
      <c r="BP1" s="2" t="s">
        <v>841</v>
      </c>
      <c r="BQ1" s="2" t="s">
        <v>842</v>
      </c>
      <c r="BR1" s="2" t="s">
        <v>807</v>
      </c>
      <c r="BS1" s="2" t="s">
        <v>858</v>
      </c>
      <c r="BT1" s="2" t="s">
        <v>826</v>
      </c>
      <c r="BU1" s="2" t="s">
        <v>1</v>
      </c>
      <c r="BV1" s="2" t="s">
        <v>2</v>
      </c>
      <c r="BW1" s="2" t="s">
        <v>59</v>
      </c>
      <c r="BX1" s="2" t="s">
        <v>1089</v>
      </c>
      <c r="BY1" s="2" t="s">
        <v>236</v>
      </c>
      <c r="BZ1" s="2" t="s">
        <v>117</v>
      </c>
      <c r="CA1" s="2" t="s">
        <v>60</v>
      </c>
      <c r="CB1" s="2" t="s">
        <v>61</v>
      </c>
      <c r="CC1" s="2" t="s">
        <v>98</v>
      </c>
      <c r="CD1" s="2" t="s">
        <v>5</v>
      </c>
      <c r="CE1" s="2" t="s">
        <v>6</v>
      </c>
      <c r="CF1" s="2" t="s">
        <v>17</v>
      </c>
      <c r="CG1" s="2" t="s">
        <v>18</v>
      </c>
      <c r="CH1" s="2" t="s">
        <v>7</v>
      </c>
      <c r="CI1" s="2" t="s">
        <v>19</v>
      </c>
      <c r="CJ1" s="2" t="s">
        <v>20</v>
      </c>
      <c r="CK1" s="2" t="s">
        <v>21</v>
      </c>
      <c r="CL1" s="2" t="s">
        <v>148</v>
      </c>
      <c r="CM1" s="2" t="s">
        <v>850</v>
      </c>
      <c r="CN1" s="2" t="s">
        <v>23</v>
      </c>
      <c r="CO1" s="2" t="s">
        <v>51</v>
      </c>
    </row>
    <row r="2" spans="1:93" s="1" customFormat="1" ht="12.75" x14ac:dyDescent="0.2">
      <c r="A2" s="1" t="s">
        <v>141</v>
      </c>
      <c r="B2" s="1" t="s">
        <v>142</v>
      </c>
      <c r="D2" s="32">
        <v>1996</v>
      </c>
      <c r="E2" s="32">
        <v>1</v>
      </c>
      <c r="F2" s="32">
        <v>0</v>
      </c>
      <c r="G2" s="32">
        <v>0</v>
      </c>
      <c r="H2" s="32"/>
      <c r="I2" s="32"/>
      <c r="J2" s="32">
        <v>60</v>
      </c>
      <c r="K2" s="32">
        <v>130</v>
      </c>
      <c r="L2" s="32">
        <v>2.5920000000000001</v>
      </c>
      <c r="M2" s="32"/>
      <c r="N2" s="32"/>
      <c r="O2" s="32"/>
      <c r="P2" s="32">
        <v>26.68</v>
      </c>
      <c r="Q2" s="32"/>
      <c r="R2" s="18"/>
      <c r="S2" s="18"/>
      <c r="T2" s="18"/>
      <c r="U2" s="33"/>
      <c r="V2" s="33"/>
      <c r="W2" s="33"/>
      <c r="X2" s="33"/>
      <c r="Y2" s="33"/>
      <c r="Z2" s="33"/>
      <c r="AA2" s="33"/>
      <c r="AB2" s="33"/>
      <c r="AC2" s="63"/>
      <c r="AD2" s="35"/>
      <c r="AE2" s="35"/>
      <c r="AF2" s="73"/>
      <c r="AG2" s="35"/>
      <c r="AH2" s="34"/>
      <c r="AI2" s="33">
        <v>39910</v>
      </c>
      <c r="AJ2" s="35"/>
      <c r="AK2" s="33">
        <v>39910</v>
      </c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18"/>
      <c r="BA2" s="18"/>
      <c r="BB2" s="33"/>
      <c r="BC2" s="36"/>
      <c r="BD2" s="36"/>
      <c r="BE2" s="36"/>
      <c r="BF2" s="36"/>
      <c r="BG2" s="36"/>
      <c r="BH2" s="32"/>
      <c r="BI2" s="32"/>
      <c r="BJ2" s="32"/>
      <c r="BM2" s="32"/>
      <c r="BN2" s="32"/>
      <c r="BO2" s="32"/>
      <c r="BP2" s="32">
        <v>49</v>
      </c>
      <c r="BQ2" s="32"/>
      <c r="BR2" s="32">
        <v>49</v>
      </c>
      <c r="BS2" s="32"/>
      <c r="BT2" s="32"/>
      <c r="BU2" s="37"/>
      <c r="BV2" s="32"/>
      <c r="BW2" s="32"/>
      <c r="BX2" s="32"/>
      <c r="BY2" s="37"/>
      <c r="BZ2" s="37"/>
      <c r="CA2" s="32">
        <v>49</v>
      </c>
      <c r="CB2" s="37">
        <v>49</v>
      </c>
      <c r="CC2" s="37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</row>
    <row r="3" spans="1:93" x14ac:dyDescent="0.25">
      <c r="A3" s="75" t="s">
        <v>862</v>
      </c>
      <c r="B3" s="1" t="s">
        <v>816</v>
      </c>
      <c r="C3" s="1"/>
      <c r="D3" s="32">
        <v>1996</v>
      </c>
      <c r="E3" s="75">
        <v>1</v>
      </c>
      <c r="F3" s="75">
        <v>0</v>
      </c>
      <c r="G3" s="1">
        <v>0</v>
      </c>
      <c r="H3" s="1"/>
      <c r="I3" s="1"/>
      <c r="J3" s="1"/>
      <c r="K3" s="1"/>
      <c r="L3" s="1">
        <v>15000</v>
      </c>
      <c r="M3" s="1"/>
      <c r="N3" s="1"/>
      <c r="O3" s="1"/>
      <c r="P3" s="1">
        <v>28</v>
      </c>
      <c r="Q3" s="64">
        <v>7</v>
      </c>
      <c r="R3" s="76">
        <v>70</v>
      </c>
      <c r="S3" s="76"/>
      <c r="T3" s="76">
        <v>770</v>
      </c>
      <c r="U3" s="18"/>
      <c r="V3" s="76"/>
      <c r="W3" s="18"/>
      <c r="X3" s="76"/>
      <c r="Y3" s="76"/>
      <c r="Z3" s="76">
        <v>4950</v>
      </c>
      <c r="AA3" s="76"/>
      <c r="AB3" s="76"/>
      <c r="AC3" s="63"/>
      <c r="AD3" s="77"/>
      <c r="AE3" s="78"/>
      <c r="AF3" s="48"/>
      <c r="AG3" s="77"/>
      <c r="AH3" s="79"/>
      <c r="AI3" s="76"/>
      <c r="AJ3" s="78"/>
      <c r="AK3" s="76"/>
      <c r="AL3" s="80"/>
      <c r="AM3" s="80"/>
      <c r="AN3" s="80"/>
      <c r="AO3" s="75"/>
      <c r="AP3" s="75"/>
      <c r="AQ3" s="75"/>
      <c r="AR3" s="75"/>
      <c r="AS3" s="75"/>
      <c r="AT3" s="75"/>
      <c r="AU3" s="75"/>
      <c r="AV3" s="75"/>
      <c r="AW3" s="75"/>
      <c r="AX3" s="80"/>
      <c r="AY3" s="75"/>
      <c r="AZ3" s="76"/>
      <c r="BA3" s="76"/>
      <c r="BB3" s="76"/>
      <c r="BC3" s="81"/>
      <c r="BD3" s="81"/>
      <c r="BE3" s="81"/>
      <c r="BF3" s="81"/>
      <c r="BG3" s="81"/>
      <c r="BH3" s="80"/>
      <c r="BI3" s="80"/>
      <c r="BJ3" s="1"/>
      <c r="BK3" s="75"/>
      <c r="BL3" s="1"/>
      <c r="BM3" s="75"/>
      <c r="BN3" s="75"/>
      <c r="BO3" s="1"/>
      <c r="BP3" s="32">
        <v>62</v>
      </c>
      <c r="BQ3" s="32"/>
      <c r="BR3" s="32">
        <v>62</v>
      </c>
      <c r="BS3" s="32">
        <v>64</v>
      </c>
      <c r="BT3" s="1"/>
      <c r="BU3" s="82">
        <v>68</v>
      </c>
      <c r="BV3" s="75">
        <v>69</v>
      </c>
      <c r="BW3" s="82"/>
      <c r="BX3" s="82"/>
      <c r="BY3" s="82"/>
      <c r="BZ3" s="82"/>
      <c r="CA3" s="75"/>
      <c r="CB3" s="82"/>
      <c r="CC3" s="82"/>
      <c r="CD3" s="75"/>
      <c r="CE3" s="1"/>
      <c r="CF3" s="75"/>
      <c r="CG3" s="1"/>
      <c r="CH3" s="75"/>
      <c r="CI3" s="75"/>
      <c r="CJ3" s="75"/>
      <c r="CK3" s="75"/>
      <c r="CL3" s="75"/>
      <c r="CM3" s="1"/>
      <c r="CN3" s="75"/>
      <c r="CO3" s="75"/>
    </row>
    <row r="4" spans="1:93" x14ac:dyDescent="0.25">
      <c r="A4" s="75" t="s">
        <v>211</v>
      </c>
      <c r="B4" s="75" t="s">
        <v>129</v>
      </c>
      <c r="C4" s="1"/>
      <c r="D4" s="75">
        <v>1997</v>
      </c>
      <c r="E4" s="75">
        <v>1</v>
      </c>
      <c r="F4" s="75">
        <v>0</v>
      </c>
      <c r="G4" s="1">
        <v>0</v>
      </c>
      <c r="H4" s="1"/>
      <c r="I4" s="1"/>
      <c r="J4" s="1"/>
      <c r="K4" s="1"/>
      <c r="L4" s="1"/>
      <c r="M4" s="1"/>
      <c r="N4" s="1"/>
      <c r="O4" s="1"/>
      <c r="P4" s="64">
        <v>43.216999999999999</v>
      </c>
      <c r="R4" s="76">
        <v>0</v>
      </c>
      <c r="S4" s="76"/>
      <c r="T4" s="76">
        <f>6000+4000</f>
        <v>10000</v>
      </c>
      <c r="U4" s="18"/>
      <c r="V4" s="76"/>
      <c r="W4" s="18"/>
      <c r="X4" s="76"/>
      <c r="Y4" s="76">
        <v>0</v>
      </c>
      <c r="Z4" s="76"/>
      <c r="AA4" s="76">
        <f>10000+16000</f>
        <v>26000</v>
      </c>
      <c r="AB4" s="76"/>
      <c r="AC4" s="63"/>
      <c r="AD4" s="77"/>
      <c r="AE4" s="78"/>
      <c r="AF4" s="48"/>
      <c r="AG4" s="77"/>
      <c r="AH4" s="79"/>
      <c r="AI4" s="76"/>
      <c r="AJ4" s="78"/>
      <c r="AK4" s="76"/>
      <c r="AL4" s="80"/>
      <c r="AM4" s="80">
        <v>0.5</v>
      </c>
      <c r="AN4" s="80">
        <v>2</v>
      </c>
      <c r="AO4" s="75"/>
      <c r="AP4" s="75">
        <f>10/60</f>
        <v>0.16666666666666666</v>
      </c>
      <c r="AQ4" s="75">
        <v>1</v>
      </c>
      <c r="AR4" s="75"/>
      <c r="AS4" s="75"/>
      <c r="AT4" s="75"/>
      <c r="AU4" s="75"/>
      <c r="AV4" s="75"/>
      <c r="AW4" s="75"/>
      <c r="AX4" s="80"/>
      <c r="AY4" s="75"/>
      <c r="AZ4" s="76"/>
      <c r="BA4" s="76"/>
      <c r="BB4" s="76"/>
      <c r="BC4" s="81"/>
      <c r="BD4" s="81"/>
      <c r="BE4" s="81"/>
      <c r="BF4" s="81"/>
      <c r="BG4" s="81"/>
      <c r="BH4" s="80"/>
      <c r="BI4" s="80"/>
      <c r="BJ4" s="1"/>
      <c r="BK4" s="75"/>
      <c r="BL4" s="1"/>
      <c r="BM4" s="75"/>
      <c r="BN4" s="75"/>
      <c r="BO4" s="1"/>
      <c r="BP4" s="1"/>
      <c r="BQ4" s="1"/>
      <c r="BR4" s="1">
        <v>88</v>
      </c>
      <c r="BS4" s="1"/>
      <c r="BT4" s="1"/>
      <c r="BU4" s="12" t="s">
        <v>859</v>
      </c>
      <c r="BV4" s="1" t="s">
        <v>860</v>
      </c>
      <c r="BW4" s="82"/>
      <c r="BX4" s="82"/>
      <c r="BY4" s="82"/>
      <c r="BZ4" s="82"/>
      <c r="CA4" s="75"/>
      <c r="CB4" s="82"/>
      <c r="CC4" s="82"/>
      <c r="CD4" s="1" t="s">
        <v>861</v>
      </c>
      <c r="CE4" s="1"/>
      <c r="CF4" s="75"/>
      <c r="CG4" s="1"/>
      <c r="CH4" s="75"/>
      <c r="CI4" s="75"/>
      <c r="CJ4" s="75"/>
      <c r="CK4" s="75"/>
      <c r="CL4" s="75"/>
      <c r="CM4" s="1"/>
      <c r="CN4" s="75"/>
      <c r="CO4" s="75"/>
    </row>
    <row r="5" spans="1:93" x14ac:dyDescent="0.25">
      <c r="A5" s="1" t="s">
        <v>135</v>
      </c>
      <c r="B5" s="1" t="s">
        <v>142</v>
      </c>
      <c r="C5" s="1"/>
      <c r="D5" s="1">
        <v>1999</v>
      </c>
      <c r="E5" s="1">
        <v>1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64">
        <v>66.179000000000002</v>
      </c>
      <c r="R5" s="18">
        <v>1500</v>
      </c>
      <c r="S5" s="18"/>
      <c r="T5" s="18">
        <v>4200</v>
      </c>
      <c r="U5" s="18"/>
      <c r="V5" s="18"/>
      <c r="W5" s="18"/>
      <c r="X5" s="18"/>
      <c r="Y5" s="18">
        <v>500</v>
      </c>
      <c r="Z5" s="18"/>
      <c r="AA5" s="18">
        <v>1484</v>
      </c>
      <c r="AB5" s="18"/>
      <c r="AC5" s="63"/>
      <c r="AD5" s="63"/>
      <c r="AE5" s="8"/>
      <c r="AF5" s="48"/>
      <c r="AG5" s="63"/>
      <c r="AH5" s="19"/>
      <c r="AI5" s="18"/>
      <c r="AJ5" s="8"/>
      <c r="AK5" s="18"/>
      <c r="AL5" s="64"/>
      <c r="AM5" s="64">
        <v>4</v>
      </c>
      <c r="AN5" s="64">
        <v>5</v>
      </c>
      <c r="AO5" s="1"/>
      <c r="AP5" s="64">
        <v>10</v>
      </c>
      <c r="AQ5" s="1">
        <v>16</v>
      </c>
      <c r="AR5" s="1"/>
      <c r="AS5" s="1"/>
      <c r="AT5" s="1"/>
      <c r="AU5" s="1"/>
      <c r="AV5" s="1"/>
      <c r="AW5" s="1"/>
      <c r="AX5" s="64"/>
      <c r="AY5" s="1"/>
      <c r="AZ5" s="18"/>
      <c r="BA5" s="18"/>
      <c r="BB5" s="18"/>
      <c r="BC5" s="7"/>
      <c r="BD5" s="7"/>
      <c r="BE5" s="7"/>
      <c r="BF5" s="7"/>
      <c r="BG5" s="7"/>
      <c r="BH5" s="64"/>
      <c r="BI5" s="64"/>
      <c r="BJ5" s="1"/>
      <c r="BK5" s="1"/>
      <c r="BL5" s="1"/>
      <c r="BM5" s="1"/>
      <c r="BN5" s="1"/>
      <c r="BO5" s="1"/>
      <c r="BP5" s="1"/>
      <c r="BQ5" s="1"/>
      <c r="BR5" s="1">
        <v>99</v>
      </c>
      <c r="BS5" s="1"/>
      <c r="BT5" s="1"/>
      <c r="BU5" s="12">
        <v>114</v>
      </c>
      <c r="BV5" s="1">
        <v>114</v>
      </c>
      <c r="BW5" s="12"/>
      <c r="BX5" s="12"/>
      <c r="BY5" s="12"/>
      <c r="BZ5" s="12"/>
      <c r="CA5" s="1"/>
      <c r="CB5" s="12"/>
      <c r="CC5" s="12"/>
      <c r="CD5" s="1">
        <v>114</v>
      </c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5">
      <c r="A6" s="1" t="s">
        <v>136</v>
      </c>
      <c r="B6" s="1" t="s">
        <v>142</v>
      </c>
      <c r="C6" s="1"/>
      <c r="D6" s="1">
        <v>1999</v>
      </c>
      <c r="E6" s="1">
        <v>1</v>
      </c>
      <c r="F6" s="1">
        <v>0</v>
      </c>
      <c r="G6" s="1">
        <v>0</v>
      </c>
      <c r="H6" s="1"/>
      <c r="I6" s="1"/>
      <c r="J6" s="1"/>
      <c r="K6" s="1"/>
      <c r="L6" s="1"/>
      <c r="M6" s="1"/>
      <c r="N6" s="1"/>
      <c r="O6" s="1"/>
      <c r="P6" s="64">
        <v>66.179000000000002</v>
      </c>
      <c r="R6" s="18">
        <v>500</v>
      </c>
      <c r="S6" s="18"/>
      <c r="T6" s="18">
        <v>3500</v>
      </c>
      <c r="U6" s="18"/>
      <c r="V6" s="18"/>
      <c r="W6" s="18"/>
      <c r="X6" s="18"/>
      <c r="Y6" s="18">
        <v>1404</v>
      </c>
      <c r="Z6" s="18"/>
      <c r="AA6" s="18">
        <v>500</v>
      </c>
      <c r="AB6" s="18"/>
      <c r="AC6" s="63"/>
      <c r="AD6" s="63"/>
      <c r="AE6" s="8"/>
      <c r="AF6" s="48"/>
      <c r="AG6" s="63"/>
      <c r="AH6" s="19"/>
      <c r="AI6" s="18"/>
      <c r="AJ6" s="8"/>
      <c r="AK6" s="18"/>
      <c r="AL6" s="64"/>
      <c r="AM6" s="64">
        <v>2</v>
      </c>
      <c r="AN6" s="64">
        <v>3</v>
      </c>
      <c r="AO6" s="1"/>
      <c r="AP6" s="64">
        <v>3.5</v>
      </c>
      <c r="AQ6" s="1">
        <v>6</v>
      </c>
      <c r="AR6" s="1"/>
      <c r="AS6" s="1"/>
      <c r="AT6" s="1"/>
      <c r="AU6" s="1"/>
      <c r="AV6" s="1"/>
      <c r="AW6" s="1"/>
      <c r="AX6" s="64"/>
      <c r="AY6" s="1"/>
      <c r="AZ6" s="18"/>
      <c r="BA6" s="18"/>
      <c r="BB6" s="18"/>
      <c r="BC6" s="7"/>
      <c r="BD6" s="7"/>
      <c r="BE6" s="7"/>
      <c r="BF6" s="7"/>
      <c r="BG6" s="7"/>
      <c r="BH6" s="64"/>
      <c r="BI6" s="64"/>
      <c r="BJ6" s="1"/>
      <c r="BK6" s="1"/>
      <c r="BL6" s="1"/>
      <c r="BM6" s="1"/>
      <c r="BN6" s="1"/>
      <c r="BO6" s="1"/>
      <c r="BP6" s="1"/>
      <c r="BQ6" s="1"/>
      <c r="BR6" s="1">
        <v>99</v>
      </c>
      <c r="BS6" s="1"/>
      <c r="BT6" s="1"/>
      <c r="BU6" s="12">
        <v>116</v>
      </c>
      <c r="BV6" s="1">
        <v>116</v>
      </c>
      <c r="BW6" s="12"/>
      <c r="BX6" s="12"/>
      <c r="BY6" s="12"/>
      <c r="BZ6" s="12"/>
      <c r="CA6" s="1"/>
      <c r="CB6" s="12"/>
      <c r="CC6" s="12"/>
      <c r="CD6" s="1">
        <v>116</v>
      </c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25">
      <c r="A7" s="1" t="s">
        <v>392</v>
      </c>
      <c r="B7" s="1" t="s">
        <v>130</v>
      </c>
      <c r="C7" s="1"/>
      <c r="D7" s="1">
        <v>1999</v>
      </c>
      <c r="E7" s="1">
        <v>1</v>
      </c>
      <c r="F7" s="1">
        <v>0</v>
      </c>
      <c r="G7" s="1">
        <v>0</v>
      </c>
      <c r="H7" s="1"/>
      <c r="I7" s="1"/>
      <c r="J7" s="1"/>
      <c r="K7" s="1"/>
      <c r="L7" s="1"/>
      <c r="M7" s="1"/>
      <c r="N7" s="1"/>
      <c r="O7" s="1"/>
      <c r="P7" s="64">
        <v>66.179000000000002</v>
      </c>
      <c r="R7" s="18">
        <v>250</v>
      </c>
      <c r="S7" s="18"/>
      <c r="T7" s="18">
        <v>2800</v>
      </c>
      <c r="U7" s="18"/>
      <c r="V7" s="18"/>
      <c r="W7" s="18"/>
      <c r="X7" s="18"/>
      <c r="Y7" s="18">
        <v>250</v>
      </c>
      <c r="Z7" s="18"/>
      <c r="AA7" s="18">
        <v>1119</v>
      </c>
      <c r="AB7" s="18"/>
      <c r="AC7" s="63"/>
      <c r="AD7" s="63"/>
      <c r="AE7" s="8"/>
      <c r="AF7" s="48"/>
      <c r="AG7" s="63"/>
      <c r="AH7" s="19"/>
      <c r="AI7" s="18"/>
      <c r="AJ7" s="8"/>
      <c r="AK7" s="18"/>
      <c r="AL7" s="64"/>
      <c r="AM7" s="64">
        <v>1</v>
      </c>
      <c r="AN7" s="64">
        <v>2</v>
      </c>
      <c r="AO7" s="1"/>
      <c r="AP7" s="64">
        <v>2</v>
      </c>
      <c r="AQ7" s="1">
        <v>4</v>
      </c>
      <c r="AR7" s="1"/>
      <c r="AS7" s="1"/>
      <c r="AT7" s="1"/>
      <c r="AU7" s="1"/>
      <c r="AV7" s="1"/>
      <c r="AW7" s="1"/>
      <c r="AX7" s="64"/>
      <c r="AY7" s="1"/>
      <c r="AZ7" s="18"/>
      <c r="BA7" s="18"/>
      <c r="BB7" s="18"/>
      <c r="BC7" s="7"/>
      <c r="BD7" s="7"/>
      <c r="BE7" s="7"/>
      <c r="BF7" s="7"/>
      <c r="BG7" s="7"/>
      <c r="BH7" s="64"/>
      <c r="BI7" s="6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2">
        <v>122</v>
      </c>
      <c r="BV7" s="1">
        <v>122</v>
      </c>
      <c r="BW7" s="12"/>
      <c r="BX7" s="12"/>
      <c r="BY7" s="12"/>
      <c r="BZ7" s="12"/>
      <c r="CA7" s="1"/>
      <c r="CB7" s="12"/>
      <c r="CC7" s="12"/>
      <c r="CD7" s="1">
        <v>122</v>
      </c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25">
      <c r="A8" s="1" t="s">
        <v>151</v>
      </c>
      <c r="B8" s="1" t="s">
        <v>816</v>
      </c>
      <c r="C8" s="1"/>
      <c r="D8" s="32">
        <v>1996</v>
      </c>
      <c r="E8" s="1">
        <v>0</v>
      </c>
      <c r="F8" s="1">
        <v>1</v>
      </c>
      <c r="G8" s="1">
        <v>0</v>
      </c>
      <c r="H8" s="1"/>
      <c r="I8" s="1"/>
      <c r="J8" s="1"/>
      <c r="K8" s="1"/>
      <c r="L8" s="1"/>
      <c r="M8" s="1"/>
      <c r="N8" s="1"/>
      <c r="O8" s="1"/>
      <c r="P8" s="64">
        <v>15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63"/>
      <c r="AD8" s="63"/>
      <c r="AE8" s="8"/>
      <c r="AF8" s="48"/>
      <c r="AG8" s="63"/>
      <c r="AH8" s="19"/>
      <c r="AI8" s="18"/>
      <c r="AJ8" s="8"/>
      <c r="AK8" s="18"/>
      <c r="AL8" s="64"/>
      <c r="AM8" s="64"/>
      <c r="AN8" s="64"/>
      <c r="AO8" s="1"/>
      <c r="AP8" s="64"/>
      <c r="AQ8" s="1"/>
      <c r="AR8" s="1"/>
      <c r="AS8" s="1"/>
      <c r="AT8" s="1"/>
      <c r="AU8" s="1"/>
      <c r="AV8" s="1"/>
      <c r="AW8" s="1"/>
      <c r="AX8" s="64"/>
      <c r="AY8" s="1"/>
      <c r="AZ8" s="18"/>
      <c r="BA8" s="18"/>
      <c r="BB8" s="18"/>
      <c r="BC8" s="7"/>
      <c r="BD8" s="7"/>
      <c r="BE8" s="7"/>
      <c r="BF8" s="7"/>
      <c r="BG8" s="7"/>
      <c r="BH8" s="64"/>
      <c r="BI8" s="64"/>
      <c r="BJ8" s="1"/>
      <c r="BK8" s="1"/>
      <c r="BL8" s="1"/>
      <c r="BM8" s="1"/>
      <c r="BN8" s="1">
        <v>140</v>
      </c>
      <c r="BO8" s="1"/>
      <c r="BP8" s="1"/>
      <c r="BQ8" s="1"/>
      <c r="BR8" s="1"/>
      <c r="BS8" s="1"/>
      <c r="BT8" s="1"/>
      <c r="BU8" s="12"/>
      <c r="BV8" s="1"/>
      <c r="BW8" s="12"/>
      <c r="BX8" s="12"/>
      <c r="BY8" s="12"/>
      <c r="BZ8" s="12"/>
      <c r="CA8" s="1"/>
      <c r="CB8" s="12"/>
      <c r="CC8" s="12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25">
      <c r="A9" s="1" t="s">
        <v>222</v>
      </c>
      <c r="B9" s="1" t="s">
        <v>129</v>
      </c>
      <c r="C9" s="1"/>
      <c r="D9" s="32">
        <v>1996</v>
      </c>
      <c r="E9" s="1">
        <v>1</v>
      </c>
      <c r="F9" s="1">
        <v>0</v>
      </c>
      <c r="G9" s="1">
        <v>0</v>
      </c>
      <c r="H9" s="1"/>
      <c r="I9" s="1"/>
      <c r="J9" s="1"/>
      <c r="K9" s="1"/>
      <c r="L9" s="1"/>
      <c r="M9" s="1"/>
      <c r="N9" s="1"/>
      <c r="O9" s="1"/>
      <c r="P9" s="64">
        <v>14</v>
      </c>
      <c r="R9" s="18"/>
      <c r="S9" s="18">
        <v>223.7</v>
      </c>
      <c r="T9" s="18"/>
      <c r="U9" s="18"/>
      <c r="V9" s="18"/>
      <c r="W9" s="18"/>
      <c r="X9" s="18"/>
      <c r="Y9" s="18"/>
      <c r="Z9" s="18">
        <v>91</v>
      </c>
      <c r="AA9" s="18"/>
      <c r="AB9" s="18"/>
      <c r="AC9" s="63"/>
      <c r="AD9" s="63"/>
      <c r="AE9" s="8"/>
      <c r="AF9" s="48"/>
      <c r="AG9" s="63"/>
      <c r="AH9" s="19">
        <v>1598</v>
      </c>
      <c r="AI9" s="18"/>
      <c r="AJ9" s="8"/>
      <c r="AK9" s="18"/>
      <c r="AL9" s="64"/>
      <c r="AM9" s="64"/>
      <c r="AN9" s="64"/>
      <c r="AO9" s="1"/>
      <c r="AP9" s="64"/>
      <c r="AQ9" s="1"/>
      <c r="AR9" s="1"/>
      <c r="AS9" s="1"/>
      <c r="AT9" s="1"/>
      <c r="AU9" s="1"/>
      <c r="AV9" s="1"/>
      <c r="AW9" s="1"/>
      <c r="AX9" s="64"/>
      <c r="AY9" s="1"/>
      <c r="AZ9" s="18"/>
      <c r="BA9" s="18"/>
      <c r="BB9" s="18"/>
      <c r="BC9" s="7"/>
      <c r="BD9" s="7"/>
      <c r="BE9" s="7"/>
      <c r="BF9" s="7"/>
      <c r="BG9" s="7"/>
      <c r="BH9" s="64"/>
      <c r="BI9" s="64"/>
      <c r="BJ9" s="1"/>
      <c r="BK9" s="1"/>
      <c r="BL9" s="1"/>
      <c r="BM9" s="1"/>
      <c r="BN9" s="1"/>
      <c r="BO9" s="1"/>
      <c r="BP9" s="1"/>
      <c r="BQ9" s="1"/>
      <c r="BR9" s="1">
        <v>162</v>
      </c>
      <c r="BS9" s="1"/>
      <c r="BT9" s="1"/>
      <c r="BU9" s="12">
        <v>162</v>
      </c>
      <c r="BV9" s="1">
        <v>162</v>
      </c>
      <c r="BW9" s="12"/>
      <c r="BX9" s="12"/>
      <c r="BY9" s="12"/>
      <c r="BZ9" s="12"/>
      <c r="CA9" s="1"/>
      <c r="CB9" s="12"/>
      <c r="CC9" s="12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25">
      <c r="A10" s="1" t="s">
        <v>132</v>
      </c>
      <c r="B10" s="1" t="s">
        <v>142</v>
      </c>
      <c r="C10" s="1"/>
      <c r="D10" s="1">
        <v>1997</v>
      </c>
      <c r="E10" s="1">
        <v>1</v>
      </c>
      <c r="F10" s="1">
        <v>0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64"/>
      <c r="R10" s="18">
        <v>0</v>
      </c>
      <c r="S10" s="18">
        <v>578</v>
      </c>
      <c r="T10" s="18">
        <v>1438</v>
      </c>
      <c r="U10" s="18"/>
      <c r="V10" s="18"/>
      <c r="W10" s="18"/>
      <c r="X10" s="18"/>
      <c r="Y10" s="18"/>
      <c r="Z10" s="18"/>
      <c r="AA10" s="18"/>
      <c r="AB10" s="18"/>
      <c r="AC10" s="63"/>
      <c r="AD10" s="63"/>
      <c r="AE10" s="8"/>
      <c r="AF10" s="48"/>
      <c r="AG10" s="63"/>
      <c r="AH10" s="19"/>
      <c r="AI10" s="18"/>
      <c r="AJ10" s="8"/>
      <c r="AK10" s="18"/>
      <c r="AL10" s="64"/>
      <c r="AM10" s="64"/>
      <c r="AN10" s="64"/>
      <c r="AO10" s="1">
        <v>2</v>
      </c>
      <c r="AP10" s="64"/>
      <c r="AQ10" s="1"/>
      <c r="AR10" s="1">
        <v>2</v>
      </c>
      <c r="AS10" s="1">
        <v>24</v>
      </c>
      <c r="AT10" s="1"/>
      <c r="AU10" s="1"/>
      <c r="AV10" s="1"/>
      <c r="AW10" s="1"/>
      <c r="AX10" s="64"/>
      <c r="AY10" s="1"/>
      <c r="AZ10" s="18"/>
      <c r="BA10" s="18"/>
      <c r="BB10" s="18"/>
      <c r="BC10" s="7"/>
      <c r="BD10" s="7"/>
      <c r="BE10" s="7"/>
      <c r="BF10" s="7"/>
      <c r="BG10" s="7"/>
      <c r="BH10" s="64"/>
      <c r="BI10" s="6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2" t="s">
        <v>863</v>
      </c>
      <c r="BV10" s="1"/>
      <c r="BW10" s="12"/>
      <c r="BX10" s="12"/>
      <c r="BY10" s="12"/>
      <c r="BZ10" s="12"/>
      <c r="CA10" s="1"/>
      <c r="CB10" s="12"/>
      <c r="CC10" s="12"/>
      <c r="CD10" s="1">
        <v>169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25">
      <c r="A11" s="1" t="s">
        <v>133</v>
      </c>
      <c r="B11" s="1" t="s">
        <v>142</v>
      </c>
      <c r="C11" s="1"/>
      <c r="D11" s="1">
        <v>1997</v>
      </c>
      <c r="E11" s="1">
        <v>1</v>
      </c>
      <c r="F11" s="1">
        <v>0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64"/>
      <c r="R11" s="18">
        <v>0</v>
      </c>
      <c r="S11" s="18">
        <v>580.49999999999989</v>
      </c>
      <c r="T11" s="18">
        <v>1885</v>
      </c>
      <c r="U11" s="18"/>
      <c r="V11" s="18"/>
      <c r="W11" s="18"/>
      <c r="X11" s="18"/>
      <c r="Y11" s="18"/>
      <c r="Z11" s="18"/>
      <c r="AA11" s="18"/>
      <c r="AB11" s="18"/>
      <c r="AC11" s="63"/>
      <c r="AD11" s="63"/>
      <c r="AE11" s="8"/>
      <c r="AF11" s="48"/>
      <c r="AG11" s="63"/>
      <c r="AH11" s="19"/>
      <c r="AI11" s="18"/>
      <c r="AJ11" s="8"/>
      <c r="AK11" s="18"/>
      <c r="AL11" s="64"/>
      <c r="AM11" s="64"/>
      <c r="AN11" s="64"/>
      <c r="AO11" s="1">
        <v>2</v>
      </c>
      <c r="AP11" s="64"/>
      <c r="AQ11" s="1"/>
      <c r="AR11" s="1">
        <v>2</v>
      </c>
      <c r="AS11" s="1">
        <v>24</v>
      </c>
      <c r="AT11" s="1"/>
      <c r="AU11" s="1"/>
      <c r="AV11" s="1"/>
      <c r="AW11" s="1"/>
      <c r="AX11" s="64"/>
      <c r="AY11" s="1"/>
      <c r="AZ11" s="18"/>
      <c r="BA11" s="18"/>
      <c r="BB11" s="18"/>
      <c r="BC11" s="7"/>
      <c r="BD11" s="7"/>
      <c r="BE11" s="7"/>
      <c r="BF11" s="7"/>
      <c r="BG11" s="7"/>
      <c r="BH11" s="64"/>
      <c r="BI11" s="6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2" t="s">
        <v>863</v>
      </c>
      <c r="BV11" s="1"/>
      <c r="BW11" s="12"/>
      <c r="BX11" s="12"/>
      <c r="BY11" s="12"/>
      <c r="BZ11" s="12"/>
      <c r="CA11" s="1"/>
      <c r="CB11" s="12"/>
      <c r="CC11" s="12"/>
      <c r="CD11" s="1">
        <v>169</v>
      </c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25">
      <c r="A12" s="1" t="s">
        <v>286</v>
      </c>
      <c r="B12" s="1" t="s">
        <v>142</v>
      </c>
      <c r="C12" s="1"/>
      <c r="D12" s="1">
        <v>1997</v>
      </c>
      <c r="E12" s="1">
        <v>1</v>
      </c>
      <c r="F12" s="1">
        <v>0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64"/>
      <c r="R12" s="18">
        <v>0</v>
      </c>
      <c r="S12" s="18">
        <v>570.96820464750033</v>
      </c>
      <c r="T12" s="18">
        <v>1661.4793977026998</v>
      </c>
      <c r="U12" s="18"/>
      <c r="V12" s="18"/>
      <c r="W12" s="18"/>
      <c r="X12" s="18"/>
      <c r="Y12" s="18"/>
      <c r="Z12" s="18"/>
      <c r="AA12" s="18"/>
      <c r="AB12" s="18"/>
      <c r="AC12" s="63"/>
      <c r="AD12" s="63"/>
      <c r="AE12" s="8"/>
      <c r="AF12" s="48"/>
      <c r="AG12" s="63"/>
      <c r="AH12" s="19"/>
      <c r="AI12" s="18"/>
      <c r="AJ12" s="8"/>
      <c r="AK12" s="18"/>
      <c r="AL12" s="64"/>
      <c r="AM12" s="64"/>
      <c r="AN12" s="64"/>
      <c r="AO12" s="1">
        <v>2</v>
      </c>
      <c r="AP12" s="64"/>
      <c r="AQ12" s="1"/>
      <c r="AR12" s="1">
        <v>2</v>
      </c>
      <c r="AS12" s="1">
        <v>24</v>
      </c>
      <c r="AT12" s="1"/>
      <c r="AU12" s="1"/>
      <c r="AV12" s="1"/>
      <c r="AW12" s="1"/>
      <c r="AX12" s="64"/>
      <c r="AY12" s="1"/>
      <c r="AZ12" s="18"/>
      <c r="BA12" s="18"/>
      <c r="BB12" s="18"/>
      <c r="BC12" s="7"/>
      <c r="BD12" s="7"/>
      <c r="BE12" s="7"/>
      <c r="BF12" s="7"/>
      <c r="BG12" s="7"/>
      <c r="BH12" s="64"/>
      <c r="BI12" s="6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2" t="s">
        <v>863</v>
      </c>
      <c r="BV12" s="1"/>
      <c r="BW12" s="12"/>
      <c r="BX12" s="12"/>
      <c r="BY12" s="12"/>
      <c r="BZ12" s="12"/>
      <c r="CA12" s="1"/>
      <c r="CB12" s="12"/>
      <c r="CC12" s="12"/>
      <c r="CD12" s="1">
        <v>169</v>
      </c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25">
      <c r="A13" s="1" t="s">
        <v>165</v>
      </c>
      <c r="B13" s="1" t="s">
        <v>142</v>
      </c>
      <c r="C13" s="1"/>
      <c r="D13" s="1">
        <v>1997</v>
      </c>
      <c r="E13" s="1">
        <v>1</v>
      </c>
      <c r="F13" s="1">
        <v>0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64"/>
      <c r="R13" s="18"/>
      <c r="S13" s="18"/>
      <c r="T13" s="18"/>
      <c r="U13" s="18"/>
      <c r="V13" s="18"/>
      <c r="W13" s="18"/>
      <c r="X13" s="18"/>
      <c r="Y13" s="18">
        <v>17003.040582987822</v>
      </c>
      <c r="Z13" s="18">
        <v>19070.240128685829</v>
      </c>
      <c r="AA13" s="18">
        <v>20800</v>
      </c>
      <c r="AB13" s="18"/>
      <c r="AC13" s="63"/>
      <c r="AD13" s="63"/>
      <c r="AE13" s="8"/>
      <c r="AF13" s="48"/>
      <c r="AG13" s="63"/>
      <c r="AH13" s="19"/>
      <c r="AI13" s="18"/>
      <c r="AJ13" s="8"/>
      <c r="AK13" s="18"/>
      <c r="AL13" s="64"/>
      <c r="AM13" s="64"/>
      <c r="AN13" s="64"/>
      <c r="AO13" s="1">
        <v>2</v>
      </c>
      <c r="AP13" s="64"/>
      <c r="AQ13" s="1"/>
      <c r="AR13" s="1">
        <v>2</v>
      </c>
      <c r="AS13" s="1">
        <v>24</v>
      </c>
      <c r="AT13" s="1"/>
      <c r="AU13" s="1"/>
      <c r="AV13" s="1"/>
      <c r="AW13" s="1"/>
      <c r="AX13" s="64"/>
      <c r="AY13" s="1"/>
      <c r="AZ13" s="18"/>
      <c r="BA13" s="18"/>
      <c r="BB13" s="18"/>
      <c r="BC13" s="7"/>
      <c r="BD13" s="7"/>
      <c r="BE13" s="7"/>
      <c r="BF13" s="7"/>
      <c r="BG13" s="7"/>
      <c r="BH13" s="64"/>
      <c r="BI13" s="6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2"/>
      <c r="BV13" s="1">
        <v>169</v>
      </c>
      <c r="BW13" s="12"/>
      <c r="BX13" s="12"/>
      <c r="BY13" s="12"/>
      <c r="BZ13" s="12"/>
      <c r="CA13" s="1"/>
      <c r="CB13" s="12"/>
      <c r="CC13" s="12"/>
      <c r="CD13" s="1">
        <v>169</v>
      </c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19B1FF-E9B1-42BE-8079-C6AAEA6C468A}">
          <x14:formula1>
            <xm:f>Dropdown!$B$2:$B$6</xm:f>
          </x14:formula1>
          <xm:sqref>C2:C13</xm:sqref>
        </x14:dataValidation>
        <x14:dataValidation type="list" allowBlank="1" showInputMessage="1" showErrorMessage="1" xr:uid="{8A760510-2611-4800-8238-6B1028F2145B}">
          <x14:formula1>
            <xm:f>Dropdown!$C$2:$C$7</xm:f>
          </x14:formula1>
          <xm:sqref>B2:B13</xm:sqref>
        </x14:dataValidation>
        <x14:dataValidation type="list" allowBlank="1" showInputMessage="1" showErrorMessage="1" xr:uid="{F8F0996D-19BF-496F-82F1-CB46DB7B32A2}">
          <x14:formula1>
            <xm:f>Dropdown!$A$2:$A$91</xm:f>
          </x14:formula1>
          <xm:sqref>A2 A4:A7</xm:sqref>
        </x14:dataValidation>
        <x14:dataValidation type="list" allowBlank="1" showInputMessage="1" showErrorMessage="1" xr:uid="{DAF9991D-A25C-4455-855C-51AB6965E64C}">
          <x14:formula1>
            <xm:f>Dropdown!$A$2:$A$93</xm:f>
          </x14:formula1>
          <xm:sqref>A3 A8:A13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9"/>
  <dimension ref="A1:GK249"/>
  <sheetViews>
    <sheetView zoomScale="70" zoomScaleNormal="70" workbookViewId="0">
      <pane xSplit="7" ySplit="1" topLeftCell="CB20" activePane="bottomRight" state="frozen"/>
      <selection pane="topRight" activeCell="D1" sqref="D1"/>
      <selection pane="bottomLeft" activeCell="A2" sqref="A2"/>
      <selection pane="bottomRight" activeCell="A249" sqref="A249"/>
    </sheetView>
  </sheetViews>
  <sheetFormatPr baseColWidth="10" defaultColWidth="11.42578125" defaultRowHeight="12.75" x14ac:dyDescent="0.2"/>
  <cols>
    <col min="1" max="1" width="23.85546875" style="1" customWidth="1"/>
    <col min="2" max="2" width="28.28515625" style="1" customWidth="1"/>
    <col min="3" max="3" width="26.42578125" style="1" customWidth="1"/>
    <col min="4" max="4" width="14.85546875" style="1" customWidth="1"/>
    <col min="5" max="5" width="11.28515625" style="1" customWidth="1"/>
    <col min="6" max="6" width="12.5703125" style="1" customWidth="1"/>
    <col min="7" max="7" width="9.5703125" style="1" bestFit="1" customWidth="1"/>
    <col min="8" max="8" width="23.42578125" style="1" bestFit="1" customWidth="1"/>
    <col min="9" max="9" width="17.7109375" style="1" bestFit="1" customWidth="1"/>
    <col min="10" max="10" width="17.7109375" style="1" customWidth="1"/>
    <col min="11" max="11" width="28.85546875" style="1" bestFit="1" customWidth="1"/>
    <col min="12" max="12" width="38.85546875" style="1" bestFit="1" customWidth="1"/>
    <col min="13" max="13" width="29.28515625" style="1" bestFit="1" customWidth="1"/>
    <col min="14" max="67" width="29.28515625" style="1" customWidth="1"/>
    <col min="68" max="70" width="24.5703125" style="1" customWidth="1"/>
    <col min="71" max="71" width="24.42578125" style="1" bestFit="1" customWidth="1"/>
    <col min="72" max="110" width="24.42578125" style="1" customWidth="1"/>
    <col min="111" max="111" width="27.85546875" style="1" customWidth="1"/>
    <col min="112" max="112" width="27.140625" style="1" bestFit="1" customWidth="1"/>
    <col min="113" max="113" width="29" style="1" bestFit="1" customWidth="1"/>
    <col min="114" max="119" width="24.7109375" style="1" customWidth="1"/>
    <col min="120" max="122" width="28.42578125" style="1" customWidth="1"/>
    <col min="123" max="123" width="27.42578125" style="1" bestFit="1" customWidth="1"/>
    <col min="124" max="130" width="27.42578125" style="1" customWidth="1"/>
    <col min="131" max="133" width="20.7109375" style="1" customWidth="1"/>
    <col min="134" max="134" width="24.140625" style="1" customWidth="1"/>
    <col min="135" max="135" width="20.7109375" style="1" customWidth="1"/>
    <col min="136" max="136" width="25.85546875" style="1" bestFit="1" customWidth="1"/>
    <col min="137" max="138" width="25.85546875" style="1" customWidth="1"/>
    <col min="139" max="139" width="29.7109375" style="1" bestFit="1" customWidth="1"/>
    <col min="140" max="140" width="24" style="1" bestFit="1" customWidth="1"/>
    <col min="141" max="141" width="38.28515625" style="1" bestFit="1" customWidth="1"/>
    <col min="142" max="164" width="38.28515625" style="1" customWidth="1"/>
    <col min="165" max="165" width="33.42578125" style="1" bestFit="1" customWidth="1"/>
    <col min="166" max="167" width="33.42578125" style="1" customWidth="1"/>
    <col min="168" max="168" width="25.7109375" style="1" bestFit="1" customWidth="1"/>
    <col min="169" max="169" width="25.7109375" style="1" customWidth="1"/>
    <col min="170" max="170" width="56.7109375" style="1" bestFit="1" customWidth="1"/>
    <col min="171" max="173" width="35.5703125" style="1" customWidth="1"/>
    <col min="174" max="174" width="31.7109375" style="1" bestFit="1" customWidth="1"/>
    <col min="175" max="175" width="31.5703125" style="1" bestFit="1" customWidth="1"/>
    <col min="176" max="180" width="31.5703125" style="1" customWidth="1"/>
    <col min="181" max="181" width="37.42578125" style="1" bestFit="1" customWidth="1"/>
    <col min="182" max="182" width="35.7109375" style="1" bestFit="1" customWidth="1"/>
    <col min="183" max="183" width="28.85546875" style="1" bestFit="1" customWidth="1"/>
    <col min="184" max="184" width="34" style="1" bestFit="1" customWidth="1"/>
    <col min="185" max="185" width="37.85546875" style="1" bestFit="1" customWidth="1"/>
    <col min="186" max="186" width="34.42578125" style="1" bestFit="1" customWidth="1"/>
    <col min="187" max="187" width="38.140625" style="1" bestFit="1" customWidth="1"/>
    <col min="188" max="188" width="22.85546875" style="1" bestFit="1" customWidth="1"/>
    <col min="189" max="189" width="28.5703125" style="1" bestFit="1" customWidth="1"/>
    <col min="190" max="190" width="28.28515625" style="1" bestFit="1" customWidth="1"/>
    <col min="191" max="191" width="28.28515625" style="1" customWidth="1"/>
    <col min="192" max="192" width="31" style="1" bestFit="1" customWidth="1"/>
    <col min="193" max="193" width="78.140625" style="1" bestFit="1" customWidth="1"/>
    <col min="194" max="16384" width="11.42578125" style="1"/>
  </cols>
  <sheetData>
    <row r="1" spans="1:193" x14ac:dyDescent="0.2">
      <c r="A1" s="2" t="s">
        <v>0</v>
      </c>
      <c r="B1" s="2" t="s">
        <v>680</v>
      </c>
      <c r="C1" s="2" t="s">
        <v>644</v>
      </c>
      <c r="D1" s="2" t="s">
        <v>238</v>
      </c>
      <c r="E1" s="2" t="s">
        <v>131</v>
      </c>
      <c r="F1" s="2" t="s">
        <v>679</v>
      </c>
      <c r="G1" s="2" t="s">
        <v>8</v>
      </c>
      <c r="H1" s="2" t="s">
        <v>159</v>
      </c>
      <c r="I1" s="2" t="s">
        <v>160</v>
      </c>
      <c r="J1" s="2" t="s">
        <v>313</v>
      </c>
      <c r="K1" s="2" t="s">
        <v>582</v>
      </c>
      <c r="L1" s="2" t="s">
        <v>149</v>
      </c>
      <c r="M1" s="2" t="s">
        <v>583</v>
      </c>
      <c r="N1" s="2" t="s">
        <v>689</v>
      </c>
      <c r="O1" s="2" t="s">
        <v>690</v>
      </c>
      <c r="P1" s="2" t="s">
        <v>691</v>
      </c>
      <c r="Q1" s="2" t="s">
        <v>692</v>
      </c>
      <c r="R1" s="2" t="s">
        <v>693</v>
      </c>
      <c r="S1" s="2" t="s">
        <v>694</v>
      </c>
      <c r="T1" s="2" t="s">
        <v>695</v>
      </c>
      <c r="U1" s="2" t="s">
        <v>696</v>
      </c>
      <c r="V1" s="2" t="s">
        <v>697</v>
      </c>
      <c r="W1" s="2" t="s">
        <v>698</v>
      </c>
      <c r="X1" s="2" t="s">
        <v>699</v>
      </c>
      <c r="Y1" s="2" t="s">
        <v>700</v>
      </c>
      <c r="Z1" s="2" t="s">
        <v>701</v>
      </c>
      <c r="AA1" s="2" t="s">
        <v>702</v>
      </c>
      <c r="AB1" s="2" t="s">
        <v>703</v>
      </c>
      <c r="AC1" s="2" t="s">
        <v>704</v>
      </c>
      <c r="AD1" s="2" t="s">
        <v>705</v>
      </c>
      <c r="AE1" s="2" t="s">
        <v>706</v>
      </c>
      <c r="AF1" s="2" t="s">
        <v>707</v>
      </c>
      <c r="AG1" s="2" t="s">
        <v>708</v>
      </c>
      <c r="AH1" s="2" t="s">
        <v>709</v>
      </c>
      <c r="AI1" s="2" t="s">
        <v>710</v>
      </c>
      <c r="AJ1" s="2" t="s">
        <v>711</v>
      </c>
      <c r="AK1" s="2" t="s">
        <v>712</v>
      </c>
      <c r="AL1" s="2" t="s">
        <v>713</v>
      </c>
      <c r="AM1" s="2" t="s">
        <v>714</v>
      </c>
      <c r="AN1" s="2" t="s">
        <v>715</v>
      </c>
      <c r="AO1" s="2" t="s">
        <v>716</v>
      </c>
      <c r="AP1" s="2" t="s">
        <v>717</v>
      </c>
      <c r="AQ1" s="2" t="s">
        <v>718</v>
      </c>
      <c r="AR1" s="2" t="s">
        <v>719</v>
      </c>
      <c r="AS1" s="2" t="s">
        <v>720</v>
      </c>
      <c r="AT1" s="2" t="s">
        <v>721</v>
      </c>
      <c r="AU1" s="2" t="s">
        <v>722</v>
      </c>
      <c r="AV1" s="2" t="s">
        <v>723</v>
      </c>
      <c r="AW1" s="2" t="s">
        <v>724</v>
      </c>
      <c r="AX1" s="2" t="s">
        <v>725</v>
      </c>
      <c r="AY1" s="2" t="s">
        <v>726</v>
      </c>
      <c r="AZ1" s="2" t="s">
        <v>727</v>
      </c>
      <c r="BA1" s="2" t="s">
        <v>728</v>
      </c>
      <c r="BB1" s="2" t="s">
        <v>729</v>
      </c>
      <c r="BC1" s="2" t="s">
        <v>730</v>
      </c>
      <c r="BD1" s="2" t="s">
        <v>731</v>
      </c>
      <c r="BE1" s="2" t="s">
        <v>732</v>
      </c>
      <c r="BF1" s="2" t="s">
        <v>733</v>
      </c>
      <c r="BG1" s="2" t="s">
        <v>734</v>
      </c>
      <c r="BH1" s="2" t="s">
        <v>735</v>
      </c>
      <c r="BI1" s="2" t="s">
        <v>736</v>
      </c>
      <c r="BJ1" s="2" t="s">
        <v>737</v>
      </c>
      <c r="BK1" s="2" t="s">
        <v>738</v>
      </c>
      <c r="BL1" s="2" t="s">
        <v>739</v>
      </c>
      <c r="BM1" s="2" t="s">
        <v>740</v>
      </c>
      <c r="BN1" s="2" t="s">
        <v>741</v>
      </c>
      <c r="BO1" s="2" t="s">
        <v>742</v>
      </c>
      <c r="BP1" s="2" t="s">
        <v>97</v>
      </c>
      <c r="BQ1" s="2" t="s">
        <v>584</v>
      </c>
      <c r="BR1" s="2" t="s">
        <v>156</v>
      </c>
      <c r="BS1" s="2" t="s">
        <v>585</v>
      </c>
      <c r="BT1" s="2" t="s">
        <v>598</v>
      </c>
      <c r="BU1" s="2" t="s">
        <v>597</v>
      </c>
      <c r="BV1" s="2" t="s">
        <v>599</v>
      </c>
      <c r="BW1" s="2" t="s">
        <v>600</v>
      </c>
      <c r="BX1" s="2" t="s">
        <v>586</v>
      </c>
      <c r="BY1" s="2" t="s">
        <v>587</v>
      </c>
      <c r="BZ1" s="2" t="s">
        <v>87</v>
      </c>
      <c r="CA1" s="52" t="s">
        <v>651</v>
      </c>
      <c r="CB1" s="52" t="s">
        <v>652</v>
      </c>
      <c r="CC1" s="52" t="s">
        <v>653</v>
      </c>
      <c r="CD1" s="52" t="s">
        <v>654</v>
      </c>
      <c r="CE1" s="52" t="s">
        <v>655</v>
      </c>
      <c r="CF1" s="52" t="s">
        <v>656</v>
      </c>
      <c r="CG1" s="52" t="s">
        <v>657</v>
      </c>
      <c r="CH1" s="52" t="s">
        <v>658</v>
      </c>
      <c r="CI1" s="52" t="s">
        <v>659</v>
      </c>
      <c r="CJ1" s="52" t="s">
        <v>660</v>
      </c>
      <c r="CK1" s="52" t="s">
        <v>661</v>
      </c>
      <c r="CL1" s="52" t="s">
        <v>662</v>
      </c>
      <c r="CM1" s="52" t="s">
        <v>663</v>
      </c>
      <c r="CN1" s="52" t="s">
        <v>664</v>
      </c>
      <c r="CO1" s="52" t="s">
        <v>665</v>
      </c>
      <c r="CP1" s="52" t="s">
        <v>666</v>
      </c>
      <c r="CQ1" s="52" t="s">
        <v>667</v>
      </c>
      <c r="CR1" s="52" t="s">
        <v>668</v>
      </c>
      <c r="CS1" s="52" t="s">
        <v>669</v>
      </c>
      <c r="CT1" s="52" t="s">
        <v>670</v>
      </c>
      <c r="CU1" s="52" t="s">
        <v>671</v>
      </c>
      <c r="CV1" s="52" t="s">
        <v>672</v>
      </c>
      <c r="CW1" s="52" t="s">
        <v>673</v>
      </c>
      <c r="CX1" s="52" t="s">
        <v>674</v>
      </c>
      <c r="CY1" s="52" t="s">
        <v>675</v>
      </c>
      <c r="CZ1" s="52" t="s">
        <v>676</v>
      </c>
      <c r="DA1" s="52" t="s">
        <v>677</v>
      </c>
      <c r="DB1" s="2" t="s">
        <v>588</v>
      </c>
      <c r="DC1" s="2" t="s">
        <v>593</v>
      </c>
      <c r="DD1" s="2" t="s">
        <v>589</v>
      </c>
      <c r="DE1" s="2" t="s">
        <v>601</v>
      </c>
      <c r="DF1" s="2" t="s">
        <v>602</v>
      </c>
      <c r="DG1" s="2" t="s">
        <v>603</v>
      </c>
      <c r="DH1" s="2" t="s">
        <v>604</v>
      </c>
      <c r="DI1" s="2" t="s">
        <v>605</v>
      </c>
      <c r="DJ1" s="2" t="s">
        <v>606</v>
      </c>
      <c r="DK1" s="2" t="s">
        <v>595</v>
      </c>
      <c r="DL1" s="2" t="s">
        <v>594</v>
      </c>
      <c r="DM1" s="2" t="s">
        <v>596</v>
      </c>
      <c r="DN1" s="2" t="s">
        <v>590</v>
      </c>
      <c r="DO1" s="2" t="s">
        <v>591</v>
      </c>
      <c r="DP1" s="2" t="s">
        <v>592</v>
      </c>
      <c r="DQ1" s="2" t="s">
        <v>607</v>
      </c>
      <c r="DR1" s="2" t="s">
        <v>608</v>
      </c>
      <c r="DS1" s="2" t="s">
        <v>609</v>
      </c>
      <c r="DT1" s="2" t="s">
        <v>610</v>
      </c>
      <c r="DU1" s="2" t="s">
        <v>611</v>
      </c>
      <c r="DV1" s="2" t="s">
        <v>612</v>
      </c>
      <c r="DW1" s="2" t="s">
        <v>157</v>
      </c>
      <c r="DX1" s="2" t="s">
        <v>423</v>
      </c>
      <c r="DY1" s="2" t="s">
        <v>225</v>
      </c>
      <c r="DZ1" s="2" t="s">
        <v>158</v>
      </c>
      <c r="EA1" s="2" t="s">
        <v>227</v>
      </c>
      <c r="EB1" s="2" t="s">
        <v>228</v>
      </c>
      <c r="EC1" s="2" t="s">
        <v>3</v>
      </c>
      <c r="ED1" s="2" t="s">
        <v>214</v>
      </c>
      <c r="EE1" s="2" t="s">
        <v>215</v>
      </c>
      <c r="EF1" s="2" t="s">
        <v>613</v>
      </c>
      <c r="EG1" s="2" t="s">
        <v>614</v>
      </c>
      <c r="EH1" s="2" t="s">
        <v>615</v>
      </c>
      <c r="EI1" s="2" t="s">
        <v>10</v>
      </c>
      <c r="EJ1" s="2" t="s">
        <v>16</v>
      </c>
      <c r="EK1" s="2" t="s">
        <v>4</v>
      </c>
      <c r="EL1" s="2" t="s">
        <v>616</v>
      </c>
      <c r="EM1" s="2" t="s">
        <v>617</v>
      </c>
      <c r="EN1" s="2" t="s">
        <v>618</v>
      </c>
      <c r="EO1" s="2" t="s">
        <v>619</v>
      </c>
      <c r="EP1" s="2" t="s">
        <v>620</v>
      </c>
      <c r="EQ1" s="2" t="s">
        <v>621</v>
      </c>
      <c r="ER1" s="2" t="s">
        <v>622</v>
      </c>
      <c r="ES1" s="2" t="s">
        <v>623</v>
      </c>
      <c r="ET1" s="2" t="s">
        <v>624</v>
      </c>
      <c r="EU1" s="2" t="s">
        <v>12</v>
      </c>
      <c r="EV1" s="2" t="s">
        <v>183</v>
      </c>
      <c r="EW1" s="2" t="s">
        <v>182</v>
      </c>
      <c r="EX1" s="2" t="s">
        <v>1083</v>
      </c>
      <c r="EY1" s="2" t="s">
        <v>1084</v>
      </c>
      <c r="EZ1" s="2" t="s">
        <v>1085</v>
      </c>
      <c r="FA1" s="2" t="s">
        <v>627</v>
      </c>
      <c r="FB1" s="2" t="s">
        <v>628</v>
      </c>
      <c r="FC1" s="2" t="s">
        <v>629</v>
      </c>
      <c r="FD1" s="2" t="s">
        <v>630</v>
      </c>
      <c r="FE1" s="2" t="s">
        <v>631</v>
      </c>
      <c r="FF1" s="2" t="s">
        <v>632</v>
      </c>
      <c r="FG1" s="2" t="s">
        <v>633</v>
      </c>
      <c r="FH1" s="2" t="s">
        <v>634</v>
      </c>
      <c r="FI1" s="2" t="s">
        <v>635</v>
      </c>
      <c r="FJ1" s="2" t="s">
        <v>333</v>
      </c>
      <c r="FK1" s="2" t="s">
        <v>626</v>
      </c>
      <c r="FL1" s="2" t="s">
        <v>625</v>
      </c>
      <c r="FM1" s="2" t="s">
        <v>147</v>
      </c>
      <c r="FN1" s="2" t="s">
        <v>22</v>
      </c>
      <c r="FO1" s="2" t="s">
        <v>162</v>
      </c>
      <c r="FP1" s="2" t="s">
        <v>163</v>
      </c>
      <c r="FQ1" s="2" t="s">
        <v>678</v>
      </c>
      <c r="FR1" s="2" t="s">
        <v>1</v>
      </c>
      <c r="FS1" s="2" t="s">
        <v>2</v>
      </c>
      <c r="FT1" s="2" t="s">
        <v>59</v>
      </c>
      <c r="FU1" s="2" t="s">
        <v>1089</v>
      </c>
      <c r="FV1" s="2" t="s">
        <v>236</v>
      </c>
      <c r="FW1" s="2" t="s">
        <v>117</v>
      </c>
      <c r="FX1" s="2" t="s">
        <v>60</v>
      </c>
      <c r="FY1" s="2" t="s">
        <v>61</v>
      </c>
      <c r="FZ1" s="2" t="s">
        <v>98</v>
      </c>
      <c r="GA1" s="2" t="s">
        <v>5</v>
      </c>
      <c r="GB1" s="2" t="s">
        <v>6</v>
      </c>
      <c r="GC1" s="2" t="s">
        <v>17</v>
      </c>
      <c r="GD1" s="2" t="s">
        <v>18</v>
      </c>
      <c r="GE1" s="2" t="s">
        <v>7</v>
      </c>
      <c r="GF1" s="2" t="s">
        <v>19</v>
      </c>
      <c r="GG1" s="2" t="s">
        <v>20</v>
      </c>
      <c r="GH1" s="2" t="s">
        <v>21</v>
      </c>
      <c r="GI1" s="2" t="s">
        <v>148</v>
      </c>
      <c r="GJ1" s="2" t="s">
        <v>23</v>
      </c>
      <c r="GK1" s="2" t="s">
        <v>51</v>
      </c>
    </row>
    <row r="2" spans="1:193" s="83" customFormat="1" ht="12.75" customHeight="1" x14ac:dyDescent="0.2">
      <c r="A2" s="83" t="s">
        <v>535</v>
      </c>
      <c r="B2" s="83" t="s">
        <v>535</v>
      </c>
      <c r="E2" s="83" t="s">
        <v>130</v>
      </c>
      <c r="F2" s="83">
        <v>2</v>
      </c>
      <c r="G2" s="83">
        <v>2015</v>
      </c>
      <c r="H2" s="83">
        <v>1</v>
      </c>
      <c r="I2" s="83">
        <v>0</v>
      </c>
      <c r="J2" s="83">
        <v>0</v>
      </c>
      <c r="K2" s="84"/>
      <c r="L2" s="84"/>
      <c r="M2" s="84"/>
      <c r="N2" s="84">
        <v>0</v>
      </c>
      <c r="O2" s="84">
        <v>0</v>
      </c>
      <c r="P2" s="84">
        <v>0</v>
      </c>
      <c r="Q2" s="84">
        <v>7.9539999999999997</v>
      </c>
      <c r="R2" s="84">
        <v>4.4400000000000004</v>
      </c>
      <c r="S2" s="84">
        <v>12.06</v>
      </c>
      <c r="T2" s="84">
        <v>0</v>
      </c>
      <c r="U2" s="84">
        <v>0</v>
      </c>
      <c r="V2" s="84">
        <v>0</v>
      </c>
      <c r="W2" s="84">
        <v>7.9539999999999997</v>
      </c>
      <c r="X2" s="84">
        <v>4.4400000000000004</v>
      </c>
      <c r="Y2" s="84">
        <v>12.06</v>
      </c>
      <c r="Z2" s="84">
        <v>0</v>
      </c>
      <c r="AA2" s="84">
        <v>0</v>
      </c>
      <c r="AB2" s="84">
        <v>0</v>
      </c>
      <c r="AC2" s="84">
        <v>7.9539999999999997</v>
      </c>
      <c r="AD2" s="84">
        <v>4.4400000000000004</v>
      </c>
      <c r="AE2" s="84">
        <v>12.06</v>
      </c>
      <c r="AF2" s="84">
        <v>3.1040000000000001</v>
      </c>
      <c r="AG2" s="84">
        <v>1.92</v>
      </c>
      <c r="AH2" s="84">
        <v>4.2880000000000003</v>
      </c>
      <c r="AI2" s="84">
        <v>4.8499999999999996</v>
      </c>
      <c r="AJ2" s="84">
        <v>2.52</v>
      </c>
      <c r="AK2" s="84">
        <v>7.7720000000000002</v>
      </c>
      <c r="AL2" s="84">
        <v>3.1040000000000001</v>
      </c>
      <c r="AM2" s="84">
        <v>1.92</v>
      </c>
      <c r="AN2" s="84">
        <v>4.2880000000000003</v>
      </c>
      <c r="AO2" s="84">
        <v>4.8499999999999996</v>
      </c>
      <c r="AP2" s="84">
        <v>2.52</v>
      </c>
      <c r="AQ2" s="84">
        <v>7.7720000000000002</v>
      </c>
      <c r="AR2" s="84">
        <v>1.746</v>
      </c>
      <c r="AS2" s="84">
        <v>1.08</v>
      </c>
      <c r="AT2" s="84">
        <v>2.4119999999999999</v>
      </c>
      <c r="AU2" s="84">
        <v>6.2079999999999993</v>
      </c>
      <c r="AV2" s="84">
        <v>3.36</v>
      </c>
      <c r="AW2" s="84">
        <v>9.6480000000000015</v>
      </c>
      <c r="AX2" s="84">
        <v>15.907999999999999</v>
      </c>
      <c r="AY2" s="84">
        <v>9.84</v>
      </c>
      <c r="AZ2" s="84">
        <v>21.975999999999999</v>
      </c>
      <c r="BA2" s="84">
        <v>0</v>
      </c>
      <c r="BB2" s="84">
        <v>0</v>
      </c>
      <c r="BC2" s="84">
        <v>0</v>
      </c>
      <c r="BD2" s="84">
        <v>15.907999999999999</v>
      </c>
      <c r="BE2" s="84">
        <v>9.84</v>
      </c>
      <c r="BF2" s="84">
        <v>21.975999999999999</v>
      </c>
      <c r="BG2" s="84">
        <v>0</v>
      </c>
      <c r="BH2" s="84">
        <v>0</v>
      </c>
      <c r="BI2" s="84">
        <v>0</v>
      </c>
      <c r="BJ2" s="84">
        <v>8.3419999999999987</v>
      </c>
      <c r="BK2" s="84">
        <v>5.16</v>
      </c>
      <c r="BL2" s="84">
        <v>11.523999999999999</v>
      </c>
      <c r="BM2" s="84">
        <v>0</v>
      </c>
      <c r="BN2" s="84">
        <v>0</v>
      </c>
      <c r="BO2" s="84">
        <v>0.53600000000000003</v>
      </c>
      <c r="BP2" s="84"/>
      <c r="BQ2" s="84"/>
      <c r="BR2" s="84"/>
      <c r="BS2" s="84"/>
      <c r="BT2" s="85">
        <f>Tabelle58971121[[#This Row],[Mindestauslastung durch]]*Tabelle58971121[[#This Row],[installierte Leistung MW durch]]</f>
        <v>0</v>
      </c>
      <c r="BU2" s="85">
        <f>Tabelle58971121[[#This Row],[Mindestauslastung min]]*Tabelle58971121[[#This Row],[installierte Leistung MW min]]</f>
        <v>0</v>
      </c>
      <c r="BV2" s="85">
        <f>Tabelle58971121[[#This Row],[Mindestauslastung max]]*Tabelle58971121[[#This Row],[installierte Leistung MW max]]</f>
        <v>0</v>
      </c>
      <c r="BW2" s="86">
        <v>0</v>
      </c>
      <c r="BX2" s="86">
        <v>0</v>
      </c>
      <c r="BY2" s="86">
        <v>0</v>
      </c>
      <c r="BZ2" s="86"/>
      <c r="CA2" s="86">
        <v>0</v>
      </c>
      <c r="CB2" s="86">
        <v>0</v>
      </c>
      <c r="CC2" s="86">
        <v>0</v>
      </c>
      <c r="CD2" s="86">
        <v>0</v>
      </c>
      <c r="CE2" s="86">
        <v>0</v>
      </c>
      <c r="CF2" s="86">
        <v>0</v>
      </c>
      <c r="CG2" s="86">
        <v>0</v>
      </c>
      <c r="CH2" s="86">
        <v>0</v>
      </c>
      <c r="CI2" s="86">
        <v>0</v>
      </c>
      <c r="CJ2" s="86">
        <v>0.16</v>
      </c>
      <c r="CK2" s="86">
        <v>0.16</v>
      </c>
      <c r="CL2" s="86">
        <v>0.16</v>
      </c>
      <c r="CM2" s="86">
        <v>0.16</v>
      </c>
      <c r="CN2" s="86">
        <v>0.16</v>
      </c>
      <c r="CO2" s="86">
        <v>0.16</v>
      </c>
      <c r="CP2" s="86">
        <v>0.09</v>
      </c>
      <c r="CQ2" s="86">
        <v>0.09</v>
      </c>
      <c r="CR2" s="86">
        <v>0.09</v>
      </c>
      <c r="CS2" s="86">
        <v>0.82</v>
      </c>
      <c r="CT2" s="86">
        <v>0.82</v>
      </c>
      <c r="CU2" s="86">
        <v>0.82</v>
      </c>
      <c r="CV2" s="86">
        <v>0.82</v>
      </c>
      <c r="CW2" s="86">
        <v>0.82</v>
      </c>
      <c r="CX2" s="86">
        <v>0.82</v>
      </c>
      <c r="CY2" s="86">
        <v>0.43</v>
      </c>
      <c r="CZ2" s="86">
        <v>0.43</v>
      </c>
      <c r="DA2" s="86">
        <v>0.43</v>
      </c>
      <c r="DB2" s="86"/>
      <c r="DC2" s="86"/>
      <c r="DD2" s="86"/>
      <c r="DE2" s="87">
        <f>Tabelle58971121[[#This Row],[Durchschnittsauslastung min]]*Tabelle58971121[[#This Row],[installierte Leistung MW min]]</f>
        <v>0</v>
      </c>
      <c r="DF2" s="87">
        <f>Tabelle58971121[[#This Row],[Durchschnittsauslastung durch]]*Tabelle58971121[[#This Row],[installierte Leistung MW durch]]</f>
        <v>0</v>
      </c>
      <c r="DG2" s="87">
        <f>Tabelle58971121[[#This Row],[Durchschnittsauslastung max]]*Tabelle58971121[[#This Row],[installierte Leistung MW max]]</f>
        <v>0</v>
      </c>
      <c r="DH2" s="87">
        <f>Tabelle58971121[[#This Row],[Maximalauslastung durch]]*Tabelle58971121[[#This Row],[installierte Leistung MW min]]</f>
        <v>4.92</v>
      </c>
      <c r="DI2" s="87">
        <f>Tabelle58971121[[#This Row],[Maximalauslastung durch]]*Tabelle58971121[[#This Row],[installierte Leistung MW durch]]</f>
        <v>7.9539999999999988</v>
      </c>
      <c r="DJ2" s="84">
        <f>Tabelle58971121[[#This Row],[Maximalauslastung max]]*Tabelle58971121[[#This Row],[installierte Leistung MW durch]]</f>
        <v>8.73</v>
      </c>
      <c r="DK2" s="86">
        <v>0.41</v>
      </c>
      <c r="DL2" s="86">
        <v>0.37</v>
      </c>
      <c r="DM2" s="86">
        <v>0.45</v>
      </c>
      <c r="DN2" s="83">
        <v>19.399999999999999</v>
      </c>
      <c r="DO2" s="83">
        <v>12</v>
      </c>
      <c r="DP2" s="83">
        <v>26.8</v>
      </c>
      <c r="DQ2" s="84"/>
      <c r="DR2" s="84"/>
      <c r="DW2" s="83">
        <v>2</v>
      </c>
      <c r="DX2" s="83">
        <v>1.6</v>
      </c>
      <c r="DY2" s="83">
        <v>2.4</v>
      </c>
      <c r="DZ2" s="83">
        <v>2</v>
      </c>
      <c r="EA2" s="83">
        <v>1.6</v>
      </c>
      <c r="EB2" s="83">
        <v>2.4</v>
      </c>
      <c r="EC2" s="83">
        <v>24</v>
      </c>
      <c r="EF2" s="83">
        <v>2.6</v>
      </c>
      <c r="EG2" s="83">
        <v>1.8</v>
      </c>
      <c r="EH2" s="83">
        <v>3.4</v>
      </c>
      <c r="EL2" s="83">
        <v>243</v>
      </c>
      <c r="EM2" s="83">
        <v>219</v>
      </c>
      <c r="EN2" s="83">
        <v>267</v>
      </c>
      <c r="EO2" s="85"/>
      <c r="EP2" s="85"/>
      <c r="EQ2" s="85"/>
      <c r="ER2" s="83">
        <v>243</v>
      </c>
      <c r="ES2" s="83">
        <v>219</v>
      </c>
      <c r="ET2" s="83">
        <v>267</v>
      </c>
      <c r="EV2" s="84"/>
      <c r="EW2" s="84"/>
      <c r="EX2" s="84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 t="s">
        <v>1046</v>
      </c>
      <c r="FK2" s="88" t="s">
        <v>1046</v>
      </c>
      <c r="FL2" s="88" t="s">
        <v>1046</v>
      </c>
      <c r="FO2" s="83">
        <v>67</v>
      </c>
      <c r="FP2" s="83">
        <v>67</v>
      </c>
      <c r="FQ2" s="83">
        <v>67</v>
      </c>
      <c r="FR2" s="89" t="s">
        <v>743</v>
      </c>
      <c r="FS2" s="89" t="s">
        <v>743</v>
      </c>
      <c r="FT2" s="89" t="s">
        <v>743</v>
      </c>
      <c r="FU2" s="89"/>
      <c r="FV2" s="89" t="s">
        <v>743</v>
      </c>
      <c r="FW2" s="89" t="s">
        <v>743</v>
      </c>
      <c r="FX2" s="89" t="s">
        <v>743</v>
      </c>
      <c r="FY2" s="89" t="s">
        <v>743</v>
      </c>
      <c r="FZ2" s="89" t="s">
        <v>743</v>
      </c>
      <c r="GA2" s="89" t="s">
        <v>743</v>
      </c>
      <c r="GB2" s="89" t="s">
        <v>743</v>
      </c>
      <c r="GE2" s="89" t="s">
        <v>743</v>
      </c>
      <c r="GF2" s="89" t="s">
        <v>743</v>
      </c>
      <c r="GH2" s="89" t="s">
        <v>743</v>
      </c>
    </row>
    <row r="3" spans="1:193" ht="12.75" customHeight="1" x14ac:dyDescent="0.2">
      <c r="A3" s="1" t="s">
        <v>535</v>
      </c>
      <c r="B3" s="1" t="s">
        <v>535</v>
      </c>
      <c r="E3" s="1" t="s">
        <v>130</v>
      </c>
      <c r="F3" s="1">
        <v>2</v>
      </c>
      <c r="G3" s="1">
        <v>2020</v>
      </c>
      <c r="H3" s="1">
        <v>1</v>
      </c>
      <c r="I3" s="1">
        <v>0</v>
      </c>
      <c r="J3" s="1">
        <v>0</v>
      </c>
      <c r="K3" s="18"/>
      <c r="L3" s="18"/>
      <c r="M3" s="18"/>
      <c r="N3" s="18">
        <v>0</v>
      </c>
      <c r="O3" s="18">
        <v>0</v>
      </c>
      <c r="P3" s="18">
        <v>0</v>
      </c>
      <c r="Q3" s="18">
        <v>7.9539999999999997</v>
      </c>
      <c r="R3" s="18">
        <v>4.4400000000000004</v>
      </c>
      <c r="S3" s="18">
        <v>12.06</v>
      </c>
      <c r="T3" s="18">
        <v>0</v>
      </c>
      <c r="U3" s="18">
        <v>0</v>
      </c>
      <c r="V3" s="18">
        <v>0</v>
      </c>
      <c r="W3" s="18">
        <v>7.9539999999999997</v>
      </c>
      <c r="X3" s="18">
        <v>4.4400000000000004</v>
      </c>
      <c r="Y3" s="18">
        <v>12.06</v>
      </c>
      <c r="Z3" s="18">
        <v>0</v>
      </c>
      <c r="AA3" s="18">
        <v>0</v>
      </c>
      <c r="AB3" s="18">
        <v>0</v>
      </c>
      <c r="AC3" s="18">
        <v>7.9539999999999997</v>
      </c>
      <c r="AD3" s="18">
        <v>4.4400000000000004</v>
      </c>
      <c r="AE3" s="18">
        <v>12.06</v>
      </c>
      <c r="AF3" s="18">
        <v>3.1040000000000001</v>
      </c>
      <c r="AG3" s="18">
        <v>1.92</v>
      </c>
      <c r="AH3" s="18">
        <v>4.2880000000000003</v>
      </c>
      <c r="AI3" s="18">
        <v>4.8499999999999996</v>
      </c>
      <c r="AJ3" s="18">
        <v>2.52</v>
      </c>
      <c r="AK3" s="18">
        <v>7.7720000000000002</v>
      </c>
      <c r="AL3" s="18">
        <v>3.1040000000000001</v>
      </c>
      <c r="AM3" s="18">
        <v>1.92</v>
      </c>
      <c r="AN3" s="18">
        <v>4.2880000000000003</v>
      </c>
      <c r="AO3" s="18">
        <v>4.8499999999999996</v>
      </c>
      <c r="AP3" s="18">
        <v>2.52</v>
      </c>
      <c r="AQ3" s="18">
        <v>7.7720000000000002</v>
      </c>
      <c r="AR3" s="18">
        <v>1.746</v>
      </c>
      <c r="AS3" s="18">
        <v>1.08</v>
      </c>
      <c r="AT3" s="18">
        <v>2.4119999999999999</v>
      </c>
      <c r="AU3" s="18">
        <v>6.2079999999999993</v>
      </c>
      <c r="AV3" s="18">
        <v>3.36</v>
      </c>
      <c r="AW3" s="18">
        <v>9.6480000000000015</v>
      </c>
      <c r="AX3" s="18">
        <v>15.907999999999999</v>
      </c>
      <c r="AY3" s="18">
        <v>9.84</v>
      </c>
      <c r="AZ3" s="18">
        <v>21.975999999999999</v>
      </c>
      <c r="BA3" s="18">
        <v>0</v>
      </c>
      <c r="BB3" s="18">
        <v>0</v>
      </c>
      <c r="BC3" s="18">
        <v>0</v>
      </c>
      <c r="BD3" s="18">
        <v>15.907999999999999</v>
      </c>
      <c r="BE3" s="18">
        <v>9.84</v>
      </c>
      <c r="BF3" s="18">
        <v>21.975999999999999</v>
      </c>
      <c r="BG3" s="18">
        <v>0</v>
      </c>
      <c r="BH3" s="18">
        <v>0</v>
      </c>
      <c r="BI3" s="18">
        <v>0</v>
      </c>
      <c r="BJ3" s="18">
        <v>8.3419999999999987</v>
      </c>
      <c r="BK3" s="18">
        <v>5.16</v>
      </c>
      <c r="BL3" s="18">
        <v>11.523999999999999</v>
      </c>
      <c r="BM3" s="18">
        <v>0</v>
      </c>
      <c r="BN3" s="18">
        <v>0</v>
      </c>
      <c r="BO3" s="18">
        <v>0.53600000000000003</v>
      </c>
      <c r="BP3" s="18"/>
      <c r="BQ3" s="18"/>
      <c r="BR3" s="18"/>
      <c r="BS3" s="18"/>
      <c r="BT3" s="10">
        <f>Tabelle58971121[[#This Row],[Mindestauslastung durch]]*Tabelle58971121[[#This Row],[installierte Leistung MW durch]]</f>
        <v>0</v>
      </c>
      <c r="BU3" s="10">
        <f>Tabelle58971121[[#This Row],[Mindestauslastung min]]*Tabelle58971121[[#This Row],[installierte Leistung MW min]]</f>
        <v>0</v>
      </c>
      <c r="BV3" s="10">
        <f>Tabelle58971121[[#This Row],[Mindestauslastung max]]*Tabelle58971121[[#This Row],[installierte Leistung MW max]]</f>
        <v>0</v>
      </c>
      <c r="BW3" s="8">
        <v>0</v>
      </c>
      <c r="BX3" s="8">
        <v>0</v>
      </c>
      <c r="BY3" s="8">
        <v>0</v>
      </c>
      <c r="BZ3" s="8"/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0.16</v>
      </c>
      <c r="CK3" s="8">
        <v>0.16</v>
      </c>
      <c r="CL3" s="8">
        <v>0.16</v>
      </c>
      <c r="CM3" s="8">
        <v>0.16</v>
      </c>
      <c r="CN3" s="8">
        <v>0.16</v>
      </c>
      <c r="CO3" s="8">
        <v>0.16</v>
      </c>
      <c r="CP3" s="8">
        <v>0.09</v>
      </c>
      <c r="CQ3" s="8">
        <v>0.09</v>
      </c>
      <c r="CR3" s="8">
        <v>0.09</v>
      </c>
      <c r="CS3" s="8">
        <v>0.82</v>
      </c>
      <c r="CT3" s="8">
        <v>0.82</v>
      </c>
      <c r="CU3" s="8">
        <v>0.82</v>
      </c>
      <c r="CV3" s="8">
        <v>0.82</v>
      </c>
      <c r="CW3" s="8">
        <v>0.82</v>
      </c>
      <c r="CX3" s="8">
        <v>0.82</v>
      </c>
      <c r="CY3" s="8">
        <v>0.43</v>
      </c>
      <c r="CZ3" s="8">
        <v>0.43</v>
      </c>
      <c r="DA3" s="8">
        <v>0.43</v>
      </c>
      <c r="DB3" s="8"/>
      <c r="DC3" s="8"/>
      <c r="DD3" s="8"/>
      <c r="DE3" s="48">
        <f>Tabelle58971121[[#This Row],[Durchschnittsauslastung min]]*Tabelle58971121[[#This Row],[installierte Leistung MW min]]</f>
        <v>0</v>
      </c>
      <c r="DF3" s="48">
        <f>Tabelle58971121[[#This Row],[Durchschnittsauslastung durch]]*Tabelle58971121[[#This Row],[installierte Leistung MW durch]]</f>
        <v>0</v>
      </c>
      <c r="DG3" s="48">
        <f>Tabelle58971121[[#This Row],[Durchschnittsauslastung max]]*Tabelle58971121[[#This Row],[installierte Leistung MW max]]</f>
        <v>0</v>
      </c>
      <c r="DH3" s="87">
        <f>Tabelle58971121[[#This Row],[Maximalauslastung durch]]*Tabelle58971121[[#This Row],[installierte Leistung MW min]]</f>
        <v>4.92</v>
      </c>
      <c r="DI3" s="48">
        <f>Tabelle58971121[[#This Row],[Maximalauslastung durch]]*Tabelle58971121[[#This Row],[installierte Leistung MW durch]]</f>
        <v>7.9539999999999988</v>
      </c>
      <c r="DJ3" s="18">
        <f>Tabelle58971121[[#This Row],[Maximalauslastung max]]*Tabelle58971121[[#This Row],[installierte Leistung MW durch]]</f>
        <v>8.73</v>
      </c>
      <c r="DK3" s="8">
        <v>0.41</v>
      </c>
      <c r="DL3" s="8">
        <v>0.37</v>
      </c>
      <c r="DM3" s="8">
        <v>0.45</v>
      </c>
      <c r="DN3" s="1">
        <v>19.399999999999999</v>
      </c>
      <c r="DO3" s="1">
        <v>12</v>
      </c>
      <c r="DP3" s="1">
        <v>26.8</v>
      </c>
      <c r="DQ3" s="18"/>
      <c r="DR3" s="18"/>
      <c r="DW3" s="1">
        <v>2</v>
      </c>
      <c r="DX3" s="1">
        <v>1.6</v>
      </c>
      <c r="DY3" s="1">
        <v>2.4</v>
      </c>
      <c r="DZ3" s="1">
        <v>2</v>
      </c>
      <c r="EA3" s="1">
        <v>1.6</v>
      </c>
      <c r="EB3" s="1">
        <v>2.4</v>
      </c>
      <c r="EC3" s="1">
        <v>24</v>
      </c>
      <c r="EF3" s="1">
        <v>2.6</v>
      </c>
      <c r="EG3" s="1">
        <v>1.8</v>
      </c>
      <c r="EH3" s="1">
        <v>3.4</v>
      </c>
      <c r="EL3" s="1">
        <v>243</v>
      </c>
      <c r="EM3" s="1">
        <v>219</v>
      </c>
      <c r="EN3" s="1">
        <v>267</v>
      </c>
      <c r="EO3" s="10"/>
      <c r="EP3" s="10"/>
      <c r="EQ3" s="10"/>
      <c r="ER3" s="1">
        <v>243</v>
      </c>
      <c r="ES3" s="1">
        <v>219</v>
      </c>
      <c r="ET3" s="1">
        <v>267</v>
      </c>
      <c r="EV3" s="18"/>
      <c r="EW3" s="18"/>
      <c r="EX3" s="18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 t="s">
        <v>1046</v>
      </c>
      <c r="FK3" s="7" t="s">
        <v>1046</v>
      </c>
      <c r="FL3" s="7" t="s">
        <v>1046</v>
      </c>
      <c r="FO3" s="1">
        <v>67</v>
      </c>
      <c r="FP3" s="1">
        <v>67</v>
      </c>
      <c r="FQ3" s="1">
        <v>67</v>
      </c>
      <c r="FR3" s="12" t="s">
        <v>743</v>
      </c>
      <c r="FS3" s="12" t="s">
        <v>743</v>
      </c>
      <c r="FT3" s="12" t="s">
        <v>743</v>
      </c>
      <c r="FU3" s="12"/>
      <c r="FV3" s="12" t="s">
        <v>743</v>
      </c>
      <c r="FW3" s="12" t="s">
        <v>743</v>
      </c>
      <c r="FX3" s="12" t="s">
        <v>743</v>
      </c>
      <c r="FY3" s="12" t="s">
        <v>743</v>
      </c>
      <c r="FZ3" s="12" t="s">
        <v>743</v>
      </c>
      <c r="GA3" s="12" t="s">
        <v>743</v>
      </c>
      <c r="GB3" s="12" t="s">
        <v>743</v>
      </c>
      <c r="GE3" s="12" t="s">
        <v>743</v>
      </c>
      <c r="GF3" s="12" t="s">
        <v>743</v>
      </c>
      <c r="GH3" s="12" t="s">
        <v>743</v>
      </c>
    </row>
    <row r="4" spans="1:193" ht="12.75" customHeight="1" x14ac:dyDescent="0.2">
      <c r="A4" s="1" t="s">
        <v>535</v>
      </c>
      <c r="B4" s="1" t="s">
        <v>535</v>
      </c>
      <c r="E4" s="1" t="s">
        <v>130</v>
      </c>
      <c r="F4" s="1">
        <v>2</v>
      </c>
      <c r="G4" s="1">
        <v>2025</v>
      </c>
      <c r="H4" s="1">
        <v>1</v>
      </c>
      <c r="I4" s="1">
        <v>0</v>
      </c>
      <c r="J4" s="1">
        <v>0</v>
      </c>
      <c r="K4" s="18"/>
      <c r="L4" s="18"/>
      <c r="M4" s="18"/>
      <c r="N4" s="18">
        <v>0</v>
      </c>
      <c r="O4" s="18">
        <v>0</v>
      </c>
      <c r="P4" s="18">
        <v>0</v>
      </c>
      <c r="Q4" s="18">
        <v>7.9539999999999997</v>
      </c>
      <c r="R4" s="18">
        <v>4.4400000000000004</v>
      </c>
      <c r="S4" s="18">
        <v>12.06</v>
      </c>
      <c r="T4" s="18">
        <v>0</v>
      </c>
      <c r="U4" s="18">
        <v>0</v>
      </c>
      <c r="V4" s="18">
        <v>0</v>
      </c>
      <c r="W4" s="18">
        <v>7.9539999999999997</v>
      </c>
      <c r="X4" s="18">
        <v>4.4400000000000004</v>
      </c>
      <c r="Y4" s="18">
        <v>12.06</v>
      </c>
      <c r="Z4" s="18">
        <v>0</v>
      </c>
      <c r="AA4" s="18">
        <v>0</v>
      </c>
      <c r="AB4" s="18">
        <v>0</v>
      </c>
      <c r="AC4" s="18">
        <v>7.9539999999999997</v>
      </c>
      <c r="AD4" s="18">
        <v>4.4400000000000004</v>
      </c>
      <c r="AE4" s="18">
        <v>12.06</v>
      </c>
      <c r="AF4" s="18">
        <v>3.1040000000000001</v>
      </c>
      <c r="AG4" s="18">
        <v>1.92</v>
      </c>
      <c r="AH4" s="18">
        <v>4.2880000000000003</v>
      </c>
      <c r="AI4" s="18">
        <v>4.8499999999999996</v>
      </c>
      <c r="AJ4" s="18">
        <v>2.52</v>
      </c>
      <c r="AK4" s="18">
        <v>7.7720000000000002</v>
      </c>
      <c r="AL4" s="18">
        <v>3.1040000000000001</v>
      </c>
      <c r="AM4" s="18">
        <v>1.92</v>
      </c>
      <c r="AN4" s="18">
        <v>4.2880000000000003</v>
      </c>
      <c r="AO4" s="18">
        <v>4.8499999999999996</v>
      </c>
      <c r="AP4" s="18">
        <v>2.52</v>
      </c>
      <c r="AQ4" s="18">
        <v>7.7720000000000002</v>
      </c>
      <c r="AR4" s="18">
        <v>1.746</v>
      </c>
      <c r="AS4" s="18">
        <v>1.08</v>
      </c>
      <c r="AT4" s="18">
        <v>2.4119999999999999</v>
      </c>
      <c r="AU4" s="18">
        <v>6.2079999999999993</v>
      </c>
      <c r="AV4" s="18">
        <v>3.36</v>
      </c>
      <c r="AW4" s="18">
        <v>9.6480000000000015</v>
      </c>
      <c r="AX4" s="18">
        <v>15.907999999999999</v>
      </c>
      <c r="AY4" s="18">
        <v>9.84</v>
      </c>
      <c r="AZ4" s="18">
        <v>21.975999999999999</v>
      </c>
      <c r="BA4" s="18">
        <v>0</v>
      </c>
      <c r="BB4" s="18">
        <v>0</v>
      </c>
      <c r="BC4" s="18">
        <v>0</v>
      </c>
      <c r="BD4" s="18">
        <v>15.907999999999999</v>
      </c>
      <c r="BE4" s="18">
        <v>9.84</v>
      </c>
      <c r="BF4" s="18">
        <v>21.975999999999999</v>
      </c>
      <c r="BG4" s="18">
        <v>0</v>
      </c>
      <c r="BH4" s="18">
        <v>0</v>
      </c>
      <c r="BI4" s="18">
        <v>0</v>
      </c>
      <c r="BJ4" s="18">
        <v>8.3419999999999987</v>
      </c>
      <c r="BK4" s="18">
        <v>5.16</v>
      </c>
      <c r="BL4" s="18">
        <v>11.523999999999999</v>
      </c>
      <c r="BM4" s="18">
        <v>0</v>
      </c>
      <c r="BN4" s="18">
        <v>0</v>
      </c>
      <c r="BO4" s="18">
        <v>0.53600000000000003</v>
      </c>
      <c r="BP4" s="18"/>
      <c r="BQ4" s="18"/>
      <c r="BR4" s="18"/>
      <c r="BS4" s="18"/>
      <c r="BT4" s="10">
        <f>Tabelle58971121[[#This Row],[Mindestauslastung durch]]*Tabelle58971121[[#This Row],[installierte Leistung MW durch]]</f>
        <v>0</v>
      </c>
      <c r="BU4" s="10">
        <f>Tabelle58971121[[#This Row],[Mindestauslastung min]]*Tabelle58971121[[#This Row],[installierte Leistung MW min]]</f>
        <v>0</v>
      </c>
      <c r="BV4" s="10">
        <f>Tabelle58971121[[#This Row],[Mindestauslastung max]]*Tabelle58971121[[#This Row],[installierte Leistung MW max]]</f>
        <v>0</v>
      </c>
      <c r="BW4" s="8">
        <v>0</v>
      </c>
      <c r="BX4" s="8">
        <v>0</v>
      </c>
      <c r="BY4" s="8">
        <v>0</v>
      </c>
      <c r="BZ4" s="8"/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0.16</v>
      </c>
      <c r="CK4" s="8">
        <v>0.16</v>
      </c>
      <c r="CL4" s="8">
        <v>0.16</v>
      </c>
      <c r="CM4" s="8">
        <v>0.16</v>
      </c>
      <c r="CN4" s="8">
        <v>0.16</v>
      </c>
      <c r="CO4" s="8">
        <v>0.16</v>
      </c>
      <c r="CP4" s="8">
        <v>0.09</v>
      </c>
      <c r="CQ4" s="8">
        <v>0.09</v>
      </c>
      <c r="CR4" s="8">
        <v>0.09</v>
      </c>
      <c r="CS4" s="8">
        <v>0.82</v>
      </c>
      <c r="CT4" s="8">
        <v>0.82</v>
      </c>
      <c r="CU4" s="8">
        <v>0.82</v>
      </c>
      <c r="CV4" s="8">
        <v>0.82</v>
      </c>
      <c r="CW4" s="8">
        <v>0.82</v>
      </c>
      <c r="CX4" s="8">
        <v>0.82</v>
      </c>
      <c r="CY4" s="8">
        <v>0.43</v>
      </c>
      <c r="CZ4" s="8">
        <v>0.43</v>
      </c>
      <c r="DA4" s="8">
        <v>0.43</v>
      </c>
      <c r="DB4" s="8"/>
      <c r="DC4" s="8"/>
      <c r="DD4" s="8"/>
      <c r="DE4" s="48">
        <f>Tabelle58971121[[#This Row],[Durchschnittsauslastung min]]*Tabelle58971121[[#This Row],[installierte Leistung MW min]]</f>
        <v>0</v>
      </c>
      <c r="DF4" s="48">
        <f>Tabelle58971121[[#This Row],[Durchschnittsauslastung durch]]*Tabelle58971121[[#This Row],[installierte Leistung MW durch]]</f>
        <v>0</v>
      </c>
      <c r="DG4" s="48">
        <f>Tabelle58971121[[#This Row],[Durchschnittsauslastung max]]*Tabelle58971121[[#This Row],[installierte Leistung MW max]]</f>
        <v>0</v>
      </c>
      <c r="DH4" s="87">
        <f>Tabelle58971121[[#This Row],[Maximalauslastung durch]]*Tabelle58971121[[#This Row],[installierte Leistung MW min]]</f>
        <v>4.92</v>
      </c>
      <c r="DI4" s="48">
        <f>Tabelle58971121[[#This Row],[Maximalauslastung durch]]*Tabelle58971121[[#This Row],[installierte Leistung MW durch]]</f>
        <v>7.9539999999999988</v>
      </c>
      <c r="DJ4" s="18">
        <f>Tabelle58971121[[#This Row],[Maximalauslastung max]]*Tabelle58971121[[#This Row],[installierte Leistung MW durch]]</f>
        <v>8.73</v>
      </c>
      <c r="DK4" s="8">
        <v>0.41</v>
      </c>
      <c r="DL4" s="8">
        <v>0.37</v>
      </c>
      <c r="DM4" s="8">
        <v>0.45</v>
      </c>
      <c r="DN4" s="1">
        <v>19.399999999999999</v>
      </c>
      <c r="DO4" s="1">
        <v>12</v>
      </c>
      <c r="DP4" s="1">
        <v>26.8</v>
      </c>
      <c r="DQ4" s="18"/>
      <c r="DR4" s="18"/>
      <c r="DW4" s="1">
        <v>2</v>
      </c>
      <c r="DX4" s="1">
        <v>1.6</v>
      </c>
      <c r="DY4" s="1">
        <v>2.4</v>
      </c>
      <c r="DZ4" s="1">
        <v>2</v>
      </c>
      <c r="EA4" s="1">
        <v>1.6</v>
      </c>
      <c r="EB4" s="1">
        <v>2.4</v>
      </c>
      <c r="EC4" s="1">
        <v>24</v>
      </c>
      <c r="EF4" s="1">
        <v>2.6</v>
      </c>
      <c r="EG4" s="1">
        <v>1.8</v>
      </c>
      <c r="EH4" s="1">
        <v>3.4</v>
      </c>
      <c r="EL4" s="1">
        <v>243</v>
      </c>
      <c r="EM4" s="1">
        <v>219</v>
      </c>
      <c r="EN4" s="1">
        <v>267</v>
      </c>
      <c r="EO4" s="10"/>
      <c r="EP4" s="10"/>
      <c r="EQ4" s="10"/>
      <c r="ER4" s="1">
        <v>243</v>
      </c>
      <c r="ES4" s="1">
        <v>219</v>
      </c>
      <c r="ET4" s="1">
        <v>267</v>
      </c>
      <c r="EV4" s="18"/>
      <c r="EW4" s="18"/>
      <c r="EX4" s="18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 t="s">
        <v>1046</v>
      </c>
      <c r="FK4" s="7" t="s">
        <v>1046</v>
      </c>
      <c r="FL4" s="7" t="s">
        <v>1046</v>
      </c>
      <c r="FO4" s="1">
        <v>67</v>
      </c>
      <c r="FP4" s="1">
        <v>67</v>
      </c>
      <c r="FQ4" s="1">
        <v>67</v>
      </c>
      <c r="FR4" s="12" t="s">
        <v>743</v>
      </c>
      <c r="FS4" s="12" t="s">
        <v>743</v>
      </c>
      <c r="FT4" s="12" t="s">
        <v>743</v>
      </c>
      <c r="FU4" s="12"/>
      <c r="FV4" s="12" t="s">
        <v>743</v>
      </c>
      <c r="FW4" s="12" t="s">
        <v>743</v>
      </c>
      <c r="FX4" s="12" t="s">
        <v>743</v>
      </c>
      <c r="FY4" s="12" t="s">
        <v>743</v>
      </c>
      <c r="FZ4" s="12" t="s">
        <v>743</v>
      </c>
      <c r="GA4" s="12" t="s">
        <v>743</v>
      </c>
      <c r="GB4" s="12" t="s">
        <v>743</v>
      </c>
      <c r="GE4" s="12" t="s">
        <v>743</v>
      </c>
      <c r="GF4" s="12" t="s">
        <v>743</v>
      </c>
      <c r="GH4" s="12" t="s">
        <v>743</v>
      </c>
    </row>
    <row r="5" spans="1:193" ht="12.75" customHeight="1" x14ac:dyDescent="0.2">
      <c r="A5" s="1" t="s">
        <v>535</v>
      </c>
      <c r="B5" s="1" t="s">
        <v>535</v>
      </c>
      <c r="E5" s="1" t="s">
        <v>130</v>
      </c>
      <c r="F5" s="1">
        <v>2</v>
      </c>
      <c r="G5" s="1">
        <v>2030</v>
      </c>
      <c r="H5" s="1">
        <v>1</v>
      </c>
      <c r="I5" s="1">
        <v>0</v>
      </c>
      <c r="J5" s="1">
        <v>0</v>
      </c>
      <c r="K5" s="18"/>
      <c r="L5" s="18"/>
      <c r="M5" s="18"/>
      <c r="N5" s="18">
        <v>0</v>
      </c>
      <c r="O5" s="18">
        <v>0</v>
      </c>
      <c r="P5" s="18">
        <v>0</v>
      </c>
      <c r="Q5" s="18">
        <v>7.9539999999999997</v>
      </c>
      <c r="R5" s="18">
        <v>4.4400000000000004</v>
      </c>
      <c r="S5" s="18">
        <v>12.06</v>
      </c>
      <c r="T5" s="18">
        <v>0</v>
      </c>
      <c r="U5" s="18">
        <v>0</v>
      </c>
      <c r="V5" s="18">
        <v>0</v>
      </c>
      <c r="W5" s="18">
        <v>7.9539999999999997</v>
      </c>
      <c r="X5" s="18">
        <v>4.4400000000000004</v>
      </c>
      <c r="Y5" s="18">
        <v>12.06</v>
      </c>
      <c r="Z5" s="18">
        <v>0</v>
      </c>
      <c r="AA5" s="18">
        <v>0</v>
      </c>
      <c r="AB5" s="18">
        <v>0</v>
      </c>
      <c r="AC5" s="18">
        <v>7.9539999999999997</v>
      </c>
      <c r="AD5" s="18">
        <v>4.4400000000000004</v>
      </c>
      <c r="AE5" s="18">
        <v>12.06</v>
      </c>
      <c r="AF5" s="18">
        <v>3.1040000000000001</v>
      </c>
      <c r="AG5" s="18">
        <v>1.92</v>
      </c>
      <c r="AH5" s="18">
        <v>4.2880000000000003</v>
      </c>
      <c r="AI5" s="18">
        <v>4.8499999999999996</v>
      </c>
      <c r="AJ5" s="18">
        <v>2.52</v>
      </c>
      <c r="AK5" s="18">
        <v>7.7720000000000002</v>
      </c>
      <c r="AL5" s="18">
        <v>3.1040000000000001</v>
      </c>
      <c r="AM5" s="18">
        <v>1.92</v>
      </c>
      <c r="AN5" s="18">
        <v>4.2880000000000003</v>
      </c>
      <c r="AO5" s="18">
        <v>4.8499999999999996</v>
      </c>
      <c r="AP5" s="18">
        <v>2.52</v>
      </c>
      <c r="AQ5" s="18">
        <v>7.7720000000000002</v>
      </c>
      <c r="AR5" s="18">
        <v>1.746</v>
      </c>
      <c r="AS5" s="18">
        <v>1.08</v>
      </c>
      <c r="AT5" s="18">
        <v>2.4119999999999999</v>
      </c>
      <c r="AU5" s="18">
        <v>6.2079999999999993</v>
      </c>
      <c r="AV5" s="18">
        <v>3.36</v>
      </c>
      <c r="AW5" s="18">
        <v>9.6480000000000015</v>
      </c>
      <c r="AX5" s="18">
        <v>15.907999999999999</v>
      </c>
      <c r="AY5" s="18">
        <v>9.84</v>
      </c>
      <c r="AZ5" s="18">
        <v>21.975999999999999</v>
      </c>
      <c r="BA5" s="18">
        <v>0</v>
      </c>
      <c r="BB5" s="18">
        <v>0</v>
      </c>
      <c r="BC5" s="18">
        <v>0</v>
      </c>
      <c r="BD5" s="18">
        <v>15.907999999999999</v>
      </c>
      <c r="BE5" s="18">
        <v>9.84</v>
      </c>
      <c r="BF5" s="18">
        <v>21.975999999999999</v>
      </c>
      <c r="BG5" s="18">
        <v>0</v>
      </c>
      <c r="BH5" s="18">
        <v>0</v>
      </c>
      <c r="BI5" s="18">
        <v>0</v>
      </c>
      <c r="BJ5" s="18">
        <v>8.3419999999999987</v>
      </c>
      <c r="BK5" s="18">
        <v>5.16</v>
      </c>
      <c r="BL5" s="18">
        <v>11.523999999999999</v>
      </c>
      <c r="BM5" s="18">
        <v>0</v>
      </c>
      <c r="BN5" s="18">
        <v>0</v>
      </c>
      <c r="BO5" s="18">
        <v>0.53600000000000003</v>
      </c>
      <c r="BP5" s="18"/>
      <c r="BQ5" s="18"/>
      <c r="BR5" s="18"/>
      <c r="BS5" s="18"/>
      <c r="BT5" s="10">
        <f>Tabelle58971121[[#This Row],[Mindestauslastung durch]]*Tabelle58971121[[#This Row],[installierte Leistung MW durch]]</f>
        <v>0</v>
      </c>
      <c r="BU5" s="10">
        <f>Tabelle58971121[[#This Row],[Mindestauslastung min]]*Tabelle58971121[[#This Row],[installierte Leistung MW min]]</f>
        <v>0</v>
      </c>
      <c r="BV5" s="10">
        <f>Tabelle58971121[[#This Row],[Mindestauslastung max]]*Tabelle58971121[[#This Row],[installierte Leistung MW max]]</f>
        <v>0</v>
      </c>
      <c r="BW5" s="8">
        <v>0</v>
      </c>
      <c r="BX5" s="8">
        <v>0</v>
      </c>
      <c r="BY5" s="8">
        <v>0</v>
      </c>
      <c r="BZ5" s="8"/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0.16</v>
      </c>
      <c r="CK5" s="8">
        <v>0.16</v>
      </c>
      <c r="CL5" s="8">
        <v>0.16</v>
      </c>
      <c r="CM5" s="8">
        <v>0.16</v>
      </c>
      <c r="CN5" s="8">
        <v>0.16</v>
      </c>
      <c r="CO5" s="8">
        <v>0.16</v>
      </c>
      <c r="CP5" s="8">
        <v>0.09</v>
      </c>
      <c r="CQ5" s="8">
        <v>0.09</v>
      </c>
      <c r="CR5" s="8">
        <v>0.09</v>
      </c>
      <c r="CS5" s="8">
        <v>0.82</v>
      </c>
      <c r="CT5" s="8">
        <v>0.82</v>
      </c>
      <c r="CU5" s="8">
        <v>0.82</v>
      </c>
      <c r="CV5" s="8">
        <v>0.82</v>
      </c>
      <c r="CW5" s="8">
        <v>0.82</v>
      </c>
      <c r="CX5" s="8">
        <v>0.82</v>
      </c>
      <c r="CY5" s="8">
        <v>0.43</v>
      </c>
      <c r="CZ5" s="8">
        <v>0.43</v>
      </c>
      <c r="DA5" s="8">
        <v>0.43</v>
      </c>
      <c r="DB5" s="8"/>
      <c r="DC5" s="8"/>
      <c r="DD5" s="8"/>
      <c r="DE5" s="48">
        <f>Tabelle58971121[[#This Row],[Durchschnittsauslastung min]]*Tabelle58971121[[#This Row],[installierte Leistung MW min]]</f>
        <v>0</v>
      </c>
      <c r="DF5" s="48">
        <f>Tabelle58971121[[#This Row],[Durchschnittsauslastung durch]]*Tabelle58971121[[#This Row],[installierte Leistung MW durch]]</f>
        <v>0</v>
      </c>
      <c r="DG5" s="48">
        <f>Tabelle58971121[[#This Row],[Durchschnittsauslastung max]]*Tabelle58971121[[#This Row],[installierte Leistung MW max]]</f>
        <v>0</v>
      </c>
      <c r="DH5" s="87">
        <f>Tabelle58971121[[#This Row],[Maximalauslastung durch]]*Tabelle58971121[[#This Row],[installierte Leistung MW min]]</f>
        <v>4.92</v>
      </c>
      <c r="DI5" s="48">
        <f>Tabelle58971121[[#This Row],[Maximalauslastung durch]]*Tabelle58971121[[#This Row],[installierte Leistung MW durch]]</f>
        <v>7.9539999999999988</v>
      </c>
      <c r="DJ5" s="18">
        <f>Tabelle58971121[[#This Row],[Maximalauslastung max]]*Tabelle58971121[[#This Row],[installierte Leistung MW durch]]</f>
        <v>8.73</v>
      </c>
      <c r="DK5" s="8">
        <v>0.41</v>
      </c>
      <c r="DL5" s="8">
        <v>0.37</v>
      </c>
      <c r="DM5" s="8">
        <v>0.45</v>
      </c>
      <c r="DN5" s="1">
        <v>19.399999999999999</v>
      </c>
      <c r="DO5" s="1">
        <v>12</v>
      </c>
      <c r="DP5" s="1">
        <v>26.8</v>
      </c>
      <c r="DQ5" s="18"/>
      <c r="DR5" s="18"/>
      <c r="DW5" s="1">
        <v>2</v>
      </c>
      <c r="DX5" s="1">
        <v>1.6</v>
      </c>
      <c r="DY5" s="1">
        <v>2.4</v>
      </c>
      <c r="DZ5" s="1">
        <v>2</v>
      </c>
      <c r="EA5" s="1">
        <v>1.6</v>
      </c>
      <c r="EB5" s="1">
        <v>2.4</v>
      </c>
      <c r="EC5" s="1">
        <v>24</v>
      </c>
      <c r="EF5" s="1">
        <v>2.6</v>
      </c>
      <c r="EG5" s="1">
        <v>1.8</v>
      </c>
      <c r="EH5" s="1">
        <v>3.4</v>
      </c>
      <c r="EL5" s="1">
        <v>243</v>
      </c>
      <c r="EM5" s="1">
        <v>219</v>
      </c>
      <c r="EN5" s="1">
        <v>267</v>
      </c>
      <c r="EO5" s="10"/>
      <c r="EP5" s="10"/>
      <c r="EQ5" s="10"/>
      <c r="ER5" s="1">
        <v>243</v>
      </c>
      <c r="ES5" s="1">
        <v>219</v>
      </c>
      <c r="ET5" s="1">
        <v>267</v>
      </c>
      <c r="EV5" s="18"/>
      <c r="EW5" s="18"/>
      <c r="EX5" s="18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 t="s">
        <v>1046</v>
      </c>
      <c r="FK5" s="7" t="s">
        <v>1046</v>
      </c>
      <c r="FL5" s="7" t="s">
        <v>1046</v>
      </c>
      <c r="FO5" s="1">
        <v>67</v>
      </c>
      <c r="FP5" s="1">
        <v>67</v>
      </c>
      <c r="FQ5" s="1">
        <v>67</v>
      </c>
      <c r="FR5" s="12" t="s">
        <v>743</v>
      </c>
      <c r="FS5" s="12" t="s">
        <v>743</v>
      </c>
      <c r="FT5" s="12" t="s">
        <v>743</v>
      </c>
      <c r="FU5" s="12"/>
      <c r="FV5" s="12" t="s">
        <v>743</v>
      </c>
      <c r="FW5" s="12" t="s">
        <v>743</v>
      </c>
      <c r="FX5" s="12" t="s">
        <v>743</v>
      </c>
      <c r="FY5" s="12" t="s">
        <v>743</v>
      </c>
      <c r="FZ5" s="12" t="s">
        <v>743</v>
      </c>
      <c r="GA5" s="12" t="s">
        <v>743</v>
      </c>
      <c r="GB5" s="12" t="s">
        <v>743</v>
      </c>
      <c r="GE5" s="12" t="s">
        <v>743</v>
      </c>
      <c r="GF5" s="12" t="s">
        <v>743</v>
      </c>
      <c r="GH5" s="12" t="s">
        <v>743</v>
      </c>
    </row>
    <row r="6" spans="1:193" ht="12.75" customHeight="1" x14ac:dyDescent="0.2">
      <c r="A6" s="1" t="s">
        <v>535</v>
      </c>
      <c r="B6" s="1" t="s">
        <v>535</v>
      </c>
      <c r="E6" s="1" t="s">
        <v>130</v>
      </c>
      <c r="F6" s="1">
        <v>2</v>
      </c>
      <c r="G6" s="1">
        <v>2035</v>
      </c>
      <c r="H6" s="1">
        <v>1</v>
      </c>
      <c r="I6" s="1">
        <v>0</v>
      </c>
      <c r="J6" s="1">
        <v>0</v>
      </c>
      <c r="K6" s="18"/>
      <c r="L6" s="18"/>
      <c r="M6" s="18"/>
      <c r="N6" s="18">
        <v>0</v>
      </c>
      <c r="O6" s="18">
        <v>0</v>
      </c>
      <c r="P6" s="18">
        <v>0</v>
      </c>
      <c r="Q6" s="18">
        <v>7.9539999999999997</v>
      </c>
      <c r="R6" s="18">
        <v>4.4400000000000004</v>
      </c>
      <c r="S6" s="18">
        <v>12.06</v>
      </c>
      <c r="T6" s="18">
        <v>0</v>
      </c>
      <c r="U6" s="18">
        <v>0</v>
      </c>
      <c r="V6" s="18">
        <v>0</v>
      </c>
      <c r="W6" s="18">
        <v>7.9539999999999997</v>
      </c>
      <c r="X6" s="18">
        <v>4.4400000000000004</v>
      </c>
      <c r="Y6" s="18">
        <v>12.06</v>
      </c>
      <c r="Z6" s="18">
        <v>0</v>
      </c>
      <c r="AA6" s="18">
        <v>0</v>
      </c>
      <c r="AB6" s="18">
        <v>0</v>
      </c>
      <c r="AC6" s="18">
        <v>7.9539999999999997</v>
      </c>
      <c r="AD6" s="18">
        <v>4.4400000000000004</v>
      </c>
      <c r="AE6" s="18">
        <v>12.06</v>
      </c>
      <c r="AF6" s="18">
        <v>3.1040000000000001</v>
      </c>
      <c r="AG6" s="18">
        <v>1.92</v>
      </c>
      <c r="AH6" s="18">
        <v>4.2880000000000003</v>
      </c>
      <c r="AI6" s="18">
        <v>4.8499999999999996</v>
      </c>
      <c r="AJ6" s="18">
        <v>2.52</v>
      </c>
      <c r="AK6" s="18">
        <v>7.7720000000000002</v>
      </c>
      <c r="AL6" s="18">
        <v>3.1040000000000001</v>
      </c>
      <c r="AM6" s="18">
        <v>1.92</v>
      </c>
      <c r="AN6" s="18">
        <v>4.2880000000000003</v>
      </c>
      <c r="AO6" s="18">
        <v>4.8499999999999996</v>
      </c>
      <c r="AP6" s="18">
        <v>2.52</v>
      </c>
      <c r="AQ6" s="18">
        <v>7.7720000000000002</v>
      </c>
      <c r="AR6" s="18">
        <v>1.746</v>
      </c>
      <c r="AS6" s="18">
        <v>1.08</v>
      </c>
      <c r="AT6" s="18">
        <v>2.4119999999999999</v>
      </c>
      <c r="AU6" s="18">
        <v>6.2079999999999993</v>
      </c>
      <c r="AV6" s="18">
        <v>3.36</v>
      </c>
      <c r="AW6" s="18">
        <v>9.6480000000000015</v>
      </c>
      <c r="AX6" s="18">
        <v>15.907999999999999</v>
      </c>
      <c r="AY6" s="18">
        <v>9.84</v>
      </c>
      <c r="AZ6" s="18">
        <v>21.975999999999999</v>
      </c>
      <c r="BA6" s="18">
        <v>0</v>
      </c>
      <c r="BB6" s="18">
        <v>0</v>
      </c>
      <c r="BC6" s="18">
        <v>0</v>
      </c>
      <c r="BD6" s="18">
        <v>15.907999999999999</v>
      </c>
      <c r="BE6" s="18">
        <v>9.84</v>
      </c>
      <c r="BF6" s="18">
        <v>21.975999999999999</v>
      </c>
      <c r="BG6" s="18">
        <v>0</v>
      </c>
      <c r="BH6" s="18">
        <v>0</v>
      </c>
      <c r="BI6" s="18">
        <v>0</v>
      </c>
      <c r="BJ6" s="18">
        <v>8.3419999999999987</v>
      </c>
      <c r="BK6" s="18">
        <v>5.16</v>
      </c>
      <c r="BL6" s="18">
        <v>11.523999999999999</v>
      </c>
      <c r="BM6" s="18">
        <v>0</v>
      </c>
      <c r="BN6" s="18">
        <v>0</v>
      </c>
      <c r="BO6" s="18">
        <v>0.53600000000000003</v>
      </c>
      <c r="BP6" s="18"/>
      <c r="BQ6" s="18"/>
      <c r="BR6" s="18"/>
      <c r="BS6" s="18"/>
      <c r="BT6" s="10">
        <f>Tabelle58971121[[#This Row],[Mindestauslastung durch]]*Tabelle58971121[[#This Row],[installierte Leistung MW durch]]</f>
        <v>0</v>
      </c>
      <c r="BU6" s="10">
        <f>Tabelle58971121[[#This Row],[Mindestauslastung min]]*Tabelle58971121[[#This Row],[installierte Leistung MW min]]</f>
        <v>0</v>
      </c>
      <c r="BV6" s="10">
        <f>Tabelle58971121[[#This Row],[Mindestauslastung max]]*Tabelle58971121[[#This Row],[installierte Leistung MW max]]</f>
        <v>0</v>
      </c>
      <c r="BW6" s="8">
        <v>0</v>
      </c>
      <c r="BX6" s="8">
        <v>0</v>
      </c>
      <c r="BY6" s="8">
        <v>0</v>
      </c>
      <c r="BZ6" s="8"/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0.16</v>
      </c>
      <c r="CK6" s="8">
        <v>0.16</v>
      </c>
      <c r="CL6" s="8">
        <v>0.16</v>
      </c>
      <c r="CM6" s="8">
        <v>0.16</v>
      </c>
      <c r="CN6" s="8">
        <v>0.16</v>
      </c>
      <c r="CO6" s="8">
        <v>0.16</v>
      </c>
      <c r="CP6" s="8">
        <v>0.09</v>
      </c>
      <c r="CQ6" s="8">
        <v>0.09</v>
      </c>
      <c r="CR6" s="8">
        <v>0.09</v>
      </c>
      <c r="CS6" s="8">
        <v>0.82</v>
      </c>
      <c r="CT6" s="8">
        <v>0.82</v>
      </c>
      <c r="CU6" s="8">
        <v>0.82</v>
      </c>
      <c r="CV6" s="8">
        <v>0.82</v>
      </c>
      <c r="CW6" s="8">
        <v>0.82</v>
      </c>
      <c r="CX6" s="8">
        <v>0.82</v>
      </c>
      <c r="CY6" s="8">
        <v>0.43</v>
      </c>
      <c r="CZ6" s="8">
        <v>0.43</v>
      </c>
      <c r="DA6" s="8">
        <v>0.43</v>
      </c>
      <c r="DB6" s="8"/>
      <c r="DC6" s="8"/>
      <c r="DD6" s="8"/>
      <c r="DE6" s="48">
        <f>Tabelle58971121[[#This Row],[Durchschnittsauslastung min]]*Tabelle58971121[[#This Row],[installierte Leistung MW min]]</f>
        <v>0</v>
      </c>
      <c r="DF6" s="48">
        <f>Tabelle58971121[[#This Row],[Durchschnittsauslastung durch]]*Tabelle58971121[[#This Row],[installierte Leistung MW durch]]</f>
        <v>0</v>
      </c>
      <c r="DG6" s="48">
        <f>Tabelle58971121[[#This Row],[Durchschnittsauslastung max]]*Tabelle58971121[[#This Row],[installierte Leistung MW max]]</f>
        <v>0</v>
      </c>
      <c r="DH6" s="87">
        <f>Tabelle58971121[[#This Row],[Maximalauslastung durch]]*Tabelle58971121[[#This Row],[installierte Leistung MW min]]</f>
        <v>4.92</v>
      </c>
      <c r="DI6" s="48">
        <f>Tabelle58971121[[#This Row],[Maximalauslastung durch]]*Tabelle58971121[[#This Row],[installierte Leistung MW durch]]</f>
        <v>7.9539999999999988</v>
      </c>
      <c r="DJ6" s="18">
        <f>Tabelle58971121[[#This Row],[Maximalauslastung max]]*Tabelle58971121[[#This Row],[installierte Leistung MW durch]]</f>
        <v>8.73</v>
      </c>
      <c r="DK6" s="8">
        <v>0.41</v>
      </c>
      <c r="DL6" s="8">
        <v>0.37</v>
      </c>
      <c r="DM6" s="8">
        <v>0.45</v>
      </c>
      <c r="DN6" s="1">
        <v>19.399999999999999</v>
      </c>
      <c r="DO6" s="1">
        <v>12</v>
      </c>
      <c r="DP6" s="1">
        <v>26.8</v>
      </c>
      <c r="DQ6" s="18"/>
      <c r="DR6" s="18"/>
      <c r="DW6" s="1">
        <v>2</v>
      </c>
      <c r="DX6" s="1">
        <v>1.6</v>
      </c>
      <c r="DY6" s="1">
        <v>2.4</v>
      </c>
      <c r="DZ6" s="1">
        <v>2</v>
      </c>
      <c r="EA6" s="1">
        <v>1.6</v>
      </c>
      <c r="EB6" s="1">
        <v>2.4</v>
      </c>
      <c r="EC6" s="1">
        <v>24</v>
      </c>
      <c r="EF6" s="1">
        <v>2.6</v>
      </c>
      <c r="EG6" s="1">
        <v>1.8</v>
      </c>
      <c r="EH6" s="1">
        <v>3.4</v>
      </c>
      <c r="EL6" s="1">
        <v>243</v>
      </c>
      <c r="EM6" s="1">
        <v>219</v>
      </c>
      <c r="EN6" s="1">
        <v>267</v>
      </c>
      <c r="EO6" s="10"/>
      <c r="EP6" s="10"/>
      <c r="EQ6" s="10"/>
      <c r="ER6" s="1">
        <v>243</v>
      </c>
      <c r="ES6" s="1">
        <v>219</v>
      </c>
      <c r="ET6" s="1">
        <v>267</v>
      </c>
      <c r="EV6" s="18"/>
      <c r="EW6" s="18"/>
      <c r="EX6" s="18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 t="s">
        <v>1046</v>
      </c>
      <c r="FK6" s="7" t="s">
        <v>1046</v>
      </c>
      <c r="FL6" s="7" t="s">
        <v>1046</v>
      </c>
      <c r="FO6" s="1">
        <v>67</v>
      </c>
      <c r="FP6" s="1">
        <v>67</v>
      </c>
      <c r="FQ6" s="1">
        <v>67</v>
      </c>
      <c r="FR6" s="12" t="s">
        <v>743</v>
      </c>
      <c r="FS6" s="12" t="s">
        <v>743</v>
      </c>
      <c r="FT6" s="12" t="s">
        <v>743</v>
      </c>
      <c r="FU6" s="12"/>
      <c r="FV6" s="12" t="s">
        <v>743</v>
      </c>
      <c r="FW6" s="12" t="s">
        <v>743</v>
      </c>
      <c r="FX6" s="12" t="s">
        <v>743</v>
      </c>
      <c r="FY6" s="12" t="s">
        <v>743</v>
      </c>
      <c r="FZ6" s="12" t="s">
        <v>743</v>
      </c>
      <c r="GA6" s="12" t="s">
        <v>743</v>
      </c>
      <c r="GB6" s="12" t="s">
        <v>743</v>
      </c>
      <c r="GE6" s="12" t="s">
        <v>743</v>
      </c>
      <c r="GF6" s="12" t="s">
        <v>743</v>
      </c>
      <c r="GH6" s="12" t="s">
        <v>743</v>
      </c>
    </row>
    <row r="7" spans="1:193" ht="12.75" customHeight="1" x14ac:dyDescent="0.2">
      <c r="A7" s="1" t="s">
        <v>535</v>
      </c>
      <c r="B7" s="1" t="s">
        <v>535</v>
      </c>
      <c r="E7" s="1" t="s">
        <v>130</v>
      </c>
      <c r="F7" s="1">
        <v>2</v>
      </c>
      <c r="G7" s="1">
        <v>2040</v>
      </c>
      <c r="H7" s="1">
        <v>1</v>
      </c>
      <c r="I7" s="1">
        <v>0</v>
      </c>
      <c r="J7" s="1">
        <v>0</v>
      </c>
      <c r="K7" s="18"/>
      <c r="L7" s="18"/>
      <c r="M7" s="18"/>
      <c r="N7" s="18">
        <v>0</v>
      </c>
      <c r="O7" s="18">
        <v>0</v>
      </c>
      <c r="P7" s="18">
        <v>0</v>
      </c>
      <c r="Q7" s="18">
        <v>7.9539999999999997</v>
      </c>
      <c r="R7" s="18">
        <v>4.4400000000000004</v>
      </c>
      <c r="S7" s="18">
        <v>12.06</v>
      </c>
      <c r="T7" s="18">
        <v>0</v>
      </c>
      <c r="U7" s="18">
        <v>0</v>
      </c>
      <c r="V7" s="18">
        <v>0</v>
      </c>
      <c r="W7" s="18">
        <v>7.9539999999999997</v>
      </c>
      <c r="X7" s="18">
        <v>4.4400000000000004</v>
      </c>
      <c r="Y7" s="18">
        <v>12.06</v>
      </c>
      <c r="Z7" s="18">
        <v>0</v>
      </c>
      <c r="AA7" s="18">
        <v>0</v>
      </c>
      <c r="AB7" s="18">
        <v>0</v>
      </c>
      <c r="AC7" s="18">
        <v>7.9539999999999997</v>
      </c>
      <c r="AD7" s="18">
        <v>4.4400000000000004</v>
      </c>
      <c r="AE7" s="18">
        <v>12.06</v>
      </c>
      <c r="AF7" s="18">
        <v>3.1040000000000001</v>
      </c>
      <c r="AG7" s="18">
        <v>1.92</v>
      </c>
      <c r="AH7" s="18">
        <v>4.2880000000000003</v>
      </c>
      <c r="AI7" s="18">
        <v>4.8499999999999996</v>
      </c>
      <c r="AJ7" s="18">
        <v>2.52</v>
      </c>
      <c r="AK7" s="18">
        <v>7.7720000000000002</v>
      </c>
      <c r="AL7" s="18">
        <v>3.1040000000000001</v>
      </c>
      <c r="AM7" s="18">
        <v>1.92</v>
      </c>
      <c r="AN7" s="18">
        <v>4.2880000000000003</v>
      </c>
      <c r="AO7" s="18">
        <v>4.8499999999999996</v>
      </c>
      <c r="AP7" s="18">
        <v>2.52</v>
      </c>
      <c r="AQ7" s="18">
        <v>7.7720000000000002</v>
      </c>
      <c r="AR7" s="18">
        <v>1.746</v>
      </c>
      <c r="AS7" s="18">
        <v>1.08</v>
      </c>
      <c r="AT7" s="18">
        <v>2.4119999999999999</v>
      </c>
      <c r="AU7" s="18">
        <v>6.2079999999999993</v>
      </c>
      <c r="AV7" s="18">
        <v>3.36</v>
      </c>
      <c r="AW7" s="18">
        <v>9.6480000000000015</v>
      </c>
      <c r="AX7" s="18">
        <v>15.907999999999999</v>
      </c>
      <c r="AY7" s="18">
        <v>9.84</v>
      </c>
      <c r="AZ7" s="18">
        <v>21.975999999999999</v>
      </c>
      <c r="BA7" s="18">
        <v>0</v>
      </c>
      <c r="BB7" s="18">
        <v>0</v>
      </c>
      <c r="BC7" s="18">
        <v>0</v>
      </c>
      <c r="BD7" s="18">
        <v>15.907999999999999</v>
      </c>
      <c r="BE7" s="18">
        <v>9.84</v>
      </c>
      <c r="BF7" s="18">
        <v>21.975999999999999</v>
      </c>
      <c r="BG7" s="18">
        <v>0</v>
      </c>
      <c r="BH7" s="18">
        <v>0</v>
      </c>
      <c r="BI7" s="18">
        <v>0</v>
      </c>
      <c r="BJ7" s="18">
        <v>8.3419999999999987</v>
      </c>
      <c r="BK7" s="18">
        <v>5.16</v>
      </c>
      <c r="BL7" s="18">
        <v>11.523999999999999</v>
      </c>
      <c r="BM7" s="18">
        <v>0</v>
      </c>
      <c r="BN7" s="18">
        <v>0</v>
      </c>
      <c r="BO7" s="18">
        <v>0.53600000000000003</v>
      </c>
      <c r="BP7" s="18"/>
      <c r="BQ7" s="18"/>
      <c r="BR7" s="18"/>
      <c r="BS7" s="18"/>
      <c r="BT7" s="10">
        <f>Tabelle58971121[[#This Row],[Mindestauslastung durch]]*Tabelle58971121[[#This Row],[installierte Leistung MW durch]]</f>
        <v>0</v>
      </c>
      <c r="BU7" s="10">
        <f>Tabelle58971121[[#This Row],[Mindestauslastung min]]*Tabelle58971121[[#This Row],[installierte Leistung MW min]]</f>
        <v>0</v>
      </c>
      <c r="BV7" s="10">
        <f>Tabelle58971121[[#This Row],[Mindestauslastung max]]*Tabelle58971121[[#This Row],[installierte Leistung MW max]]</f>
        <v>0</v>
      </c>
      <c r="BW7" s="8">
        <v>0</v>
      </c>
      <c r="BX7" s="8">
        <v>0</v>
      </c>
      <c r="BY7" s="8">
        <v>0</v>
      </c>
      <c r="BZ7" s="8"/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0.16</v>
      </c>
      <c r="CK7" s="8">
        <v>0.16</v>
      </c>
      <c r="CL7" s="8">
        <v>0.16</v>
      </c>
      <c r="CM7" s="8">
        <v>0.16</v>
      </c>
      <c r="CN7" s="8">
        <v>0.16</v>
      </c>
      <c r="CO7" s="8">
        <v>0.16</v>
      </c>
      <c r="CP7" s="8">
        <v>0.09</v>
      </c>
      <c r="CQ7" s="8">
        <v>0.09</v>
      </c>
      <c r="CR7" s="8">
        <v>0.09</v>
      </c>
      <c r="CS7" s="8">
        <v>0.82</v>
      </c>
      <c r="CT7" s="8">
        <v>0.82</v>
      </c>
      <c r="CU7" s="8">
        <v>0.82</v>
      </c>
      <c r="CV7" s="8">
        <v>0.82</v>
      </c>
      <c r="CW7" s="8">
        <v>0.82</v>
      </c>
      <c r="CX7" s="8">
        <v>0.82</v>
      </c>
      <c r="CY7" s="8">
        <v>0.43</v>
      </c>
      <c r="CZ7" s="8">
        <v>0.43</v>
      </c>
      <c r="DA7" s="8">
        <v>0.43</v>
      </c>
      <c r="DB7" s="8"/>
      <c r="DC7" s="8"/>
      <c r="DD7" s="8"/>
      <c r="DE7" s="48">
        <f>Tabelle58971121[[#This Row],[Durchschnittsauslastung min]]*Tabelle58971121[[#This Row],[installierte Leistung MW min]]</f>
        <v>0</v>
      </c>
      <c r="DF7" s="48">
        <f>Tabelle58971121[[#This Row],[Durchschnittsauslastung durch]]*Tabelle58971121[[#This Row],[installierte Leistung MW durch]]</f>
        <v>0</v>
      </c>
      <c r="DG7" s="48">
        <f>Tabelle58971121[[#This Row],[Durchschnittsauslastung max]]*Tabelle58971121[[#This Row],[installierte Leistung MW max]]</f>
        <v>0</v>
      </c>
      <c r="DH7" s="87">
        <f>Tabelle58971121[[#This Row],[Maximalauslastung durch]]*Tabelle58971121[[#This Row],[installierte Leistung MW min]]</f>
        <v>4.92</v>
      </c>
      <c r="DI7" s="48">
        <f>Tabelle58971121[[#This Row],[Maximalauslastung durch]]*Tabelle58971121[[#This Row],[installierte Leistung MW durch]]</f>
        <v>7.9539999999999988</v>
      </c>
      <c r="DJ7" s="18">
        <f>Tabelle58971121[[#This Row],[Maximalauslastung max]]*Tabelle58971121[[#This Row],[installierte Leistung MW durch]]</f>
        <v>8.73</v>
      </c>
      <c r="DK7" s="8">
        <v>0.41</v>
      </c>
      <c r="DL7" s="8">
        <v>0.37</v>
      </c>
      <c r="DM7" s="8">
        <v>0.45</v>
      </c>
      <c r="DN7" s="1">
        <v>19.399999999999999</v>
      </c>
      <c r="DO7" s="1">
        <v>12</v>
      </c>
      <c r="DP7" s="1">
        <v>26.8</v>
      </c>
      <c r="DQ7" s="18"/>
      <c r="DR7" s="18"/>
      <c r="DW7" s="1">
        <v>2</v>
      </c>
      <c r="DX7" s="1">
        <v>1.6</v>
      </c>
      <c r="DY7" s="1">
        <v>2.4</v>
      </c>
      <c r="DZ7" s="1">
        <v>2</v>
      </c>
      <c r="EA7" s="1">
        <v>1.6</v>
      </c>
      <c r="EB7" s="1">
        <v>2.4</v>
      </c>
      <c r="EC7" s="1">
        <v>24</v>
      </c>
      <c r="EF7" s="1">
        <v>2.6</v>
      </c>
      <c r="EG7" s="1">
        <v>1.8</v>
      </c>
      <c r="EH7" s="1">
        <v>3.4</v>
      </c>
      <c r="EL7" s="1">
        <v>243</v>
      </c>
      <c r="EM7" s="1">
        <v>219</v>
      </c>
      <c r="EN7" s="1">
        <v>267</v>
      </c>
      <c r="EO7" s="10"/>
      <c r="EP7" s="10"/>
      <c r="EQ7" s="10"/>
      <c r="ER7" s="1">
        <v>243</v>
      </c>
      <c r="ES7" s="1">
        <v>219</v>
      </c>
      <c r="ET7" s="1">
        <v>267</v>
      </c>
      <c r="EV7" s="18"/>
      <c r="EW7" s="18"/>
      <c r="EX7" s="18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 t="s">
        <v>1046</v>
      </c>
      <c r="FK7" s="7" t="s">
        <v>1046</v>
      </c>
      <c r="FL7" s="7" t="s">
        <v>1046</v>
      </c>
      <c r="FO7" s="1">
        <v>67</v>
      </c>
      <c r="FP7" s="1">
        <v>67</v>
      </c>
      <c r="FQ7" s="1">
        <v>67</v>
      </c>
      <c r="FR7" s="12" t="s">
        <v>743</v>
      </c>
      <c r="FS7" s="12" t="s">
        <v>743</v>
      </c>
      <c r="FT7" s="12" t="s">
        <v>743</v>
      </c>
      <c r="FU7" s="12"/>
      <c r="FV7" s="12" t="s">
        <v>743</v>
      </c>
      <c r="FW7" s="12" t="s">
        <v>743</v>
      </c>
      <c r="FX7" s="12" t="s">
        <v>743</v>
      </c>
      <c r="FY7" s="12" t="s">
        <v>743</v>
      </c>
      <c r="FZ7" s="12" t="s">
        <v>743</v>
      </c>
      <c r="GA7" s="12" t="s">
        <v>743</v>
      </c>
      <c r="GB7" s="12" t="s">
        <v>743</v>
      </c>
      <c r="GE7" s="12" t="s">
        <v>743</v>
      </c>
      <c r="GF7" s="12" t="s">
        <v>743</v>
      </c>
      <c r="GH7" s="12" t="s">
        <v>743</v>
      </c>
    </row>
    <row r="8" spans="1:193" ht="12.75" customHeight="1" x14ac:dyDescent="0.2">
      <c r="A8" s="1" t="s">
        <v>535</v>
      </c>
      <c r="B8" s="1" t="s">
        <v>535</v>
      </c>
      <c r="E8" s="1" t="s">
        <v>130</v>
      </c>
      <c r="F8" s="1">
        <v>2</v>
      </c>
      <c r="G8" s="1">
        <v>2045</v>
      </c>
      <c r="H8" s="1">
        <v>1</v>
      </c>
      <c r="I8" s="1">
        <v>0</v>
      </c>
      <c r="J8" s="1">
        <v>0</v>
      </c>
      <c r="K8" s="18"/>
      <c r="L8" s="18"/>
      <c r="M8" s="18"/>
      <c r="N8" s="18">
        <v>0</v>
      </c>
      <c r="O8" s="18">
        <v>0</v>
      </c>
      <c r="P8" s="18">
        <v>0</v>
      </c>
      <c r="Q8" s="18">
        <v>7.9539999999999997</v>
      </c>
      <c r="R8" s="18">
        <v>4.4400000000000004</v>
      </c>
      <c r="S8" s="18">
        <v>12.06</v>
      </c>
      <c r="T8" s="18">
        <v>0</v>
      </c>
      <c r="U8" s="18">
        <v>0</v>
      </c>
      <c r="V8" s="18">
        <v>0</v>
      </c>
      <c r="W8" s="18">
        <v>7.9539999999999997</v>
      </c>
      <c r="X8" s="18">
        <v>4.4400000000000004</v>
      </c>
      <c r="Y8" s="18">
        <v>12.06</v>
      </c>
      <c r="Z8" s="18">
        <v>0</v>
      </c>
      <c r="AA8" s="18">
        <v>0</v>
      </c>
      <c r="AB8" s="18">
        <v>0</v>
      </c>
      <c r="AC8" s="18">
        <v>7.9539999999999997</v>
      </c>
      <c r="AD8" s="18">
        <v>4.4400000000000004</v>
      </c>
      <c r="AE8" s="18">
        <v>12.06</v>
      </c>
      <c r="AF8" s="18">
        <v>3.1040000000000001</v>
      </c>
      <c r="AG8" s="18">
        <v>1.92</v>
      </c>
      <c r="AH8" s="18">
        <v>4.2880000000000003</v>
      </c>
      <c r="AI8" s="18">
        <v>4.8499999999999996</v>
      </c>
      <c r="AJ8" s="18">
        <v>2.52</v>
      </c>
      <c r="AK8" s="18">
        <v>7.7720000000000002</v>
      </c>
      <c r="AL8" s="18">
        <v>3.1040000000000001</v>
      </c>
      <c r="AM8" s="18">
        <v>1.92</v>
      </c>
      <c r="AN8" s="18">
        <v>4.2880000000000003</v>
      </c>
      <c r="AO8" s="18">
        <v>4.8499999999999996</v>
      </c>
      <c r="AP8" s="18">
        <v>2.52</v>
      </c>
      <c r="AQ8" s="18">
        <v>7.7720000000000002</v>
      </c>
      <c r="AR8" s="18">
        <v>1.746</v>
      </c>
      <c r="AS8" s="18">
        <v>1.08</v>
      </c>
      <c r="AT8" s="18">
        <v>2.4119999999999999</v>
      </c>
      <c r="AU8" s="18">
        <v>6.2079999999999993</v>
      </c>
      <c r="AV8" s="18">
        <v>3.36</v>
      </c>
      <c r="AW8" s="18">
        <v>9.6480000000000015</v>
      </c>
      <c r="AX8" s="18">
        <v>15.907999999999999</v>
      </c>
      <c r="AY8" s="18">
        <v>9.84</v>
      </c>
      <c r="AZ8" s="18">
        <v>21.975999999999999</v>
      </c>
      <c r="BA8" s="18">
        <v>0</v>
      </c>
      <c r="BB8" s="18">
        <v>0</v>
      </c>
      <c r="BC8" s="18">
        <v>0</v>
      </c>
      <c r="BD8" s="18">
        <v>15.907999999999999</v>
      </c>
      <c r="BE8" s="18">
        <v>9.84</v>
      </c>
      <c r="BF8" s="18">
        <v>21.975999999999999</v>
      </c>
      <c r="BG8" s="18">
        <v>0</v>
      </c>
      <c r="BH8" s="18">
        <v>0</v>
      </c>
      <c r="BI8" s="18">
        <v>0</v>
      </c>
      <c r="BJ8" s="18">
        <v>8.3419999999999987</v>
      </c>
      <c r="BK8" s="18">
        <v>5.16</v>
      </c>
      <c r="BL8" s="18">
        <v>11.523999999999999</v>
      </c>
      <c r="BM8" s="18">
        <v>0</v>
      </c>
      <c r="BN8" s="18">
        <v>0</v>
      </c>
      <c r="BO8" s="18">
        <v>0.53600000000000003</v>
      </c>
      <c r="BP8" s="18"/>
      <c r="BQ8" s="18"/>
      <c r="BR8" s="18"/>
      <c r="BS8" s="18"/>
      <c r="BT8" s="10">
        <f>Tabelle58971121[[#This Row],[Mindestauslastung durch]]*Tabelle58971121[[#This Row],[installierte Leistung MW durch]]</f>
        <v>0</v>
      </c>
      <c r="BU8" s="10">
        <f>Tabelle58971121[[#This Row],[Mindestauslastung min]]*Tabelle58971121[[#This Row],[installierte Leistung MW min]]</f>
        <v>0</v>
      </c>
      <c r="BV8" s="10">
        <f>Tabelle58971121[[#This Row],[Mindestauslastung max]]*Tabelle58971121[[#This Row],[installierte Leistung MW max]]</f>
        <v>0</v>
      </c>
      <c r="BW8" s="8">
        <v>0</v>
      </c>
      <c r="BX8" s="8">
        <v>0</v>
      </c>
      <c r="BY8" s="8">
        <v>0</v>
      </c>
      <c r="BZ8" s="8"/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0.16</v>
      </c>
      <c r="CK8" s="8">
        <v>0.16</v>
      </c>
      <c r="CL8" s="8">
        <v>0.16</v>
      </c>
      <c r="CM8" s="8">
        <v>0.16</v>
      </c>
      <c r="CN8" s="8">
        <v>0.16</v>
      </c>
      <c r="CO8" s="8">
        <v>0.16</v>
      </c>
      <c r="CP8" s="8">
        <v>0.09</v>
      </c>
      <c r="CQ8" s="8">
        <v>0.09</v>
      </c>
      <c r="CR8" s="8">
        <v>0.09</v>
      </c>
      <c r="CS8" s="8">
        <v>0.82</v>
      </c>
      <c r="CT8" s="8">
        <v>0.82</v>
      </c>
      <c r="CU8" s="8">
        <v>0.82</v>
      </c>
      <c r="CV8" s="8">
        <v>0.82</v>
      </c>
      <c r="CW8" s="8">
        <v>0.82</v>
      </c>
      <c r="CX8" s="8">
        <v>0.82</v>
      </c>
      <c r="CY8" s="8">
        <v>0.43</v>
      </c>
      <c r="CZ8" s="8">
        <v>0.43</v>
      </c>
      <c r="DA8" s="8">
        <v>0.43</v>
      </c>
      <c r="DB8" s="8"/>
      <c r="DC8" s="8"/>
      <c r="DD8" s="8"/>
      <c r="DE8" s="48">
        <f>Tabelle58971121[[#This Row],[Durchschnittsauslastung min]]*Tabelle58971121[[#This Row],[installierte Leistung MW min]]</f>
        <v>0</v>
      </c>
      <c r="DF8" s="48">
        <f>Tabelle58971121[[#This Row],[Durchschnittsauslastung durch]]*Tabelle58971121[[#This Row],[installierte Leistung MW durch]]</f>
        <v>0</v>
      </c>
      <c r="DG8" s="48">
        <f>Tabelle58971121[[#This Row],[Durchschnittsauslastung max]]*Tabelle58971121[[#This Row],[installierte Leistung MW max]]</f>
        <v>0</v>
      </c>
      <c r="DH8" s="87">
        <f>Tabelle58971121[[#This Row],[Maximalauslastung durch]]*Tabelle58971121[[#This Row],[installierte Leistung MW min]]</f>
        <v>4.92</v>
      </c>
      <c r="DI8" s="48">
        <f>Tabelle58971121[[#This Row],[Maximalauslastung durch]]*Tabelle58971121[[#This Row],[installierte Leistung MW durch]]</f>
        <v>7.9539999999999988</v>
      </c>
      <c r="DJ8" s="18">
        <f>Tabelle58971121[[#This Row],[Maximalauslastung max]]*Tabelle58971121[[#This Row],[installierte Leistung MW durch]]</f>
        <v>8.73</v>
      </c>
      <c r="DK8" s="8">
        <v>0.41</v>
      </c>
      <c r="DL8" s="8">
        <v>0.37</v>
      </c>
      <c r="DM8" s="8">
        <v>0.45</v>
      </c>
      <c r="DN8" s="1">
        <v>19.399999999999999</v>
      </c>
      <c r="DO8" s="1">
        <v>12</v>
      </c>
      <c r="DP8" s="1">
        <v>26.8</v>
      </c>
      <c r="DQ8" s="18"/>
      <c r="DR8" s="18"/>
      <c r="DW8" s="1">
        <v>2</v>
      </c>
      <c r="DX8" s="1">
        <v>1.6</v>
      </c>
      <c r="DY8" s="1">
        <v>2.4</v>
      </c>
      <c r="DZ8" s="1">
        <v>2</v>
      </c>
      <c r="EA8" s="1">
        <v>1.6</v>
      </c>
      <c r="EB8" s="1">
        <v>2.4</v>
      </c>
      <c r="EC8" s="1">
        <v>24</v>
      </c>
      <c r="EF8" s="1">
        <v>2.6</v>
      </c>
      <c r="EG8" s="1">
        <v>1.8</v>
      </c>
      <c r="EH8" s="1">
        <v>3.4</v>
      </c>
      <c r="EL8" s="1">
        <v>243</v>
      </c>
      <c r="EM8" s="1">
        <v>219</v>
      </c>
      <c r="EN8" s="1">
        <v>267</v>
      </c>
      <c r="EO8" s="10"/>
      <c r="EP8" s="10"/>
      <c r="EQ8" s="10"/>
      <c r="ER8" s="1">
        <v>243</v>
      </c>
      <c r="ES8" s="1">
        <v>219</v>
      </c>
      <c r="ET8" s="1">
        <v>267</v>
      </c>
      <c r="EV8" s="18"/>
      <c r="EW8" s="18"/>
      <c r="EX8" s="18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 t="s">
        <v>1046</v>
      </c>
      <c r="FK8" s="7" t="s">
        <v>1046</v>
      </c>
      <c r="FL8" s="7" t="s">
        <v>1046</v>
      </c>
      <c r="FO8" s="1">
        <v>67</v>
      </c>
      <c r="FP8" s="1">
        <v>67</v>
      </c>
      <c r="FQ8" s="1">
        <v>67</v>
      </c>
      <c r="FR8" s="12" t="s">
        <v>743</v>
      </c>
      <c r="FS8" s="12" t="s">
        <v>743</v>
      </c>
      <c r="FT8" s="12" t="s">
        <v>743</v>
      </c>
      <c r="FU8" s="12"/>
      <c r="FV8" s="12" t="s">
        <v>743</v>
      </c>
      <c r="FW8" s="12" t="s">
        <v>743</v>
      </c>
      <c r="FX8" s="12" t="s">
        <v>743</v>
      </c>
      <c r="FY8" s="12" t="s">
        <v>743</v>
      </c>
      <c r="FZ8" s="12" t="s">
        <v>743</v>
      </c>
      <c r="GA8" s="12" t="s">
        <v>743</v>
      </c>
      <c r="GB8" s="12" t="s">
        <v>743</v>
      </c>
      <c r="GE8" s="12" t="s">
        <v>743</v>
      </c>
      <c r="GF8" s="12" t="s">
        <v>743</v>
      </c>
      <c r="GH8" s="12" t="s">
        <v>743</v>
      </c>
    </row>
    <row r="9" spans="1:193" ht="12.75" customHeight="1" x14ac:dyDescent="0.2">
      <c r="A9" s="1" t="s">
        <v>535</v>
      </c>
      <c r="B9" s="1" t="s">
        <v>535</v>
      </c>
      <c r="E9" s="1" t="s">
        <v>130</v>
      </c>
      <c r="F9" s="1">
        <v>2</v>
      </c>
      <c r="G9" s="1">
        <v>2050</v>
      </c>
      <c r="H9" s="1">
        <v>1</v>
      </c>
      <c r="I9" s="1">
        <v>0</v>
      </c>
      <c r="J9" s="1">
        <v>0</v>
      </c>
      <c r="K9" s="18"/>
      <c r="L9" s="18"/>
      <c r="M9" s="18"/>
      <c r="N9" s="18">
        <v>0</v>
      </c>
      <c r="O9" s="18">
        <v>0</v>
      </c>
      <c r="P9" s="18">
        <v>0</v>
      </c>
      <c r="Q9" s="18">
        <v>7.9539999999999997</v>
      </c>
      <c r="R9" s="18">
        <v>4.4400000000000004</v>
      </c>
      <c r="S9" s="18">
        <v>12.06</v>
      </c>
      <c r="T9" s="18">
        <v>0</v>
      </c>
      <c r="U9" s="18">
        <v>0</v>
      </c>
      <c r="V9" s="18">
        <v>0</v>
      </c>
      <c r="W9" s="18">
        <v>7.9539999999999997</v>
      </c>
      <c r="X9" s="18">
        <v>4.4400000000000004</v>
      </c>
      <c r="Y9" s="18">
        <v>12.06</v>
      </c>
      <c r="Z9" s="18">
        <v>0</v>
      </c>
      <c r="AA9" s="18">
        <v>0</v>
      </c>
      <c r="AB9" s="18">
        <v>0</v>
      </c>
      <c r="AC9" s="18">
        <v>7.9539999999999997</v>
      </c>
      <c r="AD9" s="18">
        <v>4.4400000000000004</v>
      </c>
      <c r="AE9" s="18">
        <v>12.06</v>
      </c>
      <c r="AF9" s="18">
        <v>3.1040000000000001</v>
      </c>
      <c r="AG9" s="18">
        <v>1.92</v>
      </c>
      <c r="AH9" s="18">
        <v>4.2880000000000003</v>
      </c>
      <c r="AI9" s="18">
        <v>4.8499999999999996</v>
      </c>
      <c r="AJ9" s="18">
        <v>2.52</v>
      </c>
      <c r="AK9" s="18">
        <v>7.7720000000000002</v>
      </c>
      <c r="AL9" s="18">
        <v>3.1040000000000001</v>
      </c>
      <c r="AM9" s="18">
        <v>1.92</v>
      </c>
      <c r="AN9" s="18">
        <v>4.2880000000000003</v>
      </c>
      <c r="AO9" s="18">
        <v>4.8499999999999996</v>
      </c>
      <c r="AP9" s="18">
        <v>2.52</v>
      </c>
      <c r="AQ9" s="18">
        <v>7.7720000000000002</v>
      </c>
      <c r="AR9" s="18">
        <v>1.746</v>
      </c>
      <c r="AS9" s="18">
        <v>1.08</v>
      </c>
      <c r="AT9" s="18">
        <v>2.4119999999999999</v>
      </c>
      <c r="AU9" s="18">
        <v>6.2079999999999993</v>
      </c>
      <c r="AV9" s="18">
        <v>3.36</v>
      </c>
      <c r="AW9" s="18">
        <v>9.6480000000000015</v>
      </c>
      <c r="AX9" s="18">
        <v>15.907999999999999</v>
      </c>
      <c r="AY9" s="18">
        <v>9.84</v>
      </c>
      <c r="AZ9" s="18">
        <v>21.975999999999999</v>
      </c>
      <c r="BA9" s="18">
        <v>0</v>
      </c>
      <c r="BB9" s="18">
        <v>0</v>
      </c>
      <c r="BC9" s="18">
        <v>0</v>
      </c>
      <c r="BD9" s="18">
        <v>15.907999999999999</v>
      </c>
      <c r="BE9" s="18">
        <v>9.84</v>
      </c>
      <c r="BF9" s="18">
        <v>21.975999999999999</v>
      </c>
      <c r="BG9" s="18">
        <v>0</v>
      </c>
      <c r="BH9" s="18">
        <v>0</v>
      </c>
      <c r="BI9" s="18">
        <v>0</v>
      </c>
      <c r="BJ9" s="18">
        <v>8.3419999999999987</v>
      </c>
      <c r="BK9" s="18">
        <v>5.16</v>
      </c>
      <c r="BL9" s="18">
        <v>11.523999999999999</v>
      </c>
      <c r="BM9" s="18">
        <v>0</v>
      </c>
      <c r="BN9" s="18">
        <v>0</v>
      </c>
      <c r="BO9" s="18">
        <v>0.53600000000000003</v>
      </c>
      <c r="BP9" s="18"/>
      <c r="BQ9" s="18"/>
      <c r="BR9" s="18"/>
      <c r="BS9" s="18"/>
      <c r="BT9" s="10">
        <f>Tabelle58971121[[#This Row],[Mindestauslastung durch]]*Tabelle58971121[[#This Row],[installierte Leistung MW durch]]</f>
        <v>0</v>
      </c>
      <c r="BU9" s="10">
        <f>Tabelle58971121[[#This Row],[Mindestauslastung min]]*Tabelle58971121[[#This Row],[installierte Leistung MW min]]</f>
        <v>0</v>
      </c>
      <c r="BV9" s="10">
        <f>Tabelle58971121[[#This Row],[Mindestauslastung max]]*Tabelle58971121[[#This Row],[installierte Leistung MW max]]</f>
        <v>0</v>
      </c>
      <c r="BW9" s="8">
        <v>0</v>
      </c>
      <c r="BX9" s="8">
        <v>0</v>
      </c>
      <c r="BY9" s="8">
        <v>0</v>
      </c>
      <c r="BZ9" s="8"/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0.16</v>
      </c>
      <c r="CK9" s="8">
        <v>0.16</v>
      </c>
      <c r="CL9" s="8">
        <v>0.16</v>
      </c>
      <c r="CM9" s="8">
        <v>0.16</v>
      </c>
      <c r="CN9" s="8">
        <v>0.16</v>
      </c>
      <c r="CO9" s="8">
        <v>0.16</v>
      </c>
      <c r="CP9" s="8">
        <v>0.09</v>
      </c>
      <c r="CQ9" s="8">
        <v>0.09</v>
      </c>
      <c r="CR9" s="8">
        <v>0.09</v>
      </c>
      <c r="CS9" s="8">
        <v>0.82</v>
      </c>
      <c r="CT9" s="8">
        <v>0.82</v>
      </c>
      <c r="CU9" s="8">
        <v>0.82</v>
      </c>
      <c r="CV9" s="8">
        <v>0.82</v>
      </c>
      <c r="CW9" s="8">
        <v>0.82</v>
      </c>
      <c r="CX9" s="8">
        <v>0.82</v>
      </c>
      <c r="CY9" s="8">
        <v>0.43</v>
      </c>
      <c r="CZ9" s="8">
        <v>0.43</v>
      </c>
      <c r="DA9" s="8">
        <v>0.43</v>
      </c>
      <c r="DB9" s="8"/>
      <c r="DC9" s="8"/>
      <c r="DD9" s="8"/>
      <c r="DE9" s="48">
        <f>Tabelle58971121[[#This Row],[Durchschnittsauslastung min]]*Tabelle58971121[[#This Row],[installierte Leistung MW min]]</f>
        <v>0</v>
      </c>
      <c r="DF9" s="48">
        <f>Tabelle58971121[[#This Row],[Durchschnittsauslastung durch]]*Tabelle58971121[[#This Row],[installierte Leistung MW durch]]</f>
        <v>0</v>
      </c>
      <c r="DG9" s="48">
        <f>Tabelle58971121[[#This Row],[Durchschnittsauslastung max]]*Tabelle58971121[[#This Row],[installierte Leistung MW max]]</f>
        <v>0</v>
      </c>
      <c r="DH9" s="87">
        <f>Tabelle58971121[[#This Row],[Maximalauslastung durch]]*Tabelle58971121[[#This Row],[installierte Leistung MW min]]</f>
        <v>4.92</v>
      </c>
      <c r="DI9" s="48">
        <f>Tabelle58971121[[#This Row],[Maximalauslastung durch]]*Tabelle58971121[[#This Row],[installierte Leistung MW durch]]</f>
        <v>7.9539999999999988</v>
      </c>
      <c r="DJ9" s="18">
        <f>Tabelle58971121[[#This Row],[Maximalauslastung max]]*Tabelle58971121[[#This Row],[installierte Leistung MW durch]]</f>
        <v>8.73</v>
      </c>
      <c r="DK9" s="8">
        <v>0.41</v>
      </c>
      <c r="DL9" s="8">
        <v>0.37</v>
      </c>
      <c r="DM9" s="8">
        <v>0.45</v>
      </c>
      <c r="DN9" s="1">
        <v>19.399999999999999</v>
      </c>
      <c r="DO9" s="1">
        <v>12</v>
      </c>
      <c r="DP9" s="1">
        <v>26.8</v>
      </c>
      <c r="DQ9" s="18"/>
      <c r="DR9" s="18"/>
      <c r="DW9" s="1">
        <v>2</v>
      </c>
      <c r="DX9" s="1">
        <v>1.6</v>
      </c>
      <c r="DY9" s="1">
        <v>2.4</v>
      </c>
      <c r="DZ9" s="1">
        <v>2</v>
      </c>
      <c r="EA9" s="1">
        <v>1.6</v>
      </c>
      <c r="EB9" s="1">
        <v>2.4</v>
      </c>
      <c r="EC9" s="1">
        <v>24</v>
      </c>
      <c r="EF9" s="1">
        <v>2.6</v>
      </c>
      <c r="EG9" s="1">
        <v>1.8</v>
      </c>
      <c r="EH9" s="1">
        <v>3.4</v>
      </c>
      <c r="EL9" s="1">
        <v>243</v>
      </c>
      <c r="EM9" s="1">
        <v>219</v>
      </c>
      <c r="EN9" s="1">
        <v>267</v>
      </c>
      <c r="EO9" s="10"/>
      <c r="EP9" s="10"/>
      <c r="EQ9" s="10"/>
      <c r="ER9" s="1">
        <v>243</v>
      </c>
      <c r="ES9" s="1">
        <v>219</v>
      </c>
      <c r="ET9" s="1">
        <v>267</v>
      </c>
      <c r="EV9" s="18"/>
      <c r="EW9" s="18"/>
      <c r="EX9" s="18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 t="s">
        <v>1046</v>
      </c>
      <c r="FK9" s="7" t="s">
        <v>1046</v>
      </c>
      <c r="FL9" s="7" t="s">
        <v>1046</v>
      </c>
      <c r="FO9" s="1">
        <v>67</v>
      </c>
      <c r="FP9" s="1">
        <v>67</v>
      </c>
      <c r="FQ9" s="1">
        <v>67</v>
      </c>
      <c r="FR9" s="12" t="s">
        <v>743</v>
      </c>
      <c r="FS9" s="12" t="s">
        <v>743</v>
      </c>
      <c r="FT9" s="12" t="s">
        <v>743</v>
      </c>
      <c r="FU9" s="12"/>
      <c r="FV9" s="12" t="s">
        <v>743</v>
      </c>
      <c r="FW9" s="12" t="s">
        <v>743</v>
      </c>
      <c r="FX9" s="12" t="s">
        <v>743</v>
      </c>
      <c r="FY9" s="12" t="s">
        <v>743</v>
      </c>
      <c r="FZ9" s="12" t="s">
        <v>743</v>
      </c>
      <c r="GA9" s="12" t="s">
        <v>743</v>
      </c>
      <c r="GB9" s="12" t="s">
        <v>743</v>
      </c>
      <c r="GE9" s="12" t="s">
        <v>743</v>
      </c>
      <c r="GF9" s="12" t="s">
        <v>743</v>
      </c>
      <c r="GH9" s="12" t="s">
        <v>743</v>
      </c>
    </row>
    <row r="10" spans="1:193" ht="12.75" customHeight="1" x14ac:dyDescent="0.2">
      <c r="A10" s="1" t="s">
        <v>365</v>
      </c>
      <c r="B10" s="1" t="s">
        <v>645</v>
      </c>
      <c r="E10" s="1" t="s">
        <v>130</v>
      </c>
      <c r="F10" s="1">
        <v>2</v>
      </c>
      <c r="G10" s="1">
        <v>2015</v>
      </c>
      <c r="H10" s="1">
        <v>1</v>
      </c>
      <c r="I10" s="1">
        <v>0</v>
      </c>
      <c r="J10" s="1">
        <v>0</v>
      </c>
      <c r="K10" s="18"/>
      <c r="L10" s="18"/>
      <c r="M10" s="18"/>
      <c r="N10" s="18">
        <v>206.65199999999999</v>
      </c>
      <c r="O10" s="18">
        <v>135.39400000000001</v>
      </c>
      <c r="P10" s="18">
        <v>293.27</v>
      </c>
      <c r="Q10" s="18">
        <v>0.84600000000000009</v>
      </c>
      <c r="R10" s="18">
        <v>0</v>
      </c>
      <c r="S10" s="18">
        <v>11.506</v>
      </c>
      <c r="T10" s="18">
        <v>122.992</v>
      </c>
      <c r="U10" s="18">
        <v>79.153999999999996</v>
      </c>
      <c r="V10" s="18">
        <v>176.99</v>
      </c>
      <c r="W10" s="18">
        <v>43.566000000000003</v>
      </c>
      <c r="X10" s="18">
        <v>33.44</v>
      </c>
      <c r="Y10" s="18">
        <v>64.545999999999992</v>
      </c>
      <c r="Z10" s="18">
        <v>7.9859999999999998</v>
      </c>
      <c r="AA10" s="18">
        <v>1.6160000000000001</v>
      </c>
      <c r="AB10" s="18">
        <v>17.481999999999999</v>
      </c>
      <c r="AC10" s="18">
        <v>115.148</v>
      </c>
      <c r="AD10" s="18">
        <v>80.513999999999996</v>
      </c>
      <c r="AE10" s="18">
        <v>156.43199999999999</v>
      </c>
      <c r="AF10" s="18">
        <v>39.497999999999998</v>
      </c>
      <c r="AG10" s="18">
        <v>7.0680000000000014</v>
      </c>
      <c r="AH10" s="18">
        <v>82.207999999999998</v>
      </c>
      <c r="AI10" s="18">
        <v>76.98599999999999</v>
      </c>
      <c r="AJ10" s="18">
        <v>27.745999999999999</v>
      </c>
      <c r="AK10" s="18">
        <v>140.59399999999999</v>
      </c>
      <c r="AL10" s="18">
        <v>21.698</v>
      </c>
      <c r="AM10" s="18">
        <v>7.0680000000000014</v>
      </c>
      <c r="AN10" s="18">
        <v>41.408000000000001</v>
      </c>
      <c r="AO10" s="18">
        <v>94.785999999999987</v>
      </c>
      <c r="AP10" s="18">
        <v>58.146000000000001</v>
      </c>
      <c r="AQ10" s="18">
        <v>140.59399999999999</v>
      </c>
      <c r="AR10" s="18">
        <v>1.75</v>
      </c>
      <c r="AS10" s="18">
        <v>0</v>
      </c>
      <c r="AT10" s="18">
        <v>9.92</v>
      </c>
      <c r="AU10" s="18">
        <v>121.384</v>
      </c>
      <c r="AV10" s="18">
        <v>85.423999999999992</v>
      </c>
      <c r="AW10" s="18">
        <v>158.672</v>
      </c>
      <c r="AX10" s="18">
        <v>0</v>
      </c>
      <c r="AY10" s="18">
        <v>0</v>
      </c>
      <c r="AZ10" s="18">
        <v>0</v>
      </c>
      <c r="BA10" s="18">
        <v>123.134</v>
      </c>
      <c r="BB10" s="18">
        <v>91.683999999999997</v>
      </c>
      <c r="BC10" s="18">
        <v>158.672</v>
      </c>
      <c r="BD10" s="18">
        <v>0</v>
      </c>
      <c r="BE10" s="18">
        <v>0</v>
      </c>
      <c r="BF10" s="18">
        <v>0</v>
      </c>
      <c r="BG10" s="18">
        <v>123.134</v>
      </c>
      <c r="BH10" s="18">
        <v>91.683999999999997</v>
      </c>
      <c r="BI10" s="18">
        <v>158.672</v>
      </c>
      <c r="BJ10" s="18">
        <v>0</v>
      </c>
      <c r="BK10" s="18">
        <v>0</v>
      </c>
      <c r="BL10" s="18">
        <v>0</v>
      </c>
      <c r="BM10" s="18">
        <v>123.134</v>
      </c>
      <c r="BN10" s="18">
        <v>91.683999999999997</v>
      </c>
      <c r="BO10" s="18">
        <v>158.672</v>
      </c>
      <c r="BP10" s="18"/>
      <c r="BQ10" s="18"/>
      <c r="BR10" s="18"/>
      <c r="BS10" s="18"/>
      <c r="BT10" s="10">
        <f>Tabelle58971121[[#This Row],[Mindestauslastung durch]]*Tabelle58971121[[#This Row],[installierte Leistung MW durch]]</f>
        <v>131.34</v>
      </c>
      <c r="BU10" s="10">
        <f>Tabelle58971121[[#This Row],[Mindestauslastung min]]*Tabelle58971121[[#This Row],[installierte Leistung MW min]]</f>
        <v>108.3</v>
      </c>
      <c r="BV10" s="10">
        <f>Tabelle58971121[[#This Row],[Mindestauslastung max]]*Tabelle58971121[[#This Row],[installierte Leistung MW max]]</f>
        <v>154.38</v>
      </c>
      <c r="BW10" s="8">
        <v>0.06</v>
      </c>
      <c r="BX10" s="8">
        <v>0.06</v>
      </c>
      <c r="BY10" s="8">
        <v>0.06</v>
      </c>
      <c r="BZ10" s="8"/>
      <c r="CA10" s="8">
        <v>0.47399999999999998</v>
      </c>
      <c r="CB10" s="8">
        <v>0.374</v>
      </c>
      <c r="CC10" s="8">
        <v>0.57399999999999995</v>
      </c>
      <c r="CD10" s="8">
        <v>0.38</v>
      </c>
      <c r="CE10" s="8">
        <v>0.3</v>
      </c>
      <c r="CF10" s="8">
        <v>0.46</v>
      </c>
      <c r="CG10" s="8">
        <v>3.5999999999999997E-2</v>
      </c>
      <c r="CH10" s="8">
        <v>8.0000000000000002E-3</v>
      </c>
      <c r="CI10" s="8">
        <v>6.6000000000000003E-2</v>
      </c>
      <c r="CJ10" s="8">
        <v>0.104</v>
      </c>
      <c r="CK10" s="8">
        <v>4.3999999999999997E-2</v>
      </c>
      <c r="CL10" s="8">
        <v>0.16400000000000001</v>
      </c>
      <c r="CM10" s="8">
        <v>8.4000000000000005E-2</v>
      </c>
      <c r="CN10" s="8">
        <v>4.3999999999999997E-2</v>
      </c>
      <c r="CO10" s="8">
        <v>0.124</v>
      </c>
      <c r="CP10" s="8">
        <v>8.0000000000000002E-3</v>
      </c>
      <c r="CQ10" s="8">
        <v>0</v>
      </c>
      <c r="CR10" s="8">
        <v>3.7999999999999999E-2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/>
      <c r="DC10" s="8"/>
      <c r="DD10" s="8"/>
      <c r="DE10" s="48">
        <f>Tabelle58971121[[#This Row],[Durchschnittsauslastung min]]*Tabelle58971121[[#This Row],[installierte Leistung MW min]]</f>
        <v>0</v>
      </c>
      <c r="DF10" s="48">
        <f>Tabelle58971121[[#This Row],[Durchschnittsauslastung durch]]*Tabelle58971121[[#This Row],[installierte Leistung MW durch]]</f>
        <v>0</v>
      </c>
      <c r="DG10" s="48">
        <f>Tabelle58971121[[#This Row],[Durchschnittsauslastung max]]*Tabelle58971121[[#This Row],[installierte Leistung MW max]]</f>
        <v>0</v>
      </c>
      <c r="DH10" s="87">
        <f>Tabelle58971121[[#This Row],[Maximalauslastung durch]]*Tabelle58971121[[#This Row],[installierte Leistung MW min]]</f>
        <v>548.72</v>
      </c>
      <c r="DI10" s="48">
        <f>Tabelle58971121[[#This Row],[Maximalauslastung durch]]*Tabelle58971121[[#This Row],[installierte Leistung MW durch]]</f>
        <v>665.45600000000002</v>
      </c>
      <c r="DJ10" s="18">
        <f>Tabelle58971121[[#This Row],[Maximalauslastung max]]*Tabelle58971121[[#This Row],[installierte Leistung MW durch]]</f>
        <v>726.74800000000005</v>
      </c>
      <c r="DK10" s="8">
        <v>0.30399999999999999</v>
      </c>
      <c r="DL10" s="8">
        <v>0.27600000000000002</v>
      </c>
      <c r="DM10" s="8">
        <v>0.33200000000000002</v>
      </c>
      <c r="DN10" s="1">
        <v>2189</v>
      </c>
      <c r="DO10" s="1">
        <v>1805</v>
      </c>
      <c r="DP10" s="1">
        <v>2573</v>
      </c>
      <c r="DQ10" s="18"/>
      <c r="DR10" s="18"/>
      <c r="DW10" s="1">
        <v>0.19400000000000001</v>
      </c>
      <c r="DX10" s="1">
        <v>3.9999999999999987E-2</v>
      </c>
      <c r="DY10" s="1">
        <v>0.44</v>
      </c>
      <c r="EL10" s="1">
        <v>365</v>
      </c>
      <c r="EM10" s="1">
        <v>292</v>
      </c>
      <c r="EN10" s="1">
        <v>438</v>
      </c>
      <c r="EO10" s="10"/>
      <c r="EP10" s="10"/>
      <c r="EQ10" s="10"/>
      <c r="ER10" s="1">
        <v>365</v>
      </c>
      <c r="ES10" s="1">
        <v>292</v>
      </c>
      <c r="ET10" s="1">
        <v>438</v>
      </c>
      <c r="EV10" s="18"/>
      <c r="EW10" s="18"/>
      <c r="EX10" s="18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 t="s">
        <v>1046</v>
      </c>
      <c r="FK10" s="7" t="s">
        <v>1046</v>
      </c>
      <c r="FL10" s="7" t="s">
        <v>1046</v>
      </c>
      <c r="FO10" s="1">
        <v>67</v>
      </c>
      <c r="FP10" s="1">
        <v>67</v>
      </c>
      <c r="FQ10" s="1">
        <v>67</v>
      </c>
      <c r="FR10" s="12" t="s">
        <v>743</v>
      </c>
      <c r="FS10" s="12" t="s">
        <v>743</v>
      </c>
      <c r="FT10" s="12" t="s">
        <v>743</v>
      </c>
      <c r="FU10" s="12"/>
      <c r="FV10" s="12" t="s">
        <v>743</v>
      </c>
      <c r="FW10" s="12" t="s">
        <v>743</v>
      </c>
      <c r="FX10" s="12" t="s">
        <v>743</v>
      </c>
      <c r="FY10" s="12" t="s">
        <v>743</v>
      </c>
      <c r="FZ10" s="12" t="s">
        <v>743</v>
      </c>
      <c r="GA10" s="12" t="s">
        <v>743</v>
      </c>
      <c r="GB10" s="12" t="s">
        <v>743</v>
      </c>
      <c r="GE10" s="12" t="s">
        <v>743</v>
      </c>
      <c r="GF10" s="12" t="s">
        <v>743</v>
      </c>
      <c r="GH10" s="12" t="s">
        <v>743</v>
      </c>
    </row>
    <row r="11" spans="1:193" ht="12.75" customHeight="1" x14ac:dyDescent="0.2">
      <c r="A11" s="1" t="s">
        <v>365</v>
      </c>
      <c r="B11" s="1" t="s">
        <v>645</v>
      </c>
      <c r="E11" s="1" t="s">
        <v>130</v>
      </c>
      <c r="F11" s="1">
        <v>2</v>
      </c>
      <c r="G11" s="1">
        <v>2020</v>
      </c>
      <c r="H11" s="1">
        <v>1</v>
      </c>
      <c r="I11" s="1">
        <v>0</v>
      </c>
      <c r="J11" s="1">
        <v>0</v>
      </c>
      <c r="K11" s="18"/>
      <c r="L11" s="18"/>
      <c r="M11" s="18"/>
      <c r="N11" s="18">
        <v>225.25067999999999</v>
      </c>
      <c r="O11" s="18">
        <v>147.57946000000001</v>
      </c>
      <c r="P11" s="18">
        <v>319.66430000000003</v>
      </c>
      <c r="Q11" s="18">
        <v>0.92214000000000018</v>
      </c>
      <c r="R11" s="18">
        <v>0</v>
      </c>
      <c r="S11" s="18">
        <v>12.541540000000001</v>
      </c>
      <c r="T11" s="18">
        <v>134.06128000000001</v>
      </c>
      <c r="U11" s="18">
        <v>86.277860000000004</v>
      </c>
      <c r="V11" s="18">
        <v>192.91910000000001</v>
      </c>
      <c r="W11" s="18">
        <v>47.486940000000004</v>
      </c>
      <c r="X11" s="18">
        <v>36.449599999999997</v>
      </c>
      <c r="Y11" s="18">
        <v>70.355139999999992</v>
      </c>
      <c r="Z11" s="18">
        <v>8.704740000000001</v>
      </c>
      <c r="AA11" s="18">
        <v>1.7614400000000003</v>
      </c>
      <c r="AB11" s="18">
        <v>19.05538</v>
      </c>
      <c r="AC11" s="18">
        <v>125.51132000000001</v>
      </c>
      <c r="AD11" s="18">
        <v>87.760260000000002</v>
      </c>
      <c r="AE11" s="18">
        <v>170.51087999999999</v>
      </c>
      <c r="AF11" s="18">
        <v>43.052819999999997</v>
      </c>
      <c r="AG11" s="18">
        <v>7.7041200000000023</v>
      </c>
      <c r="AH11" s="18">
        <v>89.60672000000001</v>
      </c>
      <c r="AI11" s="18">
        <v>83.914739999999995</v>
      </c>
      <c r="AJ11" s="18">
        <v>30.24314</v>
      </c>
      <c r="AK11" s="18">
        <v>153.24746000000002</v>
      </c>
      <c r="AL11" s="18">
        <v>23.650820000000003</v>
      </c>
      <c r="AM11" s="18">
        <v>7.7041200000000023</v>
      </c>
      <c r="AN11" s="18">
        <v>45.134720000000002</v>
      </c>
      <c r="AO11" s="18">
        <v>103.31674</v>
      </c>
      <c r="AP11" s="18">
        <v>63.379140000000007</v>
      </c>
      <c r="AQ11" s="18">
        <v>153.24746000000002</v>
      </c>
      <c r="AR11" s="18">
        <v>1.9075000000000002</v>
      </c>
      <c r="AS11" s="18">
        <v>0</v>
      </c>
      <c r="AT11" s="18">
        <v>10.812800000000001</v>
      </c>
      <c r="AU11" s="18">
        <v>132.30856</v>
      </c>
      <c r="AV11" s="18">
        <v>93.112160000000003</v>
      </c>
      <c r="AW11" s="18">
        <v>172.95248000000001</v>
      </c>
      <c r="AX11" s="18">
        <v>0</v>
      </c>
      <c r="AY11" s="18">
        <v>0</v>
      </c>
      <c r="AZ11" s="18">
        <v>0</v>
      </c>
      <c r="BA11" s="18">
        <v>134.21606</v>
      </c>
      <c r="BB11" s="18">
        <v>99.935560000000009</v>
      </c>
      <c r="BC11" s="18">
        <v>172.95248000000001</v>
      </c>
      <c r="BD11" s="18">
        <v>0</v>
      </c>
      <c r="BE11" s="18">
        <v>0</v>
      </c>
      <c r="BF11" s="18">
        <v>0</v>
      </c>
      <c r="BG11" s="18">
        <v>134.21606</v>
      </c>
      <c r="BH11" s="18">
        <v>99.935560000000009</v>
      </c>
      <c r="BI11" s="18">
        <v>172.95248000000001</v>
      </c>
      <c r="BJ11" s="18">
        <v>0</v>
      </c>
      <c r="BK11" s="18">
        <v>0</v>
      </c>
      <c r="BL11" s="18">
        <v>0</v>
      </c>
      <c r="BM11" s="18">
        <v>134.21606</v>
      </c>
      <c r="BN11" s="18">
        <v>99.935560000000009</v>
      </c>
      <c r="BO11" s="18">
        <v>172.95248000000001</v>
      </c>
      <c r="BP11" s="18"/>
      <c r="BQ11" s="18"/>
      <c r="BR11" s="18"/>
      <c r="BS11" s="18"/>
      <c r="BT11" s="10">
        <f>Tabelle58971121[[#This Row],[Mindestauslastung durch]]*Tabelle58971121[[#This Row],[installierte Leistung MW durch]]</f>
        <v>142.10159999999999</v>
      </c>
      <c r="BU11" s="10">
        <f>Tabelle58971121[[#This Row],[Mindestauslastung min]]*Tabelle58971121[[#This Row],[installierte Leistung MW min]]</f>
        <v>117.0558</v>
      </c>
      <c r="BV11" s="10">
        <f>Tabelle58971121[[#This Row],[Mindestauslastung max]]*Tabelle58971121[[#This Row],[installierte Leistung MW max]]</f>
        <v>167.1474</v>
      </c>
      <c r="BW11" s="8">
        <v>0.06</v>
      </c>
      <c r="BX11" s="8">
        <v>0.06</v>
      </c>
      <c r="BY11" s="8">
        <v>0.06</v>
      </c>
      <c r="BZ11" s="8"/>
      <c r="CA11" s="8">
        <v>0.47399999999999998</v>
      </c>
      <c r="CB11" s="8">
        <v>0.374</v>
      </c>
      <c r="CC11" s="8">
        <v>0.57399999999999995</v>
      </c>
      <c r="CD11" s="8">
        <v>0.38</v>
      </c>
      <c r="CE11" s="8">
        <v>0.3</v>
      </c>
      <c r="CF11" s="8">
        <v>0.46</v>
      </c>
      <c r="CG11" s="8">
        <v>3.5999999999999997E-2</v>
      </c>
      <c r="CH11" s="8">
        <v>8.0000000000000002E-3</v>
      </c>
      <c r="CI11" s="8">
        <v>6.6000000000000003E-2</v>
      </c>
      <c r="CJ11" s="8">
        <v>0.104</v>
      </c>
      <c r="CK11" s="8">
        <v>4.3999999999999997E-2</v>
      </c>
      <c r="CL11" s="8">
        <v>0.16400000000000001</v>
      </c>
      <c r="CM11" s="8">
        <v>8.4000000000000005E-2</v>
      </c>
      <c r="CN11" s="8">
        <v>4.3999999999999997E-2</v>
      </c>
      <c r="CO11" s="8">
        <v>0.124</v>
      </c>
      <c r="CP11" s="8">
        <v>8.0000000000000002E-3</v>
      </c>
      <c r="CQ11" s="8">
        <v>0</v>
      </c>
      <c r="CR11" s="8">
        <v>3.7999999999999999E-2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/>
      <c r="DC11" s="8"/>
      <c r="DD11" s="8"/>
      <c r="DE11" s="48">
        <f>Tabelle58971121[[#This Row],[Durchschnittsauslastung min]]*Tabelle58971121[[#This Row],[installierte Leistung MW min]]</f>
        <v>0</v>
      </c>
      <c r="DF11" s="48">
        <f>Tabelle58971121[[#This Row],[Durchschnittsauslastung durch]]*Tabelle58971121[[#This Row],[installierte Leistung MW durch]]</f>
        <v>0</v>
      </c>
      <c r="DG11" s="48">
        <f>Tabelle58971121[[#This Row],[Durchschnittsauslastung max]]*Tabelle58971121[[#This Row],[installierte Leistung MW max]]</f>
        <v>0</v>
      </c>
      <c r="DH11" s="87">
        <f>Tabelle58971121[[#This Row],[Maximalauslastung durch]]*Tabelle58971121[[#This Row],[installierte Leistung MW min]]</f>
        <v>593.08271999999999</v>
      </c>
      <c r="DI11" s="48">
        <f>Tabelle58971121[[#This Row],[Maximalauslastung durch]]*Tabelle58971121[[#This Row],[installierte Leistung MW durch]]</f>
        <v>719.98144000000002</v>
      </c>
      <c r="DJ11" s="18">
        <f>Tabelle58971121[[#This Row],[Maximalauslastung max]]*Tabelle58971121[[#This Row],[installierte Leistung MW durch]]</f>
        <v>786.29552000000012</v>
      </c>
      <c r="DK11" s="8">
        <v>0.30399999999999999</v>
      </c>
      <c r="DL11" s="8">
        <v>0.27600000000000002</v>
      </c>
      <c r="DM11" s="8">
        <v>0.33200000000000002</v>
      </c>
      <c r="DN11" s="1">
        <v>2368.36</v>
      </c>
      <c r="DO11" s="1">
        <v>1950.93</v>
      </c>
      <c r="DP11" s="1">
        <v>2785.79</v>
      </c>
      <c r="DQ11" s="18"/>
      <c r="DR11" s="18"/>
      <c r="DW11" s="1">
        <v>0.19400000000000001</v>
      </c>
      <c r="DX11" s="1">
        <v>3.9999999999999987E-2</v>
      </c>
      <c r="DY11" s="1">
        <v>0.44</v>
      </c>
      <c r="EL11" s="1">
        <v>365</v>
      </c>
      <c r="EM11" s="1">
        <v>292</v>
      </c>
      <c r="EN11" s="1">
        <v>438</v>
      </c>
      <c r="EO11" s="10"/>
      <c r="EP11" s="10"/>
      <c r="EQ11" s="10"/>
      <c r="ER11" s="1">
        <v>365</v>
      </c>
      <c r="ES11" s="1">
        <v>292</v>
      </c>
      <c r="ET11" s="1">
        <v>438</v>
      </c>
      <c r="EV11" s="18"/>
      <c r="EW11" s="18"/>
      <c r="EX11" s="18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 t="s">
        <v>1046</v>
      </c>
      <c r="FK11" s="7" t="s">
        <v>1046</v>
      </c>
      <c r="FL11" s="7" t="s">
        <v>1046</v>
      </c>
      <c r="FO11" s="1">
        <v>67</v>
      </c>
      <c r="FP11" s="1">
        <v>67</v>
      </c>
      <c r="FQ11" s="1">
        <v>67</v>
      </c>
      <c r="FR11" s="12" t="s">
        <v>743</v>
      </c>
      <c r="FS11" s="12" t="s">
        <v>743</v>
      </c>
      <c r="FT11" s="12" t="s">
        <v>743</v>
      </c>
      <c r="FU11" s="12"/>
      <c r="FV11" s="12" t="s">
        <v>743</v>
      </c>
      <c r="FW11" s="12" t="s">
        <v>743</v>
      </c>
      <c r="FX11" s="12" t="s">
        <v>743</v>
      </c>
      <c r="FY11" s="12" t="s">
        <v>743</v>
      </c>
      <c r="FZ11" s="12" t="s">
        <v>743</v>
      </c>
      <c r="GA11" s="12" t="s">
        <v>743</v>
      </c>
      <c r="GB11" s="12" t="s">
        <v>743</v>
      </c>
      <c r="GE11" s="12" t="s">
        <v>743</v>
      </c>
      <c r="GF11" s="12" t="s">
        <v>743</v>
      </c>
      <c r="GH11" s="12" t="s">
        <v>743</v>
      </c>
    </row>
    <row r="12" spans="1:193" ht="12.75" customHeight="1" x14ac:dyDescent="0.2">
      <c r="A12" s="1" t="s">
        <v>365</v>
      </c>
      <c r="B12" s="1" t="s">
        <v>645</v>
      </c>
      <c r="E12" s="1" t="s">
        <v>130</v>
      </c>
      <c r="F12" s="1">
        <v>2</v>
      </c>
      <c r="G12" s="1">
        <v>2025</v>
      </c>
      <c r="H12" s="1">
        <v>1</v>
      </c>
      <c r="I12" s="1">
        <v>0</v>
      </c>
      <c r="J12" s="1">
        <v>0</v>
      </c>
      <c r="K12" s="18"/>
      <c r="L12" s="18"/>
      <c r="M12" s="18"/>
      <c r="N12" s="18">
        <v>247.15579199999996</v>
      </c>
      <c r="O12" s="18">
        <v>161.93122399999999</v>
      </c>
      <c r="P12" s="18">
        <v>350.75091999999995</v>
      </c>
      <c r="Q12" s="18">
        <v>1.011816</v>
      </c>
      <c r="R12" s="18">
        <v>0</v>
      </c>
      <c r="S12" s="18">
        <v>13.761175999999999</v>
      </c>
      <c r="T12" s="18">
        <v>147.098432</v>
      </c>
      <c r="U12" s="18">
        <v>94.668183999999997</v>
      </c>
      <c r="V12" s="18">
        <v>211.68003999999999</v>
      </c>
      <c r="W12" s="18">
        <v>52.104936000000002</v>
      </c>
      <c r="X12" s="18">
        <v>39.994239999999998</v>
      </c>
      <c r="Y12" s="18">
        <v>77.197015999999991</v>
      </c>
      <c r="Z12" s="18">
        <v>9.5512559999999986</v>
      </c>
      <c r="AA12" s="18">
        <v>1.932736</v>
      </c>
      <c r="AB12" s="18">
        <v>20.908472</v>
      </c>
      <c r="AC12" s="18">
        <v>137.71700799999999</v>
      </c>
      <c r="AD12" s="18">
        <v>96.294743999999994</v>
      </c>
      <c r="AE12" s="18">
        <v>187.09267199999996</v>
      </c>
      <c r="AF12" s="18">
        <v>47.239607999999997</v>
      </c>
      <c r="AG12" s="18">
        <v>8.4533280000000008</v>
      </c>
      <c r="AH12" s="18">
        <v>98.320768000000001</v>
      </c>
      <c r="AI12" s="18">
        <v>92.075255999999982</v>
      </c>
      <c r="AJ12" s="18">
        <v>33.184215999999999</v>
      </c>
      <c r="AK12" s="18">
        <v>168.15042399999999</v>
      </c>
      <c r="AL12" s="18">
        <v>25.950807999999999</v>
      </c>
      <c r="AM12" s="18">
        <v>8.4533280000000008</v>
      </c>
      <c r="AN12" s="18">
        <v>49.523967999999996</v>
      </c>
      <c r="AO12" s="18">
        <v>113.36405599999998</v>
      </c>
      <c r="AP12" s="18">
        <v>69.542615999999995</v>
      </c>
      <c r="AQ12" s="18">
        <v>168.15042399999999</v>
      </c>
      <c r="AR12" s="18">
        <v>2.093</v>
      </c>
      <c r="AS12" s="18">
        <v>0</v>
      </c>
      <c r="AT12" s="18">
        <v>11.864319999999999</v>
      </c>
      <c r="AU12" s="18">
        <v>145.175264</v>
      </c>
      <c r="AV12" s="18">
        <v>102.16710399999998</v>
      </c>
      <c r="AW12" s="18">
        <v>189.77171199999998</v>
      </c>
      <c r="AX12" s="18">
        <v>0</v>
      </c>
      <c r="AY12" s="18">
        <v>0</v>
      </c>
      <c r="AZ12" s="18">
        <v>0</v>
      </c>
      <c r="BA12" s="18">
        <v>147.26826399999999</v>
      </c>
      <c r="BB12" s="18">
        <v>109.65406399999999</v>
      </c>
      <c r="BC12" s="18">
        <v>189.77171199999998</v>
      </c>
      <c r="BD12" s="18">
        <v>0</v>
      </c>
      <c r="BE12" s="18">
        <v>0</v>
      </c>
      <c r="BF12" s="18">
        <v>0</v>
      </c>
      <c r="BG12" s="18">
        <v>147.26826399999999</v>
      </c>
      <c r="BH12" s="18">
        <v>109.65406399999999</v>
      </c>
      <c r="BI12" s="18">
        <v>189.77171199999998</v>
      </c>
      <c r="BJ12" s="18">
        <v>0</v>
      </c>
      <c r="BK12" s="18">
        <v>0</v>
      </c>
      <c r="BL12" s="18">
        <v>0</v>
      </c>
      <c r="BM12" s="18">
        <v>147.26826399999999</v>
      </c>
      <c r="BN12" s="18">
        <v>109.65406399999999</v>
      </c>
      <c r="BO12" s="18">
        <v>189.77171199999998</v>
      </c>
      <c r="BP12" s="18"/>
      <c r="BQ12" s="18"/>
      <c r="BR12" s="18"/>
      <c r="BS12" s="18"/>
      <c r="BT12" s="10">
        <f>Tabelle58971121[[#This Row],[Mindestauslastung durch]]*Tabelle58971121[[#This Row],[installierte Leistung MW durch]]</f>
        <v>154.3092</v>
      </c>
      <c r="BU12" s="10">
        <f>Tabelle58971121[[#This Row],[Mindestauslastung min]]*Tabelle58971121[[#This Row],[installierte Leistung MW min]]</f>
        <v>126.96300000000001</v>
      </c>
      <c r="BV12" s="10">
        <f>Tabelle58971121[[#This Row],[Mindestauslastung max]]*Tabelle58971121[[#This Row],[installierte Leistung MW max]]</f>
        <v>181.65540000000001</v>
      </c>
      <c r="BW12" s="8">
        <v>0.06</v>
      </c>
      <c r="BX12" s="8">
        <v>0.06</v>
      </c>
      <c r="BY12" s="8">
        <v>0.06</v>
      </c>
      <c r="BZ12" s="8"/>
      <c r="CA12" s="8">
        <v>0.47399999999999998</v>
      </c>
      <c r="CB12" s="8">
        <v>0.374</v>
      </c>
      <c r="CC12" s="8">
        <v>0.57399999999999995</v>
      </c>
      <c r="CD12" s="8">
        <v>0.38</v>
      </c>
      <c r="CE12" s="8">
        <v>0.3</v>
      </c>
      <c r="CF12" s="8">
        <v>0.46</v>
      </c>
      <c r="CG12" s="8">
        <v>3.5999999999999997E-2</v>
      </c>
      <c r="CH12" s="8">
        <v>8.0000000000000002E-3</v>
      </c>
      <c r="CI12" s="8">
        <v>6.6000000000000003E-2</v>
      </c>
      <c r="CJ12" s="8">
        <v>0.104</v>
      </c>
      <c r="CK12" s="8">
        <v>4.3999999999999997E-2</v>
      </c>
      <c r="CL12" s="8">
        <v>0.16400000000000001</v>
      </c>
      <c r="CM12" s="8">
        <v>8.4000000000000005E-2</v>
      </c>
      <c r="CN12" s="8">
        <v>4.3999999999999997E-2</v>
      </c>
      <c r="CO12" s="8">
        <v>0.124</v>
      </c>
      <c r="CP12" s="8">
        <v>8.0000000000000002E-3</v>
      </c>
      <c r="CQ12" s="8">
        <v>0</v>
      </c>
      <c r="CR12" s="8">
        <v>3.7999999999999999E-2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/>
      <c r="DC12" s="8"/>
      <c r="DD12" s="8"/>
      <c r="DE12" s="48">
        <f>Tabelle58971121[[#This Row],[Durchschnittsauslastung min]]*Tabelle58971121[[#This Row],[installierte Leistung MW min]]</f>
        <v>0</v>
      </c>
      <c r="DF12" s="48">
        <f>Tabelle58971121[[#This Row],[Durchschnittsauslastung durch]]*Tabelle58971121[[#This Row],[installierte Leistung MW durch]]</f>
        <v>0</v>
      </c>
      <c r="DG12" s="48">
        <f>Tabelle58971121[[#This Row],[Durchschnittsauslastung max]]*Tabelle58971121[[#This Row],[installierte Leistung MW max]]</f>
        <v>0</v>
      </c>
      <c r="DH12" s="87">
        <f>Tabelle58971121[[#This Row],[Maximalauslastung durch]]*Tabelle58971121[[#This Row],[installierte Leistung MW min]]</f>
        <v>643.27920000000006</v>
      </c>
      <c r="DI12" s="48">
        <f>Tabelle58971121[[#This Row],[Maximalauslastung durch]]*Tabelle58971121[[#This Row],[installierte Leistung MW durch]]</f>
        <v>781.83328000000006</v>
      </c>
      <c r="DJ12" s="18">
        <f>Tabelle58971121[[#This Row],[Maximalauslastung max]]*Tabelle58971121[[#This Row],[installierte Leistung MW durch]]</f>
        <v>853.84424000000013</v>
      </c>
      <c r="DK12" s="8">
        <v>0.30399999999999999</v>
      </c>
      <c r="DL12" s="8">
        <v>0.27600000000000002</v>
      </c>
      <c r="DM12" s="8">
        <v>0.33200000000000002</v>
      </c>
      <c r="DN12" s="1">
        <v>2571.8200000000002</v>
      </c>
      <c r="DO12" s="1">
        <v>2116.0500000000002</v>
      </c>
      <c r="DP12" s="1">
        <v>3027.59</v>
      </c>
      <c r="DQ12" s="18"/>
      <c r="DR12" s="18"/>
      <c r="DW12" s="1">
        <v>0.19400000000000001</v>
      </c>
      <c r="DX12" s="1">
        <v>3.9999999999999987E-2</v>
      </c>
      <c r="DY12" s="1">
        <v>0.44</v>
      </c>
      <c r="EL12" s="1">
        <v>365</v>
      </c>
      <c r="EM12" s="1">
        <v>292</v>
      </c>
      <c r="EN12" s="1">
        <v>438</v>
      </c>
      <c r="EO12" s="10"/>
      <c r="EP12" s="10"/>
      <c r="EQ12" s="10"/>
      <c r="ER12" s="1">
        <v>365</v>
      </c>
      <c r="ES12" s="1">
        <v>292</v>
      </c>
      <c r="ET12" s="1">
        <v>438</v>
      </c>
      <c r="EV12" s="18"/>
      <c r="EW12" s="18"/>
      <c r="EX12" s="18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 t="s">
        <v>1046</v>
      </c>
      <c r="FK12" s="7" t="s">
        <v>1046</v>
      </c>
      <c r="FL12" s="7" t="s">
        <v>1046</v>
      </c>
      <c r="FO12" s="1">
        <v>67</v>
      </c>
      <c r="FP12" s="1">
        <v>67</v>
      </c>
      <c r="FQ12" s="1">
        <v>67</v>
      </c>
      <c r="FR12" s="12" t="s">
        <v>743</v>
      </c>
      <c r="FS12" s="12" t="s">
        <v>743</v>
      </c>
      <c r="FT12" s="12" t="s">
        <v>743</v>
      </c>
      <c r="FU12" s="12"/>
      <c r="FV12" s="12" t="s">
        <v>743</v>
      </c>
      <c r="FW12" s="12" t="s">
        <v>743</v>
      </c>
      <c r="FX12" s="12" t="s">
        <v>743</v>
      </c>
      <c r="FY12" s="12" t="s">
        <v>743</v>
      </c>
      <c r="FZ12" s="12" t="s">
        <v>743</v>
      </c>
      <c r="GA12" s="12" t="s">
        <v>743</v>
      </c>
      <c r="GB12" s="12" t="s">
        <v>743</v>
      </c>
      <c r="GE12" s="12" t="s">
        <v>743</v>
      </c>
      <c r="GF12" s="12" t="s">
        <v>743</v>
      </c>
      <c r="GH12" s="12" t="s">
        <v>743</v>
      </c>
    </row>
    <row r="13" spans="1:193" ht="12.75" customHeight="1" x14ac:dyDescent="0.2">
      <c r="A13" s="1" t="s">
        <v>365</v>
      </c>
      <c r="B13" s="1" t="s">
        <v>645</v>
      </c>
      <c r="E13" s="1" t="s">
        <v>130</v>
      </c>
      <c r="F13" s="1">
        <v>2</v>
      </c>
      <c r="G13" s="1">
        <v>2030</v>
      </c>
      <c r="H13" s="1">
        <v>1</v>
      </c>
      <c r="I13" s="1">
        <v>0</v>
      </c>
      <c r="J13" s="1">
        <v>0</v>
      </c>
      <c r="K13" s="18"/>
      <c r="L13" s="18"/>
      <c r="M13" s="18"/>
      <c r="N13" s="18">
        <v>274.43385599999999</v>
      </c>
      <c r="O13" s="18">
        <v>179.80323200000001</v>
      </c>
      <c r="P13" s="18">
        <v>389.46256</v>
      </c>
      <c r="Q13" s="18">
        <v>1.1234880000000003</v>
      </c>
      <c r="R13" s="18">
        <v>0</v>
      </c>
      <c r="S13" s="18">
        <v>15.279968</v>
      </c>
      <c r="T13" s="18">
        <v>163.33337600000002</v>
      </c>
      <c r="U13" s="18">
        <v>105.116512</v>
      </c>
      <c r="V13" s="18">
        <v>235.04272000000003</v>
      </c>
      <c r="W13" s="18">
        <v>57.855648000000009</v>
      </c>
      <c r="X13" s="18">
        <v>44.408319999999996</v>
      </c>
      <c r="Y13" s="18">
        <v>85.71708799999999</v>
      </c>
      <c r="Z13" s="18">
        <v>10.605408000000001</v>
      </c>
      <c r="AA13" s="18">
        <v>2.1460480000000004</v>
      </c>
      <c r="AB13" s="18">
        <v>23.216096</v>
      </c>
      <c r="AC13" s="18">
        <v>152.91654400000002</v>
      </c>
      <c r="AD13" s="18">
        <v>106.92259199999999</v>
      </c>
      <c r="AE13" s="18">
        <v>207.74169599999999</v>
      </c>
      <c r="AF13" s="18">
        <v>52.453344000000001</v>
      </c>
      <c r="AG13" s="18">
        <v>9.3863040000000026</v>
      </c>
      <c r="AH13" s="18">
        <v>109.172224</v>
      </c>
      <c r="AI13" s="18">
        <v>102.23740799999999</v>
      </c>
      <c r="AJ13" s="18">
        <v>36.846688</v>
      </c>
      <c r="AK13" s="18">
        <v>186.708832</v>
      </c>
      <c r="AL13" s="18">
        <v>28.814944000000001</v>
      </c>
      <c r="AM13" s="18">
        <v>9.3863040000000026</v>
      </c>
      <c r="AN13" s="18">
        <v>54.989824000000006</v>
      </c>
      <c r="AO13" s="18">
        <v>125.87580799999999</v>
      </c>
      <c r="AP13" s="18">
        <v>77.217888000000002</v>
      </c>
      <c r="AQ13" s="18">
        <v>186.708832</v>
      </c>
      <c r="AR13" s="18">
        <v>2.3240000000000003</v>
      </c>
      <c r="AS13" s="18">
        <v>0</v>
      </c>
      <c r="AT13" s="18">
        <v>13.173760000000001</v>
      </c>
      <c r="AU13" s="18">
        <v>161.19795200000002</v>
      </c>
      <c r="AV13" s="18">
        <v>113.443072</v>
      </c>
      <c r="AW13" s="18">
        <v>210.71641600000001</v>
      </c>
      <c r="AX13" s="18">
        <v>0</v>
      </c>
      <c r="AY13" s="18">
        <v>0</v>
      </c>
      <c r="AZ13" s="18">
        <v>0</v>
      </c>
      <c r="BA13" s="18">
        <v>163.521952</v>
      </c>
      <c r="BB13" s="18">
        <v>121.75635200000001</v>
      </c>
      <c r="BC13" s="18">
        <v>210.71641600000001</v>
      </c>
      <c r="BD13" s="18">
        <v>0</v>
      </c>
      <c r="BE13" s="18">
        <v>0</v>
      </c>
      <c r="BF13" s="18">
        <v>0</v>
      </c>
      <c r="BG13" s="18">
        <v>163.521952</v>
      </c>
      <c r="BH13" s="18">
        <v>121.75635200000001</v>
      </c>
      <c r="BI13" s="18">
        <v>210.71641600000001</v>
      </c>
      <c r="BJ13" s="18">
        <v>0</v>
      </c>
      <c r="BK13" s="18">
        <v>0</v>
      </c>
      <c r="BL13" s="18">
        <v>0</v>
      </c>
      <c r="BM13" s="18">
        <v>163.521952</v>
      </c>
      <c r="BN13" s="18">
        <v>121.75635200000001</v>
      </c>
      <c r="BO13" s="18">
        <v>210.71641600000001</v>
      </c>
      <c r="BP13" s="18"/>
      <c r="BQ13" s="18"/>
      <c r="BR13" s="18"/>
      <c r="BS13" s="18"/>
      <c r="BT13" s="10">
        <f>Tabelle58971121[[#This Row],[Mindestauslastung durch]]*Tabelle58971121[[#This Row],[installierte Leistung MW durch]]</f>
        <v>168.96180000000001</v>
      </c>
      <c r="BU13" s="10">
        <f>Tabelle58971121[[#This Row],[Mindestauslastung min]]*Tabelle58971121[[#This Row],[installierte Leistung MW min]]</f>
        <v>138.8322</v>
      </c>
      <c r="BV13" s="10">
        <f>Tabelle58971121[[#This Row],[Mindestauslastung max]]*Tabelle58971121[[#This Row],[installierte Leistung MW max]]</f>
        <v>199.09139999999999</v>
      </c>
      <c r="BW13" s="8">
        <v>0.06</v>
      </c>
      <c r="BX13" s="8">
        <v>0.06</v>
      </c>
      <c r="BY13" s="8">
        <v>0.06</v>
      </c>
      <c r="BZ13" s="8"/>
      <c r="CA13" s="8">
        <v>0.47399999999999998</v>
      </c>
      <c r="CB13" s="8">
        <v>0.374</v>
      </c>
      <c r="CC13" s="8">
        <v>0.57399999999999995</v>
      </c>
      <c r="CD13" s="8">
        <v>0.38</v>
      </c>
      <c r="CE13" s="8">
        <v>0.3</v>
      </c>
      <c r="CF13" s="8">
        <v>0.46</v>
      </c>
      <c r="CG13" s="8">
        <v>3.5999999999999997E-2</v>
      </c>
      <c r="CH13" s="8">
        <v>8.0000000000000002E-3</v>
      </c>
      <c r="CI13" s="8">
        <v>6.6000000000000003E-2</v>
      </c>
      <c r="CJ13" s="8">
        <v>0.104</v>
      </c>
      <c r="CK13" s="8">
        <v>4.3999999999999997E-2</v>
      </c>
      <c r="CL13" s="8">
        <v>0.16400000000000001</v>
      </c>
      <c r="CM13" s="8">
        <v>8.4000000000000005E-2</v>
      </c>
      <c r="CN13" s="8">
        <v>4.3999999999999997E-2</v>
      </c>
      <c r="CO13" s="8">
        <v>0.124</v>
      </c>
      <c r="CP13" s="8">
        <v>8.0000000000000002E-3</v>
      </c>
      <c r="CQ13" s="8">
        <v>0</v>
      </c>
      <c r="CR13" s="8">
        <v>3.7999999999999999E-2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/>
      <c r="DC13" s="8"/>
      <c r="DD13" s="8"/>
      <c r="DE13" s="48">
        <f>Tabelle58971121[[#This Row],[Durchschnittsauslastung min]]*Tabelle58971121[[#This Row],[installierte Leistung MW min]]</f>
        <v>0</v>
      </c>
      <c r="DF13" s="48">
        <f>Tabelle58971121[[#This Row],[Durchschnittsauslastung durch]]*Tabelle58971121[[#This Row],[installierte Leistung MW durch]]</f>
        <v>0</v>
      </c>
      <c r="DG13" s="48">
        <f>Tabelle58971121[[#This Row],[Durchschnittsauslastung max]]*Tabelle58971121[[#This Row],[installierte Leistung MW max]]</f>
        <v>0</v>
      </c>
      <c r="DH13" s="87">
        <f>Tabelle58971121[[#This Row],[Maximalauslastung durch]]*Tabelle58971121[[#This Row],[installierte Leistung MW min]]</f>
        <v>703.41647999999998</v>
      </c>
      <c r="DI13" s="48">
        <f>Tabelle58971121[[#This Row],[Maximalauslastung durch]]*Tabelle58971121[[#This Row],[installierte Leistung MW durch]]</f>
        <v>856.07312000000002</v>
      </c>
      <c r="DJ13" s="18">
        <f>Tabelle58971121[[#This Row],[Maximalauslastung max]]*Tabelle58971121[[#This Row],[installierte Leistung MW durch]]</f>
        <v>934.92196000000013</v>
      </c>
      <c r="DK13" s="8">
        <v>0.30399999999999999</v>
      </c>
      <c r="DL13" s="8">
        <v>0.27600000000000002</v>
      </c>
      <c r="DM13" s="8">
        <v>0.33200000000000002</v>
      </c>
      <c r="DN13" s="1">
        <v>2816.03</v>
      </c>
      <c r="DO13" s="1">
        <v>2313.87</v>
      </c>
      <c r="DP13" s="1">
        <v>3318.19</v>
      </c>
      <c r="DQ13" s="18"/>
      <c r="DR13" s="18"/>
      <c r="DW13" s="1">
        <v>0.19400000000000001</v>
      </c>
      <c r="DX13" s="1">
        <v>3.9999999999999987E-2</v>
      </c>
      <c r="DY13" s="1">
        <v>0.44</v>
      </c>
      <c r="EL13" s="1">
        <v>365</v>
      </c>
      <c r="EM13" s="1">
        <v>292</v>
      </c>
      <c r="EN13" s="1">
        <v>438</v>
      </c>
      <c r="EO13" s="10"/>
      <c r="EP13" s="10"/>
      <c r="EQ13" s="10"/>
      <c r="ER13" s="1">
        <v>365</v>
      </c>
      <c r="ES13" s="1">
        <v>292</v>
      </c>
      <c r="ET13" s="1">
        <v>438</v>
      </c>
      <c r="EV13" s="18"/>
      <c r="EW13" s="18"/>
      <c r="EX13" s="18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 t="s">
        <v>1046</v>
      </c>
      <c r="FK13" s="7" t="s">
        <v>1046</v>
      </c>
      <c r="FL13" s="7" t="s">
        <v>1046</v>
      </c>
      <c r="FO13" s="1">
        <v>67</v>
      </c>
      <c r="FP13" s="1">
        <v>67</v>
      </c>
      <c r="FQ13" s="1">
        <v>67</v>
      </c>
      <c r="FR13" s="12" t="s">
        <v>743</v>
      </c>
      <c r="FS13" s="12" t="s">
        <v>743</v>
      </c>
      <c r="FT13" s="12" t="s">
        <v>743</v>
      </c>
      <c r="FU13" s="12"/>
      <c r="FV13" s="12" t="s">
        <v>743</v>
      </c>
      <c r="FW13" s="12" t="s">
        <v>743</v>
      </c>
      <c r="FX13" s="12" t="s">
        <v>743</v>
      </c>
      <c r="FY13" s="12" t="s">
        <v>743</v>
      </c>
      <c r="FZ13" s="12" t="s">
        <v>743</v>
      </c>
      <c r="GA13" s="12" t="s">
        <v>743</v>
      </c>
      <c r="GB13" s="12" t="s">
        <v>743</v>
      </c>
      <c r="GE13" s="12" t="s">
        <v>743</v>
      </c>
      <c r="GF13" s="12" t="s">
        <v>743</v>
      </c>
      <c r="GH13" s="12" t="s">
        <v>743</v>
      </c>
    </row>
    <row r="14" spans="1:193" ht="12.75" customHeight="1" x14ac:dyDescent="0.2">
      <c r="A14" s="1" t="s">
        <v>365</v>
      </c>
      <c r="B14" s="1" t="s">
        <v>645</v>
      </c>
      <c r="E14" s="1" t="s">
        <v>130</v>
      </c>
      <c r="F14" s="1">
        <v>2</v>
      </c>
      <c r="G14" s="1">
        <v>2035</v>
      </c>
      <c r="H14" s="1">
        <v>1</v>
      </c>
      <c r="I14" s="1">
        <v>0</v>
      </c>
      <c r="J14" s="1">
        <v>0</v>
      </c>
      <c r="K14" s="18"/>
      <c r="L14" s="18"/>
      <c r="M14" s="18"/>
      <c r="N14" s="18">
        <v>306.67156799999998</v>
      </c>
      <c r="O14" s="18">
        <v>200.92469600000001</v>
      </c>
      <c r="P14" s="18">
        <v>435.21267999999998</v>
      </c>
      <c r="Q14" s="18">
        <v>1.2554640000000001</v>
      </c>
      <c r="R14" s="18">
        <v>0</v>
      </c>
      <c r="S14" s="18">
        <v>17.074904</v>
      </c>
      <c r="T14" s="18">
        <v>182.520128</v>
      </c>
      <c r="U14" s="18">
        <v>117.464536</v>
      </c>
      <c r="V14" s="18">
        <v>262.65316000000001</v>
      </c>
      <c r="W14" s="18">
        <v>64.651944</v>
      </c>
      <c r="X14" s="18">
        <v>49.624959999999994</v>
      </c>
      <c r="Y14" s="18">
        <v>95.786263999999989</v>
      </c>
      <c r="Z14" s="18">
        <v>11.851224</v>
      </c>
      <c r="AA14" s="18">
        <v>2.3981440000000003</v>
      </c>
      <c r="AB14" s="18">
        <v>25.943287999999999</v>
      </c>
      <c r="AC14" s="18">
        <v>170.87963199999999</v>
      </c>
      <c r="AD14" s="18">
        <v>119.48277599999999</v>
      </c>
      <c r="AE14" s="18">
        <v>232.14508799999999</v>
      </c>
      <c r="AF14" s="18">
        <v>58.615031999999999</v>
      </c>
      <c r="AG14" s="18">
        <v>10.488912000000003</v>
      </c>
      <c r="AH14" s="18">
        <v>121.99667199999999</v>
      </c>
      <c r="AI14" s="18">
        <v>114.24722399999999</v>
      </c>
      <c r="AJ14" s="18">
        <v>41.175063999999999</v>
      </c>
      <c r="AK14" s="18">
        <v>208.64149599999999</v>
      </c>
      <c r="AL14" s="18">
        <v>32.199832000000001</v>
      </c>
      <c r="AM14" s="18">
        <v>10.488912000000003</v>
      </c>
      <c r="AN14" s="18">
        <v>61.449472</v>
      </c>
      <c r="AO14" s="18">
        <v>140.66242399999999</v>
      </c>
      <c r="AP14" s="18">
        <v>86.288663999999997</v>
      </c>
      <c r="AQ14" s="18">
        <v>208.64149599999999</v>
      </c>
      <c r="AR14" s="18">
        <v>2.597</v>
      </c>
      <c r="AS14" s="18">
        <v>0</v>
      </c>
      <c r="AT14" s="18">
        <v>14.72128</v>
      </c>
      <c r="AU14" s="18">
        <v>180.13385600000001</v>
      </c>
      <c r="AV14" s="18">
        <v>126.76921599999999</v>
      </c>
      <c r="AW14" s="18">
        <v>235.46924799999999</v>
      </c>
      <c r="AX14" s="18">
        <v>0</v>
      </c>
      <c r="AY14" s="18">
        <v>0</v>
      </c>
      <c r="AZ14" s="18">
        <v>0</v>
      </c>
      <c r="BA14" s="18">
        <v>182.73085599999999</v>
      </c>
      <c r="BB14" s="18">
        <v>136.059056</v>
      </c>
      <c r="BC14" s="18">
        <v>235.46924799999999</v>
      </c>
      <c r="BD14" s="18">
        <v>0</v>
      </c>
      <c r="BE14" s="18">
        <v>0</v>
      </c>
      <c r="BF14" s="18">
        <v>0</v>
      </c>
      <c r="BG14" s="18">
        <v>182.73085599999999</v>
      </c>
      <c r="BH14" s="18">
        <v>136.059056</v>
      </c>
      <c r="BI14" s="18">
        <v>235.46924799999999</v>
      </c>
      <c r="BJ14" s="18">
        <v>0</v>
      </c>
      <c r="BK14" s="18">
        <v>0</v>
      </c>
      <c r="BL14" s="18">
        <v>0</v>
      </c>
      <c r="BM14" s="18">
        <v>182.73085599999999</v>
      </c>
      <c r="BN14" s="18">
        <v>136.059056</v>
      </c>
      <c r="BO14" s="18">
        <v>235.46924799999999</v>
      </c>
      <c r="BP14" s="18"/>
      <c r="BQ14" s="18"/>
      <c r="BR14" s="18"/>
      <c r="BS14" s="18"/>
      <c r="BT14" s="10">
        <f>Tabelle58971121[[#This Row],[Mindestauslastung durch]]*Tabelle58971121[[#This Row],[installierte Leistung MW durch]]</f>
        <v>185.90819999999999</v>
      </c>
      <c r="BU14" s="10">
        <f>Tabelle58971121[[#This Row],[Mindestauslastung min]]*Tabelle58971121[[#This Row],[installierte Leistung MW min]]</f>
        <v>152.55359999999993</v>
      </c>
      <c r="BV14" s="10">
        <f>Tabelle58971121[[#This Row],[Mindestauslastung max]]*Tabelle58971121[[#This Row],[installierte Leistung MW max]]</f>
        <v>219.2628</v>
      </c>
      <c r="BW14" s="8">
        <v>0.06</v>
      </c>
      <c r="BX14" s="8">
        <v>0.06</v>
      </c>
      <c r="BY14" s="8">
        <v>0.06</v>
      </c>
      <c r="BZ14" s="8"/>
      <c r="CA14" s="8">
        <v>0.47399999999999998</v>
      </c>
      <c r="CB14" s="8">
        <v>0.374</v>
      </c>
      <c r="CC14" s="8">
        <v>0.57399999999999995</v>
      </c>
      <c r="CD14" s="8">
        <v>0.38</v>
      </c>
      <c r="CE14" s="8">
        <v>0.3</v>
      </c>
      <c r="CF14" s="8">
        <v>0.46</v>
      </c>
      <c r="CG14" s="8">
        <v>3.5999999999999997E-2</v>
      </c>
      <c r="CH14" s="8">
        <v>8.0000000000000002E-3</v>
      </c>
      <c r="CI14" s="8">
        <v>6.6000000000000003E-2</v>
      </c>
      <c r="CJ14" s="8">
        <v>0.104</v>
      </c>
      <c r="CK14" s="8">
        <v>4.3999999999999997E-2</v>
      </c>
      <c r="CL14" s="8">
        <v>0.16400000000000001</v>
      </c>
      <c r="CM14" s="8">
        <v>8.4000000000000005E-2</v>
      </c>
      <c r="CN14" s="8">
        <v>4.3999999999999997E-2</v>
      </c>
      <c r="CO14" s="8">
        <v>0.124</v>
      </c>
      <c r="CP14" s="8">
        <v>8.0000000000000002E-3</v>
      </c>
      <c r="CQ14" s="8">
        <v>0</v>
      </c>
      <c r="CR14" s="8">
        <v>3.7999999999999999E-2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/>
      <c r="DC14" s="8"/>
      <c r="DD14" s="8"/>
      <c r="DE14" s="48">
        <f>Tabelle58971121[[#This Row],[Durchschnittsauslastung min]]*Tabelle58971121[[#This Row],[installierte Leistung MW min]]</f>
        <v>0</v>
      </c>
      <c r="DF14" s="48">
        <f>Tabelle58971121[[#This Row],[Durchschnittsauslastung durch]]*Tabelle58971121[[#This Row],[installierte Leistung MW durch]]</f>
        <v>0</v>
      </c>
      <c r="DG14" s="48">
        <f>Tabelle58971121[[#This Row],[Durchschnittsauslastung max]]*Tabelle58971121[[#This Row],[installierte Leistung MW max]]</f>
        <v>0</v>
      </c>
      <c r="DH14" s="87">
        <f>Tabelle58971121[[#This Row],[Maximalauslastung durch]]*Tabelle58971121[[#This Row],[installierte Leistung MW min]]</f>
        <v>772.93823999999972</v>
      </c>
      <c r="DI14" s="48">
        <f>Tabelle58971121[[#This Row],[Maximalauslastung durch]]*Tabelle58971121[[#This Row],[installierte Leistung MW durch]]</f>
        <v>941.93487999999991</v>
      </c>
      <c r="DJ14" s="18">
        <f>Tabelle58971121[[#This Row],[Maximalauslastung max]]*Tabelle58971121[[#This Row],[installierte Leistung MW durch]]</f>
        <v>1028.6920399999999</v>
      </c>
      <c r="DK14" s="8">
        <v>0.30399999999999999</v>
      </c>
      <c r="DL14" s="8">
        <v>0.27600000000000002</v>
      </c>
      <c r="DM14" s="8">
        <v>0.33200000000000002</v>
      </c>
      <c r="DN14" s="1">
        <v>3098.47</v>
      </c>
      <c r="DO14" s="1">
        <v>2542.559999999999</v>
      </c>
      <c r="DP14" s="1">
        <v>3654.38</v>
      </c>
      <c r="DQ14" s="18"/>
      <c r="DR14" s="18"/>
      <c r="DW14" s="1">
        <v>0.19400000000000001</v>
      </c>
      <c r="DX14" s="1">
        <v>3.9999999999999987E-2</v>
      </c>
      <c r="DY14" s="1">
        <v>0.44</v>
      </c>
      <c r="EL14" s="1">
        <v>365</v>
      </c>
      <c r="EM14" s="1">
        <v>292</v>
      </c>
      <c r="EN14" s="1">
        <v>438</v>
      </c>
      <c r="EO14" s="10"/>
      <c r="EP14" s="10"/>
      <c r="EQ14" s="10"/>
      <c r="ER14" s="1">
        <v>365</v>
      </c>
      <c r="ES14" s="1">
        <v>292</v>
      </c>
      <c r="ET14" s="1">
        <v>438</v>
      </c>
      <c r="EV14" s="18"/>
      <c r="EW14" s="18"/>
      <c r="EX14" s="18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 t="s">
        <v>1046</v>
      </c>
      <c r="FK14" s="7" t="s">
        <v>1046</v>
      </c>
      <c r="FL14" s="7" t="s">
        <v>1046</v>
      </c>
      <c r="FO14" s="1">
        <v>67</v>
      </c>
      <c r="FP14" s="1">
        <v>67</v>
      </c>
      <c r="FQ14" s="1">
        <v>67</v>
      </c>
      <c r="FR14" s="12" t="s">
        <v>743</v>
      </c>
      <c r="FS14" s="12" t="s">
        <v>743</v>
      </c>
      <c r="FT14" s="12" t="s">
        <v>743</v>
      </c>
      <c r="FU14" s="12"/>
      <c r="FV14" s="12" t="s">
        <v>743</v>
      </c>
      <c r="FW14" s="12" t="s">
        <v>743</v>
      </c>
      <c r="FX14" s="12" t="s">
        <v>743</v>
      </c>
      <c r="FY14" s="12" t="s">
        <v>743</v>
      </c>
      <c r="FZ14" s="12" t="s">
        <v>743</v>
      </c>
      <c r="GA14" s="12" t="s">
        <v>743</v>
      </c>
      <c r="GB14" s="12" t="s">
        <v>743</v>
      </c>
      <c r="GE14" s="12" t="s">
        <v>743</v>
      </c>
      <c r="GF14" s="12" t="s">
        <v>743</v>
      </c>
      <c r="GH14" s="12" t="s">
        <v>743</v>
      </c>
    </row>
    <row r="15" spans="1:193" ht="12.75" customHeight="1" x14ac:dyDescent="0.2">
      <c r="A15" s="1" t="s">
        <v>365</v>
      </c>
      <c r="B15" s="1" t="s">
        <v>645</v>
      </c>
      <c r="E15" s="1" t="s">
        <v>130</v>
      </c>
      <c r="F15" s="1">
        <v>2</v>
      </c>
      <c r="G15" s="1">
        <v>2040</v>
      </c>
      <c r="H15" s="1">
        <v>1</v>
      </c>
      <c r="I15" s="1">
        <v>0</v>
      </c>
      <c r="J15" s="1">
        <v>0</v>
      </c>
      <c r="K15" s="18"/>
      <c r="L15" s="18"/>
      <c r="M15" s="18"/>
      <c r="N15" s="18">
        <v>345.52214399999997</v>
      </c>
      <c r="O15" s="18">
        <v>226.37876800000001</v>
      </c>
      <c r="P15" s="18">
        <v>490.34743999999995</v>
      </c>
      <c r="Q15" s="18">
        <v>1.414512</v>
      </c>
      <c r="R15" s="18">
        <v>0</v>
      </c>
      <c r="S15" s="18">
        <v>19.238032</v>
      </c>
      <c r="T15" s="18">
        <v>205.64262400000001</v>
      </c>
      <c r="U15" s="18">
        <v>132.34548799999999</v>
      </c>
      <c r="V15" s="18">
        <v>295.92728</v>
      </c>
      <c r="W15" s="18">
        <v>72.842352000000005</v>
      </c>
      <c r="X15" s="18">
        <v>55.911679999999997</v>
      </c>
      <c r="Y15" s="18">
        <v>107.92091199999999</v>
      </c>
      <c r="Z15" s="18">
        <v>13.352592</v>
      </c>
      <c r="AA15" s="18">
        <v>2.7019519999999999</v>
      </c>
      <c r="AB15" s="18">
        <v>29.229903999999998</v>
      </c>
      <c r="AC15" s="18">
        <v>192.52745599999997</v>
      </c>
      <c r="AD15" s="18">
        <v>134.61940799999999</v>
      </c>
      <c r="AE15" s="18">
        <v>261.55430399999995</v>
      </c>
      <c r="AF15" s="18">
        <v>66.040655999999998</v>
      </c>
      <c r="AG15" s="18">
        <v>11.817696000000002</v>
      </c>
      <c r="AH15" s="18">
        <v>137.451776</v>
      </c>
      <c r="AI15" s="18">
        <v>128.72059199999998</v>
      </c>
      <c r="AJ15" s="18">
        <v>46.391311999999999</v>
      </c>
      <c r="AK15" s="18">
        <v>235.07316799999998</v>
      </c>
      <c r="AL15" s="18">
        <v>36.279055999999997</v>
      </c>
      <c r="AM15" s="18">
        <v>11.817696000000002</v>
      </c>
      <c r="AN15" s="18">
        <v>69.234176000000005</v>
      </c>
      <c r="AO15" s="18">
        <v>158.48219199999997</v>
      </c>
      <c r="AP15" s="18">
        <v>97.220112</v>
      </c>
      <c r="AQ15" s="18">
        <v>235.07316799999998</v>
      </c>
      <c r="AR15" s="18">
        <v>2.9259999999999997</v>
      </c>
      <c r="AS15" s="18">
        <v>0</v>
      </c>
      <c r="AT15" s="18">
        <v>16.58624</v>
      </c>
      <c r="AU15" s="18">
        <v>202.954048</v>
      </c>
      <c r="AV15" s="18">
        <v>142.82892799999999</v>
      </c>
      <c r="AW15" s="18">
        <v>265.29958399999998</v>
      </c>
      <c r="AX15" s="18">
        <v>0</v>
      </c>
      <c r="AY15" s="18">
        <v>0</v>
      </c>
      <c r="AZ15" s="18">
        <v>0</v>
      </c>
      <c r="BA15" s="18">
        <v>205.88004799999999</v>
      </c>
      <c r="BB15" s="18">
        <v>153.295648</v>
      </c>
      <c r="BC15" s="18">
        <v>265.29958399999998</v>
      </c>
      <c r="BD15" s="18">
        <v>0</v>
      </c>
      <c r="BE15" s="18">
        <v>0</v>
      </c>
      <c r="BF15" s="18">
        <v>0</v>
      </c>
      <c r="BG15" s="18">
        <v>205.88004799999999</v>
      </c>
      <c r="BH15" s="18">
        <v>153.295648</v>
      </c>
      <c r="BI15" s="18">
        <v>265.29958399999998</v>
      </c>
      <c r="BJ15" s="18">
        <v>0</v>
      </c>
      <c r="BK15" s="18">
        <v>0</v>
      </c>
      <c r="BL15" s="18">
        <v>0</v>
      </c>
      <c r="BM15" s="18">
        <v>205.88004799999999</v>
      </c>
      <c r="BN15" s="18">
        <v>153.295648</v>
      </c>
      <c r="BO15" s="18">
        <v>265.29958399999998</v>
      </c>
      <c r="BP15" s="18"/>
      <c r="BQ15" s="18"/>
      <c r="BR15" s="18"/>
      <c r="BS15" s="18"/>
      <c r="BT15" s="10">
        <f>Tabelle58971121[[#This Row],[Mindestauslastung durch]]*Tabelle58971121[[#This Row],[installierte Leistung MW durch]]</f>
        <v>205.6866</v>
      </c>
      <c r="BU15" s="10">
        <f>Tabelle58971121[[#This Row],[Mindestauslastung min]]*Tabelle58971121[[#This Row],[installierte Leistung MW min]]</f>
        <v>168.51839999999999</v>
      </c>
      <c r="BV15" s="10">
        <f>Tabelle58971121[[#This Row],[Mindestauslastung max]]*Tabelle58971121[[#This Row],[installierte Leistung MW max]]</f>
        <v>242.85479999999998</v>
      </c>
      <c r="BW15" s="8">
        <v>0.06</v>
      </c>
      <c r="BX15" s="8">
        <v>0.06</v>
      </c>
      <c r="BY15" s="8">
        <v>0.06</v>
      </c>
      <c r="BZ15" s="8"/>
      <c r="CA15" s="8">
        <v>0.47399999999999998</v>
      </c>
      <c r="CB15" s="8">
        <v>0.374</v>
      </c>
      <c r="CC15" s="8">
        <v>0.57399999999999995</v>
      </c>
      <c r="CD15" s="8">
        <v>0.38</v>
      </c>
      <c r="CE15" s="8">
        <v>0.3</v>
      </c>
      <c r="CF15" s="8">
        <v>0.46</v>
      </c>
      <c r="CG15" s="8">
        <v>3.5999999999999997E-2</v>
      </c>
      <c r="CH15" s="8">
        <v>8.0000000000000002E-3</v>
      </c>
      <c r="CI15" s="8">
        <v>6.6000000000000003E-2</v>
      </c>
      <c r="CJ15" s="8">
        <v>0.104</v>
      </c>
      <c r="CK15" s="8">
        <v>4.3999999999999997E-2</v>
      </c>
      <c r="CL15" s="8">
        <v>0.16400000000000001</v>
      </c>
      <c r="CM15" s="8">
        <v>8.4000000000000005E-2</v>
      </c>
      <c r="CN15" s="8">
        <v>4.3999999999999997E-2</v>
      </c>
      <c r="CO15" s="8">
        <v>0.124</v>
      </c>
      <c r="CP15" s="8">
        <v>8.0000000000000002E-3</v>
      </c>
      <c r="CQ15" s="8">
        <v>0</v>
      </c>
      <c r="CR15" s="8">
        <v>3.7999999999999999E-2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/>
      <c r="DC15" s="8"/>
      <c r="DD15" s="8"/>
      <c r="DE15" s="48">
        <f>Tabelle58971121[[#This Row],[Durchschnittsauslastung min]]*Tabelle58971121[[#This Row],[installierte Leistung MW min]]</f>
        <v>0</v>
      </c>
      <c r="DF15" s="48">
        <f>Tabelle58971121[[#This Row],[Durchschnittsauslastung durch]]*Tabelle58971121[[#This Row],[installierte Leistung MW durch]]</f>
        <v>0</v>
      </c>
      <c r="DG15" s="48">
        <f>Tabelle58971121[[#This Row],[Durchschnittsauslastung max]]*Tabelle58971121[[#This Row],[installierte Leistung MW max]]</f>
        <v>0</v>
      </c>
      <c r="DH15" s="87">
        <f>Tabelle58971121[[#This Row],[Maximalauslastung durch]]*Tabelle58971121[[#This Row],[installierte Leistung MW min]]</f>
        <v>853.82655999999997</v>
      </c>
      <c r="DI15" s="48">
        <f>Tabelle58971121[[#This Row],[Maximalauslastung durch]]*Tabelle58971121[[#This Row],[installierte Leistung MW durch]]</f>
        <v>1042.14544</v>
      </c>
      <c r="DJ15" s="18">
        <f>Tabelle58971121[[#This Row],[Maximalauslastung max]]*Tabelle58971121[[#This Row],[installierte Leistung MW durch]]</f>
        <v>1138.1325200000001</v>
      </c>
      <c r="DK15" s="8">
        <v>0.30399999999999999</v>
      </c>
      <c r="DL15" s="8">
        <v>0.27600000000000002</v>
      </c>
      <c r="DM15" s="8">
        <v>0.33200000000000002</v>
      </c>
      <c r="DN15" s="1">
        <v>3428.11</v>
      </c>
      <c r="DO15" s="1">
        <v>2808.64</v>
      </c>
      <c r="DP15" s="1">
        <v>4047.58</v>
      </c>
      <c r="DQ15" s="18"/>
      <c r="DR15" s="18"/>
      <c r="DW15" s="1">
        <v>0.19400000000000001</v>
      </c>
      <c r="DX15" s="1">
        <v>3.9999999999999987E-2</v>
      </c>
      <c r="DY15" s="1">
        <v>0.44</v>
      </c>
      <c r="EL15" s="1">
        <v>365</v>
      </c>
      <c r="EM15" s="1">
        <v>292</v>
      </c>
      <c r="EN15" s="1">
        <v>438</v>
      </c>
      <c r="EO15" s="10"/>
      <c r="EP15" s="10"/>
      <c r="EQ15" s="10"/>
      <c r="ER15" s="1">
        <v>365</v>
      </c>
      <c r="ES15" s="1">
        <v>292</v>
      </c>
      <c r="ET15" s="1">
        <v>438</v>
      </c>
      <c r="EV15" s="18"/>
      <c r="EW15" s="18"/>
      <c r="EX15" s="18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 t="s">
        <v>1046</v>
      </c>
      <c r="FK15" s="7" t="s">
        <v>1046</v>
      </c>
      <c r="FL15" s="7" t="s">
        <v>1046</v>
      </c>
      <c r="FO15" s="1">
        <v>67</v>
      </c>
      <c r="FP15" s="1">
        <v>67</v>
      </c>
      <c r="FQ15" s="1">
        <v>67</v>
      </c>
      <c r="FR15" s="12" t="s">
        <v>743</v>
      </c>
      <c r="FS15" s="12" t="s">
        <v>743</v>
      </c>
      <c r="FT15" s="12" t="s">
        <v>743</v>
      </c>
      <c r="FU15" s="12"/>
      <c r="FV15" s="12" t="s">
        <v>743</v>
      </c>
      <c r="FW15" s="12" t="s">
        <v>743</v>
      </c>
      <c r="FX15" s="12" t="s">
        <v>743</v>
      </c>
      <c r="FY15" s="12" t="s">
        <v>743</v>
      </c>
      <c r="FZ15" s="12" t="s">
        <v>743</v>
      </c>
      <c r="GA15" s="12" t="s">
        <v>743</v>
      </c>
      <c r="GB15" s="12" t="s">
        <v>743</v>
      </c>
      <c r="GE15" s="12" t="s">
        <v>743</v>
      </c>
      <c r="GF15" s="12" t="s">
        <v>743</v>
      </c>
      <c r="GH15" s="12" t="s">
        <v>743</v>
      </c>
    </row>
    <row r="16" spans="1:193" ht="12.75" customHeight="1" x14ac:dyDescent="0.2">
      <c r="A16" s="1" t="s">
        <v>365</v>
      </c>
      <c r="B16" s="1" t="s">
        <v>645</v>
      </c>
      <c r="E16" s="1" t="s">
        <v>130</v>
      </c>
      <c r="F16" s="1">
        <v>2</v>
      </c>
      <c r="G16" s="1">
        <v>2045</v>
      </c>
      <c r="H16" s="1">
        <v>1</v>
      </c>
      <c r="I16" s="1">
        <v>0</v>
      </c>
      <c r="J16" s="1">
        <v>0</v>
      </c>
      <c r="K16" s="18"/>
      <c r="L16" s="18"/>
      <c r="M16" s="18"/>
      <c r="N16" s="18">
        <v>393.05210399999993</v>
      </c>
      <c r="O16" s="18">
        <v>257.51938799999999</v>
      </c>
      <c r="P16" s="18">
        <v>557.79953999999998</v>
      </c>
      <c r="Q16" s="18">
        <v>1.6090920000000002</v>
      </c>
      <c r="R16" s="18">
        <v>0</v>
      </c>
      <c r="S16" s="18">
        <v>21.884412000000001</v>
      </c>
      <c r="T16" s="18">
        <v>233.93078399999999</v>
      </c>
      <c r="U16" s="18">
        <v>150.55090799999999</v>
      </c>
      <c r="V16" s="18">
        <v>336.63497999999998</v>
      </c>
      <c r="W16" s="18">
        <v>82.862532000000002</v>
      </c>
      <c r="X16" s="18">
        <v>63.602879999999992</v>
      </c>
      <c r="Y16" s="18">
        <v>122.76649199999999</v>
      </c>
      <c r="Z16" s="18">
        <v>15.189371999999999</v>
      </c>
      <c r="AA16" s="18">
        <v>3.0736319999999999</v>
      </c>
      <c r="AB16" s="18">
        <v>33.250763999999997</v>
      </c>
      <c r="AC16" s="18">
        <v>219.01149599999999</v>
      </c>
      <c r="AD16" s="18">
        <v>153.13762799999998</v>
      </c>
      <c r="AE16" s="18">
        <v>297.53366399999999</v>
      </c>
      <c r="AF16" s="18">
        <v>75.125195999999988</v>
      </c>
      <c r="AG16" s="18">
        <v>13.443336000000002</v>
      </c>
      <c r="AH16" s="18">
        <v>156.35961599999999</v>
      </c>
      <c r="AI16" s="18">
        <v>146.42737199999996</v>
      </c>
      <c r="AJ16" s="18">
        <v>52.772891999999992</v>
      </c>
      <c r="AK16" s="18">
        <v>267.40978799999999</v>
      </c>
      <c r="AL16" s="18">
        <v>41.269596</v>
      </c>
      <c r="AM16" s="18">
        <v>13.443336000000002</v>
      </c>
      <c r="AN16" s="18">
        <v>78.758015999999998</v>
      </c>
      <c r="AO16" s="18">
        <v>180.28297199999997</v>
      </c>
      <c r="AP16" s="18">
        <v>110.59369199999999</v>
      </c>
      <c r="AQ16" s="18">
        <v>267.40978799999999</v>
      </c>
      <c r="AR16" s="18">
        <v>3.3285</v>
      </c>
      <c r="AS16" s="18">
        <v>0</v>
      </c>
      <c r="AT16" s="18">
        <v>18.867839999999998</v>
      </c>
      <c r="AU16" s="18">
        <v>230.87236799999999</v>
      </c>
      <c r="AV16" s="18">
        <v>162.47644799999998</v>
      </c>
      <c r="AW16" s="18">
        <v>301.79414399999996</v>
      </c>
      <c r="AX16" s="18">
        <v>0</v>
      </c>
      <c r="AY16" s="18">
        <v>0</v>
      </c>
      <c r="AZ16" s="18">
        <v>0</v>
      </c>
      <c r="BA16" s="18">
        <v>234.20086799999999</v>
      </c>
      <c r="BB16" s="18">
        <v>174.38296799999998</v>
      </c>
      <c r="BC16" s="18">
        <v>301.79414399999996</v>
      </c>
      <c r="BD16" s="18">
        <v>0</v>
      </c>
      <c r="BE16" s="18">
        <v>0</v>
      </c>
      <c r="BF16" s="18">
        <v>0</v>
      </c>
      <c r="BG16" s="18">
        <v>234.20086799999999</v>
      </c>
      <c r="BH16" s="18">
        <v>174.38296799999998</v>
      </c>
      <c r="BI16" s="18">
        <v>301.79414399999996</v>
      </c>
      <c r="BJ16" s="18">
        <v>0</v>
      </c>
      <c r="BK16" s="18">
        <v>0</v>
      </c>
      <c r="BL16" s="18">
        <v>0</v>
      </c>
      <c r="BM16" s="18">
        <v>234.20086799999999</v>
      </c>
      <c r="BN16" s="18">
        <v>174.38296799999998</v>
      </c>
      <c r="BO16" s="18">
        <v>301.79414399999996</v>
      </c>
      <c r="BP16" s="18"/>
      <c r="BQ16" s="18"/>
      <c r="BR16" s="18"/>
      <c r="BS16" s="18"/>
      <c r="BT16" s="10">
        <f>Tabelle58971121[[#This Row],[Mindestauslastung durch]]*Tabelle58971121[[#This Row],[installierte Leistung MW durch]]</f>
        <v>229.53719999999998</v>
      </c>
      <c r="BU16" s="10">
        <f>Tabelle58971121[[#This Row],[Mindestauslastung min]]*Tabelle58971121[[#This Row],[installierte Leistung MW min]]</f>
        <v>187.773</v>
      </c>
      <c r="BV16" s="10">
        <f>Tabelle58971121[[#This Row],[Mindestauslastung max]]*Tabelle58971121[[#This Row],[installierte Leistung MW max]]</f>
        <v>271.30140000000006</v>
      </c>
      <c r="BW16" s="8">
        <v>0.06</v>
      </c>
      <c r="BX16" s="8">
        <v>0.06</v>
      </c>
      <c r="BY16" s="8">
        <v>0.06</v>
      </c>
      <c r="BZ16" s="8"/>
      <c r="CA16" s="8">
        <v>0.47399999999999998</v>
      </c>
      <c r="CB16" s="8">
        <v>0.374</v>
      </c>
      <c r="CC16" s="8">
        <v>0.57399999999999995</v>
      </c>
      <c r="CD16" s="8">
        <v>0.38</v>
      </c>
      <c r="CE16" s="8">
        <v>0.3</v>
      </c>
      <c r="CF16" s="8">
        <v>0.46</v>
      </c>
      <c r="CG16" s="8">
        <v>3.5999999999999997E-2</v>
      </c>
      <c r="CH16" s="8">
        <v>8.0000000000000002E-3</v>
      </c>
      <c r="CI16" s="8">
        <v>6.6000000000000003E-2</v>
      </c>
      <c r="CJ16" s="8">
        <v>0.104</v>
      </c>
      <c r="CK16" s="8">
        <v>4.3999999999999997E-2</v>
      </c>
      <c r="CL16" s="8">
        <v>0.16400000000000001</v>
      </c>
      <c r="CM16" s="8">
        <v>8.4000000000000005E-2</v>
      </c>
      <c r="CN16" s="8">
        <v>4.3999999999999997E-2</v>
      </c>
      <c r="CO16" s="8">
        <v>0.124</v>
      </c>
      <c r="CP16" s="8">
        <v>8.0000000000000002E-3</v>
      </c>
      <c r="CQ16" s="8">
        <v>0</v>
      </c>
      <c r="CR16" s="8">
        <v>3.7999999999999999E-2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/>
      <c r="DC16" s="8"/>
      <c r="DD16" s="8"/>
      <c r="DE16" s="48">
        <f>Tabelle58971121[[#This Row],[Durchschnittsauslastung min]]*Tabelle58971121[[#This Row],[installierte Leistung MW min]]</f>
        <v>0</v>
      </c>
      <c r="DF16" s="48">
        <f>Tabelle58971121[[#This Row],[Durchschnittsauslastung durch]]*Tabelle58971121[[#This Row],[installierte Leistung MW durch]]</f>
        <v>0</v>
      </c>
      <c r="DG16" s="48">
        <f>Tabelle58971121[[#This Row],[Durchschnittsauslastung max]]*Tabelle58971121[[#This Row],[installierte Leistung MW max]]</f>
        <v>0</v>
      </c>
      <c r="DH16" s="87">
        <f>Tabelle58971121[[#This Row],[Maximalauslastung durch]]*Tabelle58971121[[#This Row],[installierte Leistung MW min]]</f>
        <v>951.38319999999999</v>
      </c>
      <c r="DI16" s="48">
        <f>Tabelle58971121[[#This Row],[Maximalauslastung durch]]*Tabelle58971121[[#This Row],[installierte Leistung MW durch]]</f>
        <v>1162.98848</v>
      </c>
      <c r="DJ16" s="18">
        <f>Tabelle58971121[[#This Row],[Maximalauslastung max]]*Tabelle58971121[[#This Row],[installierte Leistung MW durch]]</f>
        <v>1270.1058399999999</v>
      </c>
      <c r="DK16" s="8">
        <v>0.30399999999999999</v>
      </c>
      <c r="DL16" s="8">
        <v>0.27600000000000002</v>
      </c>
      <c r="DM16" s="8">
        <v>0.33200000000000002</v>
      </c>
      <c r="DN16" s="1">
        <v>3825.62</v>
      </c>
      <c r="DO16" s="1">
        <v>3129.55</v>
      </c>
      <c r="DP16" s="1">
        <v>4521.6900000000014</v>
      </c>
      <c r="DQ16" s="18"/>
      <c r="DR16" s="18"/>
      <c r="DW16" s="1">
        <v>0.19400000000000001</v>
      </c>
      <c r="DX16" s="1">
        <v>3.9999999999999987E-2</v>
      </c>
      <c r="DY16" s="1">
        <v>0.44</v>
      </c>
      <c r="EL16" s="1">
        <v>365</v>
      </c>
      <c r="EM16" s="1">
        <v>292</v>
      </c>
      <c r="EN16" s="1">
        <v>438</v>
      </c>
      <c r="EO16" s="10"/>
      <c r="EP16" s="10"/>
      <c r="EQ16" s="10"/>
      <c r="ER16" s="1">
        <v>365</v>
      </c>
      <c r="ES16" s="1">
        <v>292</v>
      </c>
      <c r="ET16" s="1">
        <v>438</v>
      </c>
      <c r="EV16" s="18"/>
      <c r="EW16" s="18"/>
      <c r="EX16" s="18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 t="s">
        <v>1046</v>
      </c>
      <c r="FK16" s="7" t="s">
        <v>1046</v>
      </c>
      <c r="FL16" s="7" t="s">
        <v>1046</v>
      </c>
      <c r="FO16" s="1">
        <v>67</v>
      </c>
      <c r="FP16" s="1">
        <v>67</v>
      </c>
      <c r="FQ16" s="1">
        <v>67</v>
      </c>
      <c r="FR16" s="12" t="s">
        <v>743</v>
      </c>
      <c r="FS16" s="12" t="s">
        <v>743</v>
      </c>
      <c r="FT16" s="12" t="s">
        <v>743</v>
      </c>
      <c r="FU16" s="12"/>
      <c r="FV16" s="12" t="s">
        <v>743</v>
      </c>
      <c r="FW16" s="12" t="s">
        <v>743</v>
      </c>
      <c r="FX16" s="12" t="s">
        <v>743</v>
      </c>
      <c r="FY16" s="12" t="s">
        <v>743</v>
      </c>
      <c r="FZ16" s="12" t="s">
        <v>743</v>
      </c>
      <c r="GA16" s="12" t="s">
        <v>743</v>
      </c>
      <c r="GB16" s="12" t="s">
        <v>743</v>
      </c>
      <c r="GE16" s="12" t="s">
        <v>743</v>
      </c>
      <c r="GF16" s="12" t="s">
        <v>743</v>
      </c>
      <c r="GH16" s="12" t="s">
        <v>743</v>
      </c>
    </row>
    <row r="17" spans="1:190" ht="12.75" customHeight="1" x14ac:dyDescent="0.2">
      <c r="A17" s="1" t="s">
        <v>365</v>
      </c>
      <c r="B17" s="1" t="s">
        <v>645</v>
      </c>
      <c r="E17" s="1" t="s">
        <v>130</v>
      </c>
      <c r="F17" s="1">
        <v>2</v>
      </c>
      <c r="G17" s="1">
        <v>2050</v>
      </c>
      <c r="H17" s="1">
        <v>1</v>
      </c>
      <c r="I17" s="1">
        <v>0</v>
      </c>
      <c r="J17" s="1">
        <v>0</v>
      </c>
      <c r="K17" s="18"/>
      <c r="L17" s="18"/>
      <c r="M17" s="18"/>
      <c r="N17" s="18">
        <v>450.08805599999994</v>
      </c>
      <c r="O17" s="18">
        <v>294.88813199999998</v>
      </c>
      <c r="P17" s="18">
        <v>638.74205999999992</v>
      </c>
      <c r="Q17" s="18">
        <v>1.8425880000000001</v>
      </c>
      <c r="R17" s="18">
        <v>0</v>
      </c>
      <c r="S17" s="18">
        <v>25.060068000000001</v>
      </c>
      <c r="T17" s="18">
        <v>267.876576</v>
      </c>
      <c r="U17" s="18">
        <v>172.39741199999997</v>
      </c>
      <c r="V17" s="18">
        <v>385.48421999999999</v>
      </c>
      <c r="W17" s="18">
        <v>94.886747999999997</v>
      </c>
      <c r="X17" s="18">
        <v>72.832319999999996</v>
      </c>
      <c r="Y17" s="18">
        <v>140.58118799999997</v>
      </c>
      <c r="Z17" s="18">
        <v>17.393508000000001</v>
      </c>
      <c r="AA17" s="18">
        <v>3.5196480000000001</v>
      </c>
      <c r="AB17" s="18">
        <v>38.075795999999997</v>
      </c>
      <c r="AC17" s="18">
        <v>250.79234399999999</v>
      </c>
      <c r="AD17" s="18">
        <v>175.35949199999999</v>
      </c>
      <c r="AE17" s="18">
        <v>340.70889599999998</v>
      </c>
      <c r="AF17" s="18">
        <v>86.02664399999999</v>
      </c>
      <c r="AG17" s="18">
        <v>15.394104000000002</v>
      </c>
      <c r="AH17" s="18">
        <v>179.049024</v>
      </c>
      <c r="AI17" s="18">
        <v>167.67550799999998</v>
      </c>
      <c r="AJ17" s="18">
        <v>60.430787999999993</v>
      </c>
      <c r="AK17" s="18">
        <v>306.21373199999999</v>
      </c>
      <c r="AL17" s="18">
        <v>47.258243999999998</v>
      </c>
      <c r="AM17" s="18">
        <v>15.394104000000002</v>
      </c>
      <c r="AN17" s="18">
        <v>90.186623999999995</v>
      </c>
      <c r="AO17" s="18">
        <v>206.44390799999996</v>
      </c>
      <c r="AP17" s="18">
        <v>126.641988</v>
      </c>
      <c r="AQ17" s="18">
        <v>306.21373199999999</v>
      </c>
      <c r="AR17" s="18">
        <v>3.8114999999999997</v>
      </c>
      <c r="AS17" s="18">
        <v>0</v>
      </c>
      <c r="AT17" s="18">
        <v>21.60576</v>
      </c>
      <c r="AU17" s="18">
        <v>264.37435199999999</v>
      </c>
      <c r="AV17" s="18">
        <v>186.05347199999997</v>
      </c>
      <c r="AW17" s="18">
        <v>345.58761599999997</v>
      </c>
      <c r="AX17" s="18">
        <v>0</v>
      </c>
      <c r="AY17" s="18">
        <v>0</v>
      </c>
      <c r="AZ17" s="18">
        <v>0</v>
      </c>
      <c r="BA17" s="18">
        <v>268.18585200000001</v>
      </c>
      <c r="BB17" s="18">
        <v>199.68775199999999</v>
      </c>
      <c r="BC17" s="18">
        <v>345.58761599999997</v>
      </c>
      <c r="BD17" s="18">
        <v>0</v>
      </c>
      <c r="BE17" s="18">
        <v>0</v>
      </c>
      <c r="BF17" s="18">
        <v>0</v>
      </c>
      <c r="BG17" s="18">
        <v>268.18585200000001</v>
      </c>
      <c r="BH17" s="18">
        <v>199.68775199999999</v>
      </c>
      <c r="BI17" s="18">
        <v>345.58761599999997</v>
      </c>
      <c r="BJ17" s="18">
        <v>0</v>
      </c>
      <c r="BK17" s="18">
        <v>0</v>
      </c>
      <c r="BL17" s="18">
        <v>0</v>
      </c>
      <c r="BM17" s="18">
        <v>268.18585200000001</v>
      </c>
      <c r="BN17" s="18">
        <v>199.68775199999999</v>
      </c>
      <c r="BO17" s="18">
        <v>345.58761599999997</v>
      </c>
      <c r="BP17" s="18"/>
      <c r="BQ17" s="18"/>
      <c r="BR17" s="18"/>
      <c r="BS17" s="18"/>
      <c r="BT17" s="10">
        <f>Tabelle58971121[[#This Row],[Mindestauslastung durch]]*Tabelle58971121[[#This Row],[installierte Leistung MW durch]]</f>
        <v>257.2002</v>
      </c>
      <c r="BU17" s="10">
        <f>Tabelle58971121[[#This Row],[Mindestauslastung min]]*Tabelle58971121[[#This Row],[installierte Leistung MW min]]</f>
        <v>210.0402</v>
      </c>
      <c r="BV17" s="10">
        <f>Tabelle58971121[[#This Row],[Mindestauslastung max]]*Tabelle58971121[[#This Row],[installierte Leistung MW max]]</f>
        <v>304.36019999999996</v>
      </c>
      <c r="BW17" s="8">
        <v>0.06</v>
      </c>
      <c r="BX17" s="8">
        <v>0.06</v>
      </c>
      <c r="BY17" s="8">
        <v>0.06</v>
      </c>
      <c r="BZ17" s="8"/>
      <c r="CA17" s="8">
        <v>0.47399999999999998</v>
      </c>
      <c r="CB17" s="8">
        <v>0.374</v>
      </c>
      <c r="CC17" s="8">
        <v>0.57399999999999995</v>
      </c>
      <c r="CD17" s="8">
        <v>0.38</v>
      </c>
      <c r="CE17" s="8">
        <v>0.3</v>
      </c>
      <c r="CF17" s="8">
        <v>0.46</v>
      </c>
      <c r="CG17" s="8">
        <v>3.5999999999999997E-2</v>
      </c>
      <c r="CH17" s="8">
        <v>8.0000000000000002E-3</v>
      </c>
      <c r="CI17" s="8">
        <v>6.6000000000000003E-2</v>
      </c>
      <c r="CJ17" s="8">
        <v>0.104</v>
      </c>
      <c r="CK17" s="8">
        <v>4.3999999999999997E-2</v>
      </c>
      <c r="CL17" s="8">
        <v>0.16400000000000001</v>
      </c>
      <c r="CM17" s="8">
        <v>8.4000000000000005E-2</v>
      </c>
      <c r="CN17" s="8">
        <v>4.3999999999999997E-2</v>
      </c>
      <c r="CO17" s="8">
        <v>0.124</v>
      </c>
      <c r="CP17" s="8">
        <v>8.0000000000000002E-3</v>
      </c>
      <c r="CQ17" s="8">
        <v>0</v>
      </c>
      <c r="CR17" s="8">
        <v>3.7999999999999999E-2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/>
      <c r="DC17" s="8"/>
      <c r="DD17" s="8"/>
      <c r="DE17" s="48">
        <f>Tabelle58971121[[#This Row],[Durchschnittsauslastung min]]*Tabelle58971121[[#This Row],[installierte Leistung MW min]]</f>
        <v>0</v>
      </c>
      <c r="DF17" s="48">
        <f>Tabelle58971121[[#This Row],[Durchschnittsauslastung durch]]*Tabelle58971121[[#This Row],[installierte Leistung MW durch]]</f>
        <v>0</v>
      </c>
      <c r="DG17" s="48">
        <f>Tabelle58971121[[#This Row],[Durchschnittsauslastung max]]*Tabelle58971121[[#This Row],[installierte Leistung MW max]]</f>
        <v>0</v>
      </c>
      <c r="DH17" s="87">
        <f>Tabelle58971121[[#This Row],[Maximalauslastung durch]]*Tabelle58971121[[#This Row],[installierte Leistung MW min]]</f>
        <v>1064.2036800000001</v>
      </c>
      <c r="DI17" s="48">
        <f>Tabelle58971121[[#This Row],[Maximalauslastung durch]]*Tabelle58971121[[#This Row],[installierte Leistung MW durch]]</f>
        <v>1303.14768</v>
      </c>
      <c r="DJ17" s="18">
        <f>Tabelle58971121[[#This Row],[Maximalauslastung max]]*Tabelle58971121[[#This Row],[installierte Leistung MW durch]]</f>
        <v>1423.17444</v>
      </c>
      <c r="DK17" s="8">
        <v>0.30399999999999999</v>
      </c>
      <c r="DL17" s="8">
        <v>0.27600000000000002</v>
      </c>
      <c r="DM17" s="8">
        <v>0.33200000000000002</v>
      </c>
      <c r="DN17" s="1">
        <v>4286.67</v>
      </c>
      <c r="DO17" s="1">
        <v>3500.67</v>
      </c>
      <c r="DP17" s="1">
        <v>5072.6699999999992</v>
      </c>
      <c r="DQ17" s="18"/>
      <c r="DR17" s="18"/>
      <c r="DW17" s="1">
        <v>0.19400000000000001</v>
      </c>
      <c r="DX17" s="1">
        <v>3.9999999999999987E-2</v>
      </c>
      <c r="DY17" s="1">
        <v>0.44</v>
      </c>
      <c r="EL17" s="1">
        <v>365</v>
      </c>
      <c r="EM17" s="1">
        <v>292</v>
      </c>
      <c r="EN17" s="1">
        <v>438</v>
      </c>
      <c r="EO17" s="10"/>
      <c r="EP17" s="10"/>
      <c r="EQ17" s="10"/>
      <c r="ER17" s="1">
        <v>365</v>
      </c>
      <c r="ES17" s="1">
        <v>292</v>
      </c>
      <c r="ET17" s="1">
        <v>438</v>
      </c>
      <c r="EV17" s="18"/>
      <c r="EW17" s="18"/>
      <c r="EX17" s="18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 t="s">
        <v>1046</v>
      </c>
      <c r="FK17" s="7" t="s">
        <v>1046</v>
      </c>
      <c r="FL17" s="7" t="s">
        <v>1046</v>
      </c>
      <c r="FO17" s="1">
        <v>67</v>
      </c>
      <c r="FP17" s="1">
        <v>67</v>
      </c>
      <c r="FQ17" s="1">
        <v>67</v>
      </c>
      <c r="FR17" s="12" t="s">
        <v>743</v>
      </c>
      <c r="FS17" s="12" t="s">
        <v>743</v>
      </c>
      <c r="FT17" s="12" t="s">
        <v>743</v>
      </c>
      <c r="FU17" s="12"/>
      <c r="FV17" s="12" t="s">
        <v>743</v>
      </c>
      <c r="FW17" s="12" t="s">
        <v>743</v>
      </c>
      <c r="FX17" s="12" t="s">
        <v>743</v>
      </c>
      <c r="FY17" s="12" t="s">
        <v>743</v>
      </c>
      <c r="FZ17" s="12" t="s">
        <v>743</v>
      </c>
      <c r="GA17" s="12" t="s">
        <v>743</v>
      </c>
      <c r="GB17" s="12" t="s">
        <v>743</v>
      </c>
      <c r="GE17" s="12" t="s">
        <v>743</v>
      </c>
      <c r="GF17" s="12" t="s">
        <v>743</v>
      </c>
      <c r="GH17" s="12" t="s">
        <v>743</v>
      </c>
    </row>
    <row r="18" spans="1:190" ht="12.75" customHeight="1" x14ac:dyDescent="0.2">
      <c r="A18" s="1" t="s">
        <v>209</v>
      </c>
      <c r="B18" s="1" t="s">
        <v>686</v>
      </c>
      <c r="E18" s="1" t="s">
        <v>130</v>
      </c>
      <c r="F18" s="1">
        <v>2</v>
      </c>
      <c r="G18" s="1">
        <v>2015</v>
      </c>
      <c r="H18" s="1">
        <v>1</v>
      </c>
      <c r="I18" s="1">
        <v>0</v>
      </c>
      <c r="J18" s="1">
        <v>0</v>
      </c>
      <c r="K18" s="18"/>
      <c r="L18" s="18"/>
      <c r="M18" s="18"/>
      <c r="N18" s="18">
        <v>220.58571428571429</v>
      </c>
      <c r="O18" s="18">
        <v>166.14571428571429</v>
      </c>
      <c r="P18" s="18">
        <v>275.02571428571429</v>
      </c>
      <c r="Q18" s="18">
        <v>40.648571428571429</v>
      </c>
      <c r="R18" s="18">
        <v>30.854285714285709</v>
      </c>
      <c r="S18" s="18">
        <v>50.442857142857143</v>
      </c>
      <c r="T18" s="18">
        <v>219.10000000000011</v>
      </c>
      <c r="U18" s="18">
        <v>164.93857142857141</v>
      </c>
      <c r="V18" s="18">
        <v>273.26142857142861</v>
      </c>
      <c r="W18" s="18">
        <v>42.134285714285717</v>
      </c>
      <c r="X18" s="18">
        <v>32.061428571428571</v>
      </c>
      <c r="Y18" s="18">
        <v>52.207142857142863</v>
      </c>
      <c r="Z18" s="18">
        <v>174.4014285714286</v>
      </c>
      <c r="AA18" s="18">
        <v>133.06428571428569</v>
      </c>
      <c r="AB18" s="18">
        <v>215.73857142857139</v>
      </c>
      <c r="AC18" s="18">
        <v>94.378571428571419</v>
      </c>
      <c r="AD18" s="18">
        <v>70.45</v>
      </c>
      <c r="AE18" s="18">
        <v>118.30714285714279</v>
      </c>
      <c r="AF18" s="18">
        <v>193.44142857142859</v>
      </c>
      <c r="AG18" s="18">
        <v>145.83714285714291</v>
      </c>
      <c r="AH18" s="18">
        <v>241.0457142857143</v>
      </c>
      <c r="AI18" s="18">
        <v>62.792857142857137</v>
      </c>
      <c r="AJ18" s="18">
        <v>46.962857142857153</v>
      </c>
      <c r="AK18" s="18">
        <v>78.622857142857143</v>
      </c>
      <c r="AL18" s="18">
        <v>191.95571428571429</v>
      </c>
      <c r="AM18" s="18">
        <v>144.63</v>
      </c>
      <c r="AN18" s="18">
        <v>239.28142857142859</v>
      </c>
      <c r="AO18" s="18">
        <v>64.278571428571425</v>
      </c>
      <c r="AP18" s="18">
        <v>48.17</v>
      </c>
      <c r="AQ18" s="18">
        <v>80.387142857142862</v>
      </c>
      <c r="AR18" s="18">
        <v>153.10714285714289</v>
      </c>
      <c r="AS18" s="18">
        <v>116.8528571428571</v>
      </c>
      <c r="AT18" s="18">
        <v>189.3614285714286</v>
      </c>
      <c r="AU18" s="18">
        <v>109.48142857142859</v>
      </c>
      <c r="AV18" s="18">
        <v>81.432857142857159</v>
      </c>
      <c r="AW18" s="18">
        <v>137.53</v>
      </c>
      <c r="AX18" s="18">
        <v>208.1</v>
      </c>
      <c r="AY18" s="18">
        <v>155.9457142857143</v>
      </c>
      <c r="AZ18" s="18">
        <v>260.25428571428569</v>
      </c>
      <c r="BA18" s="18">
        <v>43.02</v>
      </c>
      <c r="BB18" s="18">
        <v>32.568571428571431</v>
      </c>
      <c r="BC18" s="18">
        <v>53.471428571428582</v>
      </c>
      <c r="BD18" s="18">
        <v>165.93</v>
      </c>
      <c r="BE18" s="18">
        <v>125.13285714285711</v>
      </c>
      <c r="BF18" s="18">
        <v>206.72714285714281</v>
      </c>
      <c r="BG18" s="18">
        <v>85.190000000000012</v>
      </c>
      <c r="BH18" s="18">
        <v>63.381428571428572</v>
      </c>
      <c r="BI18" s="18">
        <v>106.9985714285714</v>
      </c>
      <c r="BJ18" s="18">
        <v>132.4157142857143</v>
      </c>
      <c r="BK18" s="18">
        <v>101.0242857142857</v>
      </c>
      <c r="BL18" s="18">
        <v>163.80714285714291</v>
      </c>
      <c r="BM18" s="18">
        <v>123.47</v>
      </c>
      <c r="BN18" s="18">
        <v>91.604285714285723</v>
      </c>
      <c r="BO18" s="18">
        <v>155.33571428571429</v>
      </c>
      <c r="BP18" s="18"/>
      <c r="BQ18" s="18"/>
      <c r="BR18" s="18"/>
      <c r="BS18" s="18"/>
      <c r="BT18" s="10">
        <f>Tabelle58971121[[#This Row],[Mindestauslastung durch]]*Tabelle58971121[[#This Row],[installierte Leistung MW durch]]</f>
        <v>128.25000000000003</v>
      </c>
      <c r="BU18" s="10">
        <f>Tabelle58971121[[#This Row],[Mindestauslastung min]]*Tabelle58971121[[#This Row],[installierte Leistung MW min]]</f>
        <v>97.521428571428586</v>
      </c>
      <c r="BV18" s="10">
        <f>Tabelle58971121[[#This Row],[Mindestauslastung max]]*Tabelle58971121[[#This Row],[installierte Leistung MW max]]</f>
        <v>158.97857142857146</v>
      </c>
      <c r="BW18" s="8">
        <v>6.4285714285714293E-2</v>
      </c>
      <c r="BX18" s="8">
        <v>6.4285714285714293E-2</v>
      </c>
      <c r="BY18" s="8">
        <v>6.4285714285714293E-2</v>
      </c>
      <c r="BZ18" s="8"/>
      <c r="CA18" s="8">
        <v>0.64142857142857135</v>
      </c>
      <c r="CB18" s="8">
        <v>0.64142857142857135</v>
      </c>
      <c r="CC18" s="8">
        <v>0.64142857142857135</v>
      </c>
      <c r="CD18" s="8">
        <v>0.62285714285714289</v>
      </c>
      <c r="CE18" s="8">
        <v>0.62285714285714289</v>
      </c>
      <c r="CF18" s="8">
        <v>0.62285714285714289</v>
      </c>
      <c r="CG18" s="8">
        <v>0.59</v>
      </c>
      <c r="CH18" s="8">
        <v>0.59</v>
      </c>
      <c r="CI18" s="8">
        <v>0.59</v>
      </c>
      <c r="CJ18" s="8">
        <v>0.57571428571428573</v>
      </c>
      <c r="CK18" s="8">
        <v>0.57571428571428573</v>
      </c>
      <c r="CL18" s="8">
        <v>0.57571428571428573</v>
      </c>
      <c r="CM18" s="8">
        <v>0.55714285714285716</v>
      </c>
      <c r="CN18" s="8">
        <v>0.55714285714285716</v>
      </c>
      <c r="CO18" s="8">
        <v>0.55714285714285716</v>
      </c>
      <c r="CP18" s="8">
        <v>0.52428571428571435</v>
      </c>
      <c r="CQ18" s="8">
        <v>0.52428571428571435</v>
      </c>
      <c r="CR18" s="8">
        <v>0.52428571428571435</v>
      </c>
      <c r="CS18" s="8">
        <v>0.55714285714285716</v>
      </c>
      <c r="CT18" s="8">
        <v>0.55714285714285716</v>
      </c>
      <c r="CU18" s="8">
        <v>0.55714285714285716</v>
      </c>
      <c r="CV18" s="8">
        <v>0.49142857142857138</v>
      </c>
      <c r="CW18" s="8">
        <v>0.49142857142857138</v>
      </c>
      <c r="CX18" s="8">
        <v>0.49142857142857138</v>
      </c>
      <c r="CY18" s="8">
        <v>0.45571428571428568</v>
      </c>
      <c r="CZ18" s="8">
        <v>0.45571428571428568</v>
      </c>
      <c r="DA18" s="8">
        <v>0.45571428571428568</v>
      </c>
      <c r="DB18" s="8"/>
      <c r="DC18" s="8"/>
      <c r="DD18" s="8"/>
      <c r="DE18" s="48">
        <f>Tabelle58971121[[#This Row],[Durchschnittsauslastung min]]*Tabelle58971121[[#This Row],[installierte Leistung MW min]]</f>
        <v>0</v>
      </c>
      <c r="DF18" s="48">
        <f>Tabelle58971121[[#This Row],[Durchschnittsauslastung durch]]*Tabelle58971121[[#This Row],[installierte Leistung MW durch]]</f>
        <v>0</v>
      </c>
      <c r="DG18" s="48">
        <f>Tabelle58971121[[#This Row],[Durchschnittsauslastung max]]*Tabelle58971121[[#This Row],[installierte Leistung MW max]]</f>
        <v>0</v>
      </c>
      <c r="DH18" s="87">
        <f>Tabelle58971121[[#This Row],[Maximalauslastung durch]]*Tabelle58971121[[#This Row],[installierte Leistung MW min]]</f>
        <v>1517</v>
      </c>
      <c r="DI18" s="48">
        <f>Tabelle58971121[[#This Row],[Maximalauslastung durch]]*Tabelle58971121[[#This Row],[installierte Leistung MW durch]]</f>
        <v>1995</v>
      </c>
      <c r="DJ18" s="18">
        <f>Tabelle58971121[[#This Row],[Maximalauslastung max]]*Tabelle58971121[[#This Row],[installierte Leistung MW durch]]</f>
        <v>1995</v>
      </c>
      <c r="DK18" s="8">
        <v>1</v>
      </c>
      <c r="DL18" s="8">
        <v>1</v>
      </c>
      <c r="DM18" s="8">
        <v>1</v>
      </c>
      <c r="DN18" s="1">
        <v>1995</v>
      </c>
      <c r="DO18" s="1">
        <v>1517</v>
      </c>
      <c r="DP18" s="1">
        <v>2473</v>
      </c>
      <c r="DQ18" s="18"/>
      <c r="DR18" s="18"/>
      <c r="DW18" s="1">
        <v>1.5161904761904761</v>
      </c>
      <c r="DX18" s="1">
        <v>0.5</v>
      </c>
      <c r="DY18" s="1">
        <v>5.8000000000000007</v>
      </c>
      <c r="EL18" s="1">
        <v>365</v>
      </c>
      <c r="EM18" s="1">
        <v>292</v>
      </c>
      <c r="EN18" s="1">
        <v>438</v>
      </c>
      <c r="EO18" s="10"/>
      <c r="EP18" s="10"/>
      <c r="EQ18" s="10"/>
      <c r="ER18" s="1">
        <v>365</v>
      </c>
      <c r="ES18" s="1">
        <v>292</v>
      </c>
      <c r="ET18" s="1">
        <v>438</v>
      </c>
      <c r="EV18" s="18"/>
      <c r="EW18" s="18"/>
      <c r="EX18" s="18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 t="s">
        <v>1046</v>
      </c>
      <c r="FK18" s="7" t="s">
        <v>1046</v>
      </c>
      <c r="FL18" s="7" t="s">
        <v>1046</v>
      </c>
      <c r="FO18" s="1">
        <v>67</v>
      </c>
      <c r="FP18" s="1">
        <v>67</v>
      </c>
      <c r="FQ18" s="1">
        <v>67</v>
      </c>
      <c r="FR18" s="12" t="s">
        <v>743</v>
      </c>
      <c r="FS18" s="12" t="s">
        <v>743</v>
      </c>
      <c r="FT18" s="12" t="s">
        <v>743</v>
      </c>
      <c r="FU18" s="12"/>
      <c r="FV18" s="12" t="s">
        <v>743</v>
      </c>
      <c r="FW18" s="12" t="s">
        <v>743</v>
      </c>
      <c r="FX18" s="12" t="s">
        <v>743</v>
      </c>
      <c r="FY18" s="12" t="s">
        <v>743</v>
      </c>
      <c r="FZ18" s="12" t="s">
        <v>743</v>
      </c>
      <c r="GA18" s="12" t="s">
        <v>743</v>
      </c>
      <c r="GB18" s="12" t="s">
        <v>743</v>
      </c>
      <c r="GE18" s="12" t="s">
        <v>743</v>
      </c>
      <c r="GF18" s="12" t="s">
        <v>743</v>
      </c>
      <c r="GH18" s="12" t="s">
        <v>743</v>
      </c>
    </row>
    <row r="19" spans="1:190" ht="12.75" customHeight="1" x14ac:dyDescent="0.2">
      <c r="A19" s="1" t="s">
        <v>209</v>
      </c>
      <c r="B19" s="1" t="s">
        <v>686</v>
      </c>
      <c r="E19" s="1" t="s">
        <v>130</v>
      </c>
      <c r="F19" s="1">
        <v>2</v>
      </c>
      <c r="G19" s="1">
        <v>2020</v>
      </c>
      <c r="H19" s="1">
        <v>1</v>
      </c>
      <c r="I19" s="1">
        <v>0</v>
      </c>
      <c r="J19" s="1">
        <v>0</v>
      </c>
      <c r="K19" s="18"/>
      <c r="L19" s="18"/>
      <c r="M19" s="18"/>
      <c r="N19" s="18">
        <v>235.39646938775508</v>
      </c>
      <c r="O19" s="18">
        <v>177.30121224489793</v>
      </c>
      <c r="P19" s="18">
        <v>293.4917265306122</v>
      </c>
      <c r="Q19" s="18">
        <v>43.377832653061219</v>
      </c>
      <c r="R19" s="18">
        <v>32.925930612244883</v>
      </c>
      <c r="S19" s="18">
        <v>53.829734693877541</v>
      </c>
      <c r="T19" s="18">
        <v>233.81100000000006</v>
      </c>
      <c r="U19" s="18">
        <v>176.01301836734689</v>
      </c>
      <c r="V19" s="18">
        <v>291.60898163265307</v>
      </c>
      <c r="W19" s="18">
        <v>44.963302040816323</v>
      </c>
      <c r="X19" s="18">
        <v>34.214124489795914</v>
      </c>
      <c r="Y19" s="18">
        <v>55.712479591836733</v>
      </c>
      <c r="Z19" s="18">
        <v>186.1112387755102</v>
      </c>
      <c r="AA19" s="18">
        <v>141.99860204081628</v>
      </c>
      <c r="AB19" s="18">
        <v>230.22387551020401</v>
      </c>
      <c r="AC19" s="18">
        <v>100.71541836734691</v>
      </c>
      <c r="AD19" s="18">
        <v>75.180214285714271</v>
      </c>
      <c r="AE19" s="18">
        <v>126.2506224489795</v>
      </c>
      <c r="AF19" s="18">
        <v>206.42963877551017</v>
      </c>
      <c r="AG19" s="18">
        <v>155.62906530612247</v>
      </c>
      <c r="AH19" s="18">
        <v>257.23021224489793</v>
      </c>
      <c r="AI19" s="18">
        <v>67.008948979591821</v>
      </c>
      <c r="AJ19" s="18">
        <v>50.11607755102041</v>
      </c>
      <c r="AK19" s="18">
        <v>83.901820408163246</v>
      </c>
      <c r="AL19" s="18">
        <v>204.84416938775507</v>
      </c>
      <c r="AM19" s="18">
        <v>154.3408714285714</v>
      </c>
      <c r="AN19" s="18">
        <v>255.34746734693874</v>
      </c>
      <c r="AO19" s="18">
        <v>68.594418367346918</v>
      </c>
      <c r="AP19" s="18">
        <v>51.40427142857142</v>
      </c>
      <c r="AQ19" s="18">
        <v>85.784565306122445</v>
      </c>
      <c r="AR19" s="18">
        <v>163.38719387755103</v>
      </c>
      <c r="AS19" s="18">
        <v>124.69869183673462</v>
      </c>
      <c r="AT19" s="18">
        <v>202.07569591836736</v>
      </c>
      <c r="AU19" s="18">
        <v>116.83232448979592</v>
      </c>
      <c r="AV19" s="18">
        <v>86.900491836734702</v>
      </c>
      <c r="AW19" s="18">
        <v>146.76415714285713</v>
      </c>
      <c r="AX19" s="18">
        <v>222.07242857142853</v>
      </c>
      <c r="AY19" s="18">
        <v>166.4163551020408</v>
      </c>
      <c r="AZ19" s="18">
        <v>277.72850204081624</v>
      </c>
      <c r="BA19" s="18">
        <v>45.90848571428571</v>
      </c>
      <c r="BB19" s="18">
        <v>34.755318367346938</v>
      </c>
      <c r="BC19" s="18">
        <v>57.06165306122449</v>
      </c>
      <c r="BD19" s="18">
        <v>177.07101428571426</v>
      </c>
      <c r="BE19" s="18">
        <v>133.53463469387748</v>
      </c>
      <c r="BF19" s="18">
        <v>220.60739387755092</v>
      </c>
      <c r="BG19" s="18">
        <v>90.909899999999993</v>
      </c>
      <c r="BH19" s="18">
        <v>67.637038775510192</v>
      </c>
      <c r="BI19" s="18">
        <v>114.18276122448974</v>
      </c>
      <c r="BJ19" s="18">
        <v>141.30648367346939</v>
      </c>
      <c r="BK19" s="18">
        <v>107.80734489795914</v>
      </c>
      <c r="BL19" s="18">
        <v>174.80562244897962</v>
      </c>
      <c r="BM19" s="18">
        <v>131.76012857142854</v>
      </c>
      <c r="BN19" s="18">
        <v>97.75485918367346</v>
      </c>
      <c r="BO19" s="18">
        <v>165.76539795918364</v>
      </c>
      <c r="BP19" s="18"/>
      <c r="BQ19" s="18"/>
      <c r="BR19" s="18"/>
      <c r="BS19" s="18"/>
      <c r="BT19" s="10">
        <f>Tabelle58971121[[#This Row],[Mindestauslastung durch]]*Tabelle58971121[[#This Row],[installierte Leistung MW durch]]</f>
        <v>135.61907142857146</v>
      </c>
      <c r="BU19" s="10">
        <f>Tabelle58971121[[#This Row],[Mindestauslastung min]]*Tabelle58971121[[#This Row],[installierte Leistung MW min]]</f>
        <v>103.23192857142858</v>
      </c>
      <c r="BV19" s="10">
        <f>Tabelle58971121[[#This Row],[Mindestauslastung max]]*Tabelle58971121[[#This Row],[installierte Leistung MW max]]</f>
        <v>168.00621428571429</v>
      </c>
      <c r="BW19" s="8">
        <v>6.4285714285714293E-2</v>
      </c>
      <c r="BX19" s="8">
        <v>6.4285714285714293E-2</v>
      </c>
      <c r="BY19" s="8">
        <v>6.4285714285714293E-2</v>
      </c>
      <c r="BZ19" s="8"/>
      <c r="CA19" s="8">
        <v>0.64142857142857135</v>
      </c>
      <c r="CB19" s="8">
        <v>0.64142857142857135</v>
      </c>
      <c r="CC19" s="8">
        <v>0.64142857142857135</v>
      </c>
      <c r="CD19" s="8">
        <v>0.62285714285714289</v>
      </c>
      <c r="CE19" s="8">
        <v>0.62285714285714289</v>
      </c>
      <c r="CF19" s="8">
        <v>0.62285714285714289</v>
      </c>
      <c r="CG19" s="8">
        <v>0.59</v>
      </c>
      <c r="CH19" s="8">
        <v>0.59</v>
      </c>
      <c r="CI19" s="8">
        <v>0.59</v>
      </c>
      <c r="CJ19" s="8">
        <v>0.57571428571428573</v>
      </c>
      <c r="CK19" s="8">
        <v>0.57571428571428573</v>
      </c>
      <c r="CL19" s="8">
        <v>0.57571428571428573</v>
      </c>
      <c r="CM19" s="8">
        <v>0.55714285714285716</v>
      </c>
      <c r="CN19" s="8">
        <v>0.55714285714285716</v>
      </c>
      <c r="CO19" s="8">
        <v>0.55714285714285716</v>
      </c>
      <c r="CP19" s="8">
        <v>0.52428571428571435</v>
      </c>
      <c r="CQ19" s="8">
        <v>0.52428571428571435</v>
      </c>
      <c r="CR19" s="8">
        <v>0.52428571428571435</v>
      </c>
      <c r="CS19" s="8">
        <v>0.55714285714285716</v>
      </c>
      <c r="CT19" s="8">
        <v>0.55714285714285716</v>
      </c>
      <c r="CU19" s="8">
        <v>0.55714285714285716</v>
      </c>
      <c r="CV19" s="8">
        <v>0.49142857142857138</v>
      </c>
      <c r="CW19" s="8">
        <v>0.49142857142857138</v>
      </c>
      <c r="CX19" s="8">
        <v>0.49142857142857138</v>
      </c>
      <c r="CY19" s="8">
        <v>0.45571428571428568</v>
      </c>
      <c r="CZ19" s="8">
        <v>0.45571428571428568</v>
      </c>
      <c r="DA19" s="8">
        <v>0.45571428571428568</v>
      </c>
      <c r="DB19" s="8"/>
      <c r="DC19" s="8"/>
      <c r="DD19" s="8"/>
      <c r="DE19" s="48">
        <f>Tabelle58971121[[#This Row],[Durchschnittsauslastung min]]*Tabelle58971121[[#This Row],[installierte Leistung MW min]]</f>
        <v>0</v>
      </c>
      <c r="DF19" s="48">
        <f>Tabelle58971121[[#This Row],[Durchschnittsauslastung durch]]*Tabelle58971121[[#This Row],[installierte Leistung MW durch]]</f>
        <v>0</v>
      </c>
      <c r="DG19" s="48">
        <f>Tabelle58971121[[#This Row],[Durchschnittsauslastung max]]*Tabelle58971121[[#This Row],[installierte Leistung MW max]]</f>
        <v>0</v>
      </c>
      <c r="DH19" s="87">
        <f>Tabelle58971121[[#This Row],[Maximalauslastung durch]]*Tabelle58971121[[#This Row],[installierte Leistung MW min]]</f>
        <v>1605.83</v>
      </c>
      <c r="DI19" s="48">
        <f>Tabelle58971121[[#This Row],[Maximalauslastung durch]]*Tabelle58971121[[#This Row],[installierte Leistung MW durch]]</f>
        <v>2109.63</v>
      </c>
      <c r="DJ19" s="18">
        <f>Tabelle58971121[[#This Row],[Maximalauslastung max]]*Tabelle58971121[[#This Row],[installierte Leistung MW durch]]</f>
        <v>2109.63</v>
      </c>
      <c r="DK19" s="8">
        <v>1</v>
      </c>
      <c r="DL19" s="8">
        <v>1</v>
      </c>
      <c r="DM19" s="8">
        <v>1</v>
      </c>
      <c r="DN19" s="1">
        <v>2109.63</v>
      </c>
      <c r="DO19" s="1">
        <v>1605.83</v>
      </c>
      <c r="DP19" s="1">
        <v>2613.4299999999998</v>
      </c>
      <c r="DQ19" s="18"/>
      <c r="DR19" s="18"/>
      <c r="DW19" s="1">
        <v>1.5161904761904761</v>
      </c>
      <c r="DX19" s="1">
        <v>0.5</v>
      </c>
      <c r="DY19" s="1">
        <v>5.8000000000000007</v>
      </c>
      <c r="EL19" s="1">
        <v>365</v>
      </c>
      <c r="EM19" s="1">
        <v>292</v>
      </c>
      <c r="EN19" s="1">
        <v>438</v>
      </c>
      <c r="EO19" s="10"/>
      <c r="EP19" s="10"/>
      <c r="EQ19" s="10"/>
      <c r="ER19" s="1">
        <v>365</v>
      </c>
      <c r="ES19" s="1">
        <v>292</v>
      </c>
      <c r="ET19" s="1">
        <v>438</v>
      </c>
      <c r="EV19" s="18"/>
      <c r="EW19" s="18"/>
      <c r="EX19" s="18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 t="s">
        <v>1046</v>
      </c>
      <c r="FK19" s="7" t="s">
        <v>1046</v>
      </c>
      <c r="FL19" s="7" t="s">
        <v>1046</v>
      </c>
      <c r="FO19" s="1">
        <v>67</v>
      </c>
      <c r="FP19" s="1">
        <v>67</v>
      </c>
      <c r="FQ19" s="1">
        <v>67</v>
      </c>
      <c r="FR19" s="12" t="s">
        <v>743</v>
      </c>
      <c r="FS19" s="12" t="s">
        <v>743</v>
      </c>
      <c r="FT19" s="12" t="s">
        <v>743</v>
      </c>
      <c r="FU19" s="12"/>
      <c r="FV19" s="12" t="s">
        <v>743</v>
      </c>
      <c r="FW19" s="12" t="s">
        <v>743</v>
      </c>
      <c r="FX19" s="12" t="s">
        <v>743</v>
      </c>
      <c r="FY19" s="12" t="s">
        <v>743</v>
      </c>
      <c r="FZ19" s="12" t="s">
        <v>743</v>
      </c>
      <c r="GA19" s="12" t="s">
        <v>743</v>
      </c>
      <c r="GB19" s="12" t="s">
        <v>743</v>
      </c>
      <c r="GE19" s="12" t="s">
        <v>743</v>
      </c>
      <c r="GF19" s="12" t="s">
        <v>743</v>
      </c>
      <c r="GH19" s="12" t="s">
        <v>743</v>
      </c>
    </row>
    <row r="20" spans="1:190" ht="12.75" customHeight="1" x14ac:dyDescent="0.2">
      <c r="A20" s="1" t="s">
        <v>209</v>
      </c>
      <c r="B20" s="1" t="s">
        <v>686</v>
      </c>
      <c r="E20" s="1" t="s">
        <v>130</v>
      </c>
      <c r="F20" s="1">
        <v>2</v>
      </c>
      <c r="G20" s="1">
        <v>2025</v>
      </c>
      <c r="H20" s="1">
        <v>1</v>
      </c>
      <c r="I20" s="1">
        <v>0</v>
      </c>
      <c r="J20" s="1">
        <v>0</v>
      </c>
      <c r="K20" s="18"/>
      <c r="L20" s="18"/>
      <c r="M20" s="18"/>
      <c r="N20" s="18">
        <v>253.04332653061223</v>
      </c>
      <c r="O20" s="18">
        <v>190.59286938775509</v>
      </c>
      <c r="P20" s="18">
        <v>315.49378367346935</v>
      </c>
      <c r="Q20" s="18">
        <v>46.629718367346932</v>
      </c>
      <c r="R20" s="18">
        <v>35.394273469387748</v>
      </c>
      <c r="S20" s="18">
        <v>57.865163265306116</v>
      </c>
      <c r="T20" s="18">
        <v>251.33900000000008</v>
      </c>
      <c r="U20" s="18">
        <v>189.2081040816326</v>
      </c>
      <c r="V20" s="18">
        <v>313.46989591836734</v>
      </c>
      <c r="W20" s="18">
        <v>48.334044897959181</v>
      </c>
      <c r="X20" s="18">
        <v>36.779038775510202</v>
      </c>
      <c r="Y20" s="18">
        <v>59.889051020408161</v>
      </c>
      <c r="Z20" s="18">
        <v>200.06335306122449</v>
      </c>
      <c r="AA20" s="18">
        <v>152.64374489795912</v>
      </c>
      <c r="AB20" s="18">
        <v>247.48296122448971</v>
      </c>
      <c r="AC20" s="18">
        <v>108.26570408163263</v>
      </c>
      <c r="AD20" s="18">
        <v>80.816214285714281</v>
      </c>
      <c r="AE20" s="18">
        <v>135.71519387755094</v>
      </c>
      <c r="AF20" s="18">
        <v>221.90495306122449</v>
      </c>
      <c r="AG20" s="18">
        <v>167.29603673469393</v>
      </c>
      <c r="AH20" s="18">
        <v>276.51386938775511</v>
      </c>
      <c r="AI20" s="18">
        <v>72.032377551020389</v>
      </c>
      <c r="AJ20" s="18">
        <v>53.873106122448988</v>
      </c>
      <c r="AK20" s="18">
        <v>90.191648979591832</v>
      </c>
      <c r="AL20" s="18">
        <v>220.20062653061223</v>
      </c>
      <c r="AM20" s="18">
        <v>165.91127142857141</v>
      </c>
      <c r="AN20" s="18">
        <v>274.48998163265304</v>
      </c>
      <c r="AO20" s="18">
        <v>73.736704081632638</v>
      </c>
      <c r="AP20" s="18">
        <v>55.257871428571427</v>
      </c>
      <c r="AQ20" s="18">
        <v>92.21553673469387</v>
      </c>
      <c r="AR20" s="18">
        <v>175.63576530612247</v>
      </c>
      <c r="AS20" s="18">
        <v>134.0469204081632</v>
      </c>
      <c r="AT20" s="18">
        <v>217.22461020408164</v>
      </c>
      <c r="AU20" s="18">
        <v>125.59083877551022</v>
      </c>
      <c r="AV20" s="18">
        <v>93.415120408163276</v>
      </c>
      <c r="AW20" s="18">
        <v>157.76655714285712</v>
      </c>
      <c r="AX20" s="18">
        <v>238.72042857142853</v>
      </c>
      <c r="AY20" s="18">
        <v>178.89201224489796</v>
      </c>
      <c r="AZ20" s="18">
        <v>298.5488448979591</v>
      </c>
      <c r="BA20" s="18">
        <v>49.350085714285711</v>
      </c>
      <c r="BB20" s="18">
        <v>37.360804081632651</v>
      </c>
      <c r="BC20" s="18">
        <v>61.339367346938779</v>
      </c>
      <c r="BD20" s="18">
        <v>190.34541428571427</v>
      </c>
      <c r="BE20" s="18">
        <v>143.54526326530606</v>
      </c>
      <c r="BF20" s="18">
        <v>237.14556530612236</v>
      </c>
      <c r="BG20" s="18">
        <v>97.725099999999998</v>
      </c>
      <c r="BH20" s="18">
        <v>72.707553061224488</v>
      </c>
      <c r="BI20" s="18">
        <v>122.74264693877547</v>
      </c>
      <c r="BJ20" s="18">
        <v>151.89974081632653</v>
      </c>
      <c r="BK20" s="18">
        <v>115.889287755102</v>
      </c>
      <c r="BL20" s="18">
        <v>187.91019387755105</v>
      </c>
      <c r="BM20" s="18">
        <v>141.63772857142857</v>
      </c>
      <c r="BN20" s="18">
        <v>105.08320204081633</v>
      </c>
      <c r="BO20" s="18">
        <v>178.1922551020408</v>
      </c>
      <c r="BP20" s="18"/>
      <c r="BQ20" s="18"/>
      <c r="BR20" s="18"/>
      <c r="BS20" s="18"/>
      <c r="BT20" s="10">
        <f>Tabelle58971121[[#This Row],[Mindestauslastung durch]]*Tabelle58971121[[#This Row],[installierte Leistung MW durch]]</f>
        <v>144.07392857142858</v>
      </c>
      <c r="BU20" s="10">
        <f>Tabelle58971121[[#This Row],[Mindestauslastung min]]*Tabelle58971121[[#This Row],[installierte Leistung MW min]]</f>
        <v>109.77492857142857</v>
      </c>
      <c r="BV20" s="10">
        <f>Tabelle58971121[[#This Row],[Mindestauslastung max]]*Tabelle58971121[[#This Row],[installierte Leistung MW max]]</f>
        <v>178.37292857142859</v>
      </c>
      <c r="BW20" s="8">
        <v>6.4285714285714293E-2</v>
      </c>
      <c r="BX20" s="8">
        <v>6.4285714285714293E-2</v>
      </c>
      <c r="BY20" s="8">
        <v>6.4285714285714293E-2</v>
      </c>
      <c r="BZ20" s="8"/>
      <c r="CA20" s="8">
        <v>0.64142857142857135</v>
      </c>
      <c r="CB20" s="8">
        <v>0.64142857142857135</v>
      </c>
      <c r="CC20" s="8">
        <v>0.64142857142857135</v>
      </c>
      <c r="CD20" s="8">
        <v>0.62285714285714289</v>
      </c>
      <c r="CE20" s="8">
        <v>0.62285714285714289</v>
      </c>
      <c r="CF20" s="8">
        <v>0.62285714285714289</v>
      </c>
      <c r="CG20" s="8">
        <v>0.59</v>
      </c>
      <c r="CH20" s="8">
        <v>0.59</v>
      </c>
      <c r="CI20" s="8">
        <v>0.59</v>
      </c>
      <c r="CJ20" s="8">
        <v>0.57571428571428573</v>
      </c>
      <c r="CK20" s="8">
        <v>0.57571428571428573</v>
      </c>
      <c r="CL20" s="8">
        <v>0.57571428571428573</v>
      </c>
      <c r="CM20" s="8">
        <v>0.55714285714285716</v>
      </c>
      <c r="CN20" s="8">
        <v>0.55714285714285716</v>
      </c>
      <c r="CO20" s="8">
        <v>0.55714285714285716</v>
      </c>
      <c r="CP20" s="8">
        <v>0.52428571428571435</v>
      </c>
      <c r="CQ20" s="8">
        <v>0.52428571428571435</v>
      </c>
      <c r="CR20" s="8">
        <v>0.52428571428571435</v>
      </c>
      <c r="CS20" s="8">
        <v>0.55714285714285716</v>
      </c>
      <c r="CT20" s="8">
        <v>0.55714285714285716</v>
      </c>
      <c r="CU20" s="8">
        <v>0.55714285714285716</v>
      </c>
      <c r="CV20" s="8">
        <v>0.49142857142857138</v>
      </c>
      <c r="CW20" s="8">
        <v>0.49142857142857138</v>
      </c>
      <c r="CX20" s="8">
        <v>0.49142857142857138</v>
      </c>
      <c r="CY20" s="8">
        <v>0.45571428571428568</v>
      </c>
      <c r="CZ20" s="8">
        <v>0.45571428571428568</v>
      </c>
      <c r="DA20" s="8">
        <v>0.45571428571428568</v>
      </c>
      <c r="DB20" s="8"/>
      <c r="DC20" s="8"/>
      <c r="DD20" s="8"/>
      <c r="DE20" s="48">
        <f>Tabelle58971121[[#This Row],[Durchschnittsauslastung min]]*Tabelle58971121[[#This Row],[installierte Leistung MW min]]</f>
        <v>0</v>
      </c>
      <c r="DF20" s="48">
        <f>Tabelle58971121[[#This Row],[Durchschnittsauslastung durch]]*Tabelle58971121[[#This Row],[installierte Leistung MW durch]]</f>
        <v>0</v>
      </c>
      <c r="DG20" s="48">
        <f>Tabelle58971121[[#This Row],[Durchschnittsauslastung max]]*Tabelle58971121[[#This Row],[installierte Leistung MW max]]</f>
        <v>0</v>
      </c>
      <c r="DH20" s="87">
        <f>Tabelle58971121[[#This Row],[Maximalauslastung durch]]*Tabelle58971121[[#This Row],[installierte Leistung MW min]]</f>
        <v>1707.61</v>
      </c>
      <c r="DI20" s="48">
        <f>Tabelle58971121[[#This Row],[Maximalauslastung durch]]*Tabelle58971121[[#This Row],[installierte Leistung MW durch]]</f>
        <v>2241.15</v>
      </c>
      <c r="DJ20" s="18">
        <f>Tabelle58971121[[#This Row],[Maximalauslastung max]]*Tabelle58971121[[#This Row],[installierte Leistung MW durch]]</f>
        <v>2241.15</v>
      </c>
      <c r="DK20" s="8">
        <v>1</v>
      </c>
      <c r="DL20" s="8">
        <v>1</v>
      </c>
      <c r="DM20" s="8">
        <v>1</v>
      </c>
      <c r="DN20" s="1">
        <v>2241.15</v>
      </c>
      <c r="DO20" s="1">
        <v>1707.61</v>
      </c>
      <c r="DP20" s="1">
        <v>2774.69</v>
      </c>
      <c r="DQ20" s="18"/>
      <c r="DR20" s="18"/>
      <c r="DW20" s="1">
        <v>1.5161904761904761</v>
      </c>
      <c r="DX20" s="1">
        <v>0.5</v>
      </c>
      <c r="DY20" s="1">
        <v>5.8000000000000007</v>
      </c>
      <c r="EL20" s="1">
        <v>365</v>
      </c>
      <c r="EM20" s="1">
        <v>292</v>
      </c>
      <c r="EN20" s="1">
        <v>438</v>
      </c>
      <c r="EO20" s="10"/>
      <c r="EP20" s="10"/>
      <c r="EQ20" s="10"/>
      <c r="ER20" s="1">
        <v>365</v>
      </c>
      <c r="ES20" s="1">
        <v>292</v>
      </c>
      <c r="ET20" s="1">
        <v>438</v>
      </c>
      <c r="EV20" s="18"/>
      <c r="EW20" s="18"/>
      <c r="EX20" s="18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 t="s">
        <v>1046</v>
      </c>
      <c r="FK20" s="7" t="s">
        <v>1046</v>
      </c>
      <c r="FL20" s="7" t="s">
        <v>1046</v>
      </c>
      <c r="FO20" s="1">
        <v>67</v>
      </c>
      <c r="FP20" s="1">
        <v>67</v>
      </c>
      <c r="FQ20" s="1">
        <v>67</v>
      </c>
      <c r="FR20" s="12" t="s">
        <v>743</v>
      </c>
      <c r="FS20" s="12" t="s">
        <v>743</v>
      </c>
      <c r="FT20" s="12" t="s">
        <v>743</v>
      </c>
      <c r="FU20" s="12"/>
      <c r="FV20" s="12" t="s">
        <v>743</v>
      </c>
      <c r="FW20" s="12" t="s">
        <v>743</v>
      </c>
      <c r="FX20" s="12" t="s">
        <v>743</v>
      </c>
      <c r="FY20" s="12" t="s">
        <v>743</v>
      </c>
      <c r="FZ20" s="12" t="s">
        <v>743</v>
      </c>
      <c r="GA20" s="12" t="s">
        <v>743</v>
      </c>
      <c r="GB20" s="12" t="s">
        <v>743</v>
      </c>
      <c r="GE20" s="12" t="s">
        <v>743</v>
      </c>
      <c r="GF20" s="12" t="s">
        <v>743</v>
      </c>
      <c r="GH20" s="12" t="s">
        <v>743</v>
      </c>
    </row>
    <row r="21" spans="1:190" ht="12.75" customHeight="1" x14ac:dyDescent="0.2">
      <c r="A21" s="1" t="s">
        <v>209</v>
      </c>
      <c r="B21" s="1" t="s">
        <v>686</v>
      </c>
      <c r="E21" s="1" t="s">
        <v>130</v>
      </c>
      <c r="F21" s="1">
        <v>2</v>
      </c>
      <c r="G21" s="1">
        <v>2030</v>
      </c>
      <c r="H21" s="1">
        <v>1</v>
      </c>
      <c r="I21" s="1">
        <v>0</v>
      </c>
      <c r="J21" s="1">
        <v>0</v>
      </c>
      <c r="K21" s="18"/>
      <c r="L21" s="18"/>
      <c r="M21" s="18"/>
      <c r="N21" s="18">
        <v>274.78677551020417</v>
      </c>
      <c r="O21" s="18">
        <v>206.97008979591843</v>
      </c>
      <c r="P21" s="18">
        <v>342.60346122448988</v>
      </c>
      <c r="Q21" s="18">
        <v>50.636506122448992</v>
      </c>
      <c r="R21" s="18">
        <v>38.43562448979592</v>
      </c>
      <c r="S21" s="18">
        <v>62.837387755102057</v>
      </c>
      <c r="T21" s="18">
        <v>272.93600000000021</v>
      </c>
      <c r="U21" s="18">
        <v>205.46633469387757</v>
      </c>
      <c r="V21" s="18">
        <v>340.40566530612256</v>
      </c>
      <c r="W21" s="18">
        <v>52.48728163265308</v>
      </c>
      <c r="X21" s="18">
        <v>39.93937959183674</v>
      </c>
      <c r="Y21" s="18">
        <v>65.035183673469405</v>
      </c>
      <c r="Z21" s="18">
        <v>217.25435102040825</v>
      </c>
      <c r="AA21" s="18">
        <v>165.76008163265305</v>
      </c>
      <c r="AB21" s="18">
        <v>268.74862040816328</v>
      </c>
      <c r="AC21" s="18">
        <v>117.56873469387756</v>
      </c>
      <c r="AD21" s="18">
        <v>87.760571428571453</v>
      </c>
      <c r="AE21" s="18">
        <v>147.37689795918362</v>
      </c>
      <c r="AF21" s="18">
        <v>240.97275102040823</v>
      </c>
      <c r="AG21" s="18">
        <v>181.67141224489805</v>
      </c>
      <c r="AH21" s="18">
        <v>300.27408979591843</v>
      </c>
      <c r="AI21" s="18">
        <v>78.221959183673476</v>
      </c>
      <c r="AJ21" s="18">
        <v>58.502302040816353</v>
      </c>
      <c r="AK21" s="18">
        <v>97.941616326530635</v>
      </c>
      <c r="AL21" s="18">
        <v>239.12197551020415</v>
      </c>
      <c r="AM21" s="18">
        <v>180.16765714285717</v>
      </c>
      <c r="AN21" s="18">
        <v>298.07629387755111</v>
      </c>
      <c r="AO21" s="18">
        <v>80.072734693877564</v>
      </c>
      <c r="AP21" s="18">
        <v>60.006057142857159</v>
      </c>
      <c r="AQ21" s="18">
        <v>100.13941224489798</v>
      </c>
      <c r="AR21" s="18">
        <v>190.7277551020409</v>
      </c>
      <c r="AS21" s="18">
        <v>145.56527346938773</v>
      </c>
      <c r="AT21" s="18">
        <v>235.89023673469399</v>
      </c>
      <c r="AU21" s="18">
        <v>136.38257959183679</v>
      </c>
      <c r="AV21" s="18">
        <v>101.44207346938779</v>
      </c>
      <c r="AW21" s="18">
        <v>171.32308571428575</v>
      </c>
      <c r="AX21" s="18">
        <v>259.23314285714292</v>
      </c>
      <c r="AY21" s="18">
        <v>194.26380408163271</v>
      </c>
      <c r="AZ21" s="18">
        <v>324.20248163265308</v>
      </c>
      <c r="BA21" s="18">
        <v>53.590628571428589</v>
      </c>
      <c r="BB21" s="18">
        <v>40.571134693877561</v>
      </c>
      <c r="BC21" s="18">
        <v>66.610122448979624</v>
      </c>
      <c r="BD21" s="18">
        <v>206.70137142857149</v>
      </c>
      <c r="BE21" s="18">
        <v>155.87978775510203</v>
      </c>
      <c r="BF21" s="18">
        <v>257.52295510204084</v>
      </c>
      <c r="BG21" s="18">
        <v>106.12240000000004</v>
      </c>
      <c r="BH21" s="18">
        <v>78.955151020408181</v>
      </c>
      <c r="BI21" s="18">
        <v>133.28964897959182</v>
      </c>
      <c r="BJ21" s="18">
        <v>164.95214693877557</v>
      </c>
      <c r="BK21" s="18">
        <v>125.84739591836735</v>
      </c>
      <c r="BL21" s="18">
        <v>204.05689795918377</v>
      </c>
      <c r="BM21" s="18">
        <v>153.80834285714289</v>
      </c>
      <c r="BN21" s="18">
        <v>114.11276734693881</v>
      </c>
      <c r="BO21" s="18">
        <v>193.50391836734698</v>
      </c>
      <c r="BP21" s="18"/>
      <c r="BQ21" s="18"/>
      <c r="BR21" s="18"/>
      <c r="BS21" s="18"/>
      <c r="BT21" s="10">
        <f>Tabelle58971121[[#This Row],[Mindestauslastung durch]]*Tabelle58971121[[#This Row],[installierte Leistung MW durch]]</f>
        <v>154.49014285714287</v>
      </c>
      <c r="BU21" s="10">
        <f>Tabelle58971121[[#This Row],[Mindestauslastung min]]*Tabelle58971121[[#This Row],[installierte Leistung MW min]]</f>
        <v>117.82607142857144</v>
      </c>
      <c r="BV21" s="10">
        <f>Tabelle58971121[[#This Row],[Mindestauslastung max]]*Tabelle58971121[[#This Row],[installierte Leistung MW max]]</f>
        <v>191.15421428571432</v>
      </c>
      <c r="BW21" s="8">
        <v>6.4285714285714293E-2</v>
      </c>
      <c r="BX21" s="8">
        <v>6.4285714285714293E-2</v>
      </c>
      <c r="BY21" s="8">
        <v>6.4285714285714293E-2</v>
      </c>
      <c r="BZ21" s="8"/>
      <c r="CA21" s="8">
        <v>0.64142857142857135</v>
      </c>
      <c r="CB21" s="8">
        <v>0.64142857142857135</v>
      </c>
      <c r="CC21" s="8">
        <v>0.64142857142857135</v>
      </c>
      <c r="CD21" s="8">
        <v>0.62285714285714289</v>
      </c>
      <c r="CE21" s="8">
        <v>0.62285714285714289</v>
      </c>
      <c r="CF21" s="8">
        <v>0.62285714285714289</v>
      </c>
      <c r="CG21" s="8">
        <v>0.59</v>
      </c>
      <c r="CH21" s="8">
        <v>0.59</v>
      </c>
      <c r="CI21" s="8">
        <v>0.59</v>
      </c>
      <c r="CJ21" s="8">
        <v>0.57571428571428573</v>
      </c>
      <c r="CK21" s="8">
        <v>0.57571428571428573</v>
      </c>
      <c r="CL21" s="8">
        <v>0.57571428571428573</v>
      </c>
      <c r="CM21" s="8">
        <v>0.55714285714285716</v>
      </c>
      <c r="CN21" s="8">
        <v>0.55714285714285716</v>
      </c>
      <c r="CO21" s="8">
        <v>0.55714285714285716</v>
      </c>
      <c r="CP21" s="8">
        <v>0.52428571428571435</v>
      </c>
      <c r="CQ21" s="8">
        <v>0.52428571428571435</v>
      </c>
      <c r="CR21" s="8">
        <v>0.52428571428571435</v>
      </c>
      <c r="CS21" s="8">
        <v>0.55714285714285716</v>
      </c>
      <c r="CT21" s="8">
        <v>0.55714285714285716</v>
      </c>
      <c r="CU21" s="8">
        <v>0.55714285714285716</v>
      </c>
      <c r="CV21" s="8">
        <v>0.49142857142857138</v>
      </c>
      <c r="CW21" s="8">
        <v>0.49142857142857138</v>
      </c>
      <c r="CX21" s="8">
        <v>0.49142857142857138</v>
      </c>
      <c r="CY21" s="8">
        <v>0.45571428571428568</v>
      </c>
      <c r="CZ21" s="8">
        <v>0.45571428571428568</v>
      </c>
      <c r="DA21" s="8">
        <v>0.45571428571428568</v>
      </c>
      <c r="DB21" s="8"/>
      <c r="DC21" s="8"/>
      <c r="DD21" s="8"/>
      <c r="DE21" s="48">
        <f>Tabelle58971121[[#This Row],[Durchschnittsauslastung min]]*Tabelle58971121[[#This Row],[installierte Leistung MW min]]</f>
        <v>0</v>
      </c>
      <c r="DF21" s="48">
        <f>Tabelle58971121[[#This Row],[Durchschnittsauslastung durch]]*Tabelle58971121[[#This Row],[installierte Leistung MW durch]]</f>
        <v>0</v>
      </c>
      <c r="DG21" s="48">
        <f>Tabelle58971121[[#This Row],[Durchschnittsauslastung max]]*Tabelle58971121[[#This Row],[installierte Leistung MW max]]</f>
        <v>0</v>
      </c>
      <c r="DH21" s="87">
        <f>Tabelle58971121[[#This Row],[Maximalauslastung durch]]*Tabelle58971121[[#This Row],[installierte Leistung MW min]]</f>
        <v>1832.85</v>
      </c>
      <c r="DI21" s="48">
        <f>Tabelle58971121[[#This Row],[Maximalauslastung durch]]*Tabelle58971121[[#This Row],[installierte Leistung MW durch]]</f>
        <v>2403.1799999999998</v>
      </c>
      <c r="DJ21" s="18">
        <f>Tabelle58971121[[#This Row],[Maximalauslastung max]]*Tabelle58971121[[#This Row],[installierte Leistung MW durch]]</f>
        <v>2403.1799999999998</v>
      </c>
      <c r="DK21" s="8">
        <v>1</v>
      </c>
      <c r="DL21" s="8">
        <v>1</v>
      </c>
      <c r="DM21" s="8">
        <v>1</v>
      </c>
      <c r="DN21" s="1">
        <v>2403.1799999999998</v>
      </c>
      <c r="DO21" s="1">
        <v>1832.85</v>
      </c>
      <c r="DP21" s="1">
        <v>2973.51</v>
      </c>
      <c r="DQ21" s="18"/>
      <c r="DR21" s="18"/>
      <c r="DW21" s="1">
        <v>1.5161904761904761</v>
      </c>
      <c r="DX21" s="1">
        <v>0.5</v>
      </c>
      <c r="DY21" s="1">
        <v>5.8000000000000007</v>
      </c>
      <c r="EL21" s="1">
        <v>365</v>
      </c>
      <c r="EM21" s="1">
        <v>292</v>
      </c>
      <c r="EN21" s="1">
        <v>438</v>
      </c>
      <c r="EO21" s="10"/>
      <c r="EP21" s="10"/>
      <c r="EQ21" s="10"/>
      <c r="ER21" s="1">
        <v>365</v>
      </c>
      <c r="ES21" s="1">
        <v>292</v>
      </c>
      <c r="ET21" s="1">
        <v>438</v>
      </c>
      <c r="EV21" s="18"/>
      <c r="EW21" s="18"/>
      <c r="EX21" s="18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 t="s">
        <v>1046</v>
      </c>
      <c r="FK21" s="7" t="s">
        <v>1046</v>
      </c>
      <c r="FL21" s="7" t="s">
        <v>1046</v>
      </c>
      <c r="FO21" s="1">
        <v>67</v>
      </c>
      <c r="FP21" s="1">
        <v>67</v>
      </c>
      <c r="FQ21" s="1">
        <v>67</v>
      </c>
      <c r="FR21" s="12" t="s">
        <v>743</v>
      </c>
      <c r="FS21" s="12" t="s">
        <v>743</v>
      </c>
      <c r="FT21" s="12" t="s">
        <v>743</v>
      </c>
      <c r="FU21" s="12"/>
      <c r="FV21" s="12" t="s">
        <v>743</v>
      </c>
      <c r="FW21" s="12" t="s">
        <v>743</v>
      </c>
      <c r="FX21" s="12" t="s">
        <v>743</v>
      </c>
      <c r="FY21" s="12" t="s">
        <v>743</v>
      </c>
      <c r="FZ21" s="12" t="s">
        <v>743</v>
      </c>
      <c r="GA21" s="12" t="s">
        <v>743</v>
      </c>
      <c r="GB21" s="12" t="s">
        <v>743</v>
      </c>
      <c r="GE21" s="12" t="s">
        <v>743</v>
      </c>
      <c r="GF21" s="12" t="s">
        <v>743</v>
      </c>
      <c r="GH21" s="12" t="s">
        <v>743</v>
      </c>
    </row>
    <row r="22" spans="1:190" ht="12.75" customHeight="1" x14ac:dyDescent="0.2">
      <c r="A22" s="1" t="s">
        <v>209</v>
      </c>
      <c r="B22" s="1" t="s">
        <v>686</v>
      </c>
      <c r="E22" s="1" t="s">
        <v>130</v>
      </c>
      <c r="F22" s="1">
        <v>2</v>
      </c>
      <c r="G22" s="1">
        <v>2035</v>
      </c>
      <c r="H22" s="1">
        <v>1</v>
      </c>
      <c r="I22" s="1">
        <v>0</v>
      </c>
      <c r="J22" s="1">
        <v>0</v>
      </c>
      <c r="K22" s="18"/>
      <c r="L22" s="18"/>
      <c r="M22" s="18"/>
      <c r="N22" s="18">
        <v>300.31169387755119</v>
      </c>
      <c r="O22" s="18">
        <v>226.19552244897972</v>
      </c>
      <c r="P22" s="18">
        <v>374.42786530612261</v>
      </c>
      <c r="Q22" s="18">
        <v>55.340126530612274</v>
      </c>
      <c r="R22" s="18">
        <v>42.005906122448991</v>
      </c>
      <c r="S22" s="18">
        <v>68.674346938775543</v>
      </c>
      <c r="T22" s="18">
        <v>298.28900000000027</v>
      </c>
      <c r="U22" s="18">
        <v>224.55208367346947</v>
      </c>
      <c r="V22" s="18">
        <v>372.02591632653088</v>
      </c>
      <c r="W22" s="18">
        <v>57.362820408163294</v>
      </c>
      <c r="X22" s="18">
        <v>43.649344897959203</v>
      </c>
      <c r="Y22" s="18">
        <v>71.076295918367393</v>
      </c>
      <c r="Z22" s="18">
        <v>237.43508775510219</v>
      </c>
      <c r="AA22" s="18">
        <v>181.15752040816332</v>
      </c>
      <c r="AB22" s="18">
        <v>293.71265510204091</v>
      </c>
      <c r="AC22" s="18">
        <v>128.48968367346944</v>
      </c>
      <c r="AD22" s="18">
        <v>95.912642857142913</v>
      </c>
      <c r="AE22" s="18">
        <v>161.06672448979592</v>
      </c>
      <c r="AF22" s="18">
        <v>263.3566877551022</v>
      </c>
      <c r="AG22" s="18">
        <v>198.54685306122465</v>
      </c>
      <c r="AH22" s="18">
        <v>328.16652244897978</v>
      </c>
      <c r="AI22" s="18">
        <v>85.487989795918395</v>
      </c>
      <c r="AJ22" s="18">
        <v>63.936575510204129</v>
      </c>
      <c r="AK22" s="18">
        <v>107.03940408163271</v>
      </c>
      <c r="AL22" s="18">
        <v>261.33399387755117</v>
      </c>
      <c r="AM22" s="18">
        <v>196.90341428571438</v>
      </c>
      <c r="AN22" s="18">
        <v>325.76457346938793</v>
      </c>
      <c r="AO22" s="18">
        <v>87.51068367346943</v>
      </c>
      <c r="AP22" s="18">
        <v>65.580014285714327</v>
      </c>
      <c r="AQ22" s="18">
        <v>109.44135306122455</v>
      </c>
      <c r="AR22" s="18">
        <v>208.44443877551035</v>
      </c>
      <c r="AS22" s="18">
        <v>159.08681836734695</v>
      </c>
      <c r="AT22" s="18">
        <v>257.80205918367363</v>
      </c>
      <c r="AU22" s="18">
        <v>149.05114489795929</v>
      </c>
      <c r="AV22" s="18">
        <v>110.86501836734702</v>
      </c>
      <c r="AW22" s="18">
        <v>187.23727142857152</v>
      </c>
      <c r="AX22" s="18">
        <v>283.31328571428583</v>
      </c>
      <c r="AY22" s="18">
        <v>212.3089510204083</v>
      </c>
      <c r="AZ22" s="18">
        <v>354.31762040816341</v>
      </c>
      <c r="BA22" s="18">
        <v>58.568657142857177</v>
      </c>
      <c r="BB22" s="18">
        <v>44.339783673469412</v>
      </c>
      <c r="BC22" s="18">
        <v>72.797530612244955</v>
      </c>
      <c r="BD22" s="18">
        <v>225.90184285714298</v>
      </c>
      <c r="BE22" s="18">
        <v>170.35944693877553</v>
      </c>
      <c r="BF22" s="18">
        <v>281.44423877551026</v>
      </c>
      <c r="BG22" s="18">
        <v>115.98010000000008</v>
      </c>
      <c r="BH22" s="18">
        <v>86.28928775510208</v>
      </c>
      <c r="BI22" s="18">
        <v>145.67091224489798</v>
      </c>
      <c r="BJ22" s="18">
        <v>180.27453673469398</v>
      </c>
      <c r="BK22" s="18">
        <v>137.53734897959188</v>
      </c>
      <c r="BL22" s="18">
        <v>223.01172448979611</v>
      </c>
      <c r="BM22" s="18">
        <v>168.09558571428579</v>
      </c>
      <c r="BN22" s="18">
        <v>124.71269183673476</v>
      </c>
      <c r="BO22" s="18">
        <v>211.47847959183684</v>
      </c>
      <c r="BP22" s="18"/>
      <c r="BQ22" s="18"/>
      <c r="BR22" s="18"/>
      <c r="BS22" s="18"/>
      <c r="BT22" s="10">
        <f>Tabelle58971121[[#This Row],[Mindestauslastung durch]]*Tabelle58971121[[#This Row],[installierte Leistung MW durch]]</f>
        <v>166.64978571428568</v>
      </c>
      <c r="BU22" s="10">
        <f>Tabelle58971121[[#This Row],[Mindestauslastung min]]*Tabelle58971121[[#This Row],[installierte Leistung MW min]]</f>
        <v>127.1912142857143</v>
      </c>
      <c r="BV22" s="10">
        <f>Tabelle58971121[[#This Row],[Mindestauslastung max]]*Tabelle58971121[[#This Row],[installierte Leistung MW max]]</f>
        <v>206.10835714285719</v>
      </c>
      <c r="BW22" s="8">
        <v>6.4285714285714293E-2</v>
      </c>
      <c r="BX22" s="8">
        <v>6.4285714285714293E-2</v>
      </c>
      <c r="BY22" s="8">
        <v>6.4285714285714293E-2</v>
      </c>
      <c r="BZ22" s="8"/>
      <c r="CA22" s="8">
        <v>0.64142857142857135</v>
      </c>
      <c r="CB22" s="8">
        <v>0.64142857142857135</v>
      </c>
      <c r="CC22" s="8">
        <v>0.64142857142857135</v>
      </c>
      <c r="CD22" s="8">
        <v>0.62285714285714289</v>
      </c>
      <c r="CE22" s="8">
        <v>0.62285714285714289</v>
      </c>
      <c r="CF22" s="8">
        <v>0.62285714285714289</v>
      </c>
      <c r="CG22" s="8">
        <v>0.59</v>
      </c>
      <c r="CH22" s="8">
        <v>0.59</v>
      </c>
      <c r="CI22" s="8">
        <v>0.59</v>
      </c>
      <c r="CJ22" s="8">
        <v>0.57571428571428573</v>
      </c>
      <c r="CK22" s="8">
        <v>0.57571428571428573</v>
      </c>
      <c r="CL22" s="8">
        <v>0.57571428571428573</v>
      </c>
      <c r="CM22" s="8">
        <v>0.55714285714285716</v>
      </c>
      <c r="CN22" s="8">
        <v>0.55714285714285716</v>
      </c>
      <c r="CO22" s="8">
        <v>0.55714285714285716</v>
      </c>
      <c r="CP22" s="8">
        <v>0.52428571428571435</v>
      </c>
      <c r="CQ22" s="8">
        <v>0.52428571428571435</v>
      </c>
      <c r="CR22" s="8">
        <v>0.52428571428571435</v>
      </c>
      <c r="CS22" s="8">
        <v>0.55714285714285716</v>
      </c>
      <c r="CT22" s="8">
        <v>0.55714285714285716</v>
      </c>
      <c r="CU22" s="8">
        <v>0.55714285714285716</v>
      </c>
      <c r="CV22" s="8">
        <v>0.49142857142857138</v>
      </c>
      <c r="CW22" s="8">
        <v>0.49142857142857138</v>
      </c>
      <c r="CX22" s="8">
        <v>0.49142857142857138</v>
      </c>
      <c r="CY22" s="8">
        <v>0.45571428571428568</v>
      </c>
      <c r="CZ22" s="8">
        <v>0.45571428571428568</v>
      </c>
      <c r="DA22" s="8">
        <v>0.45571428571428568</v>
      </c>
      <c r="DB22" s="8"/>
      <c r="DC22" s="8"/>
      <c r="DD22" s="8"/>
      <c r="DE22" s="48">
        <f>Tabelle58971121[[#This Row],[Durchschnittsauslastung min]]*Tabelle58971121[[#This Row],[installierte Leistung MW min]]</f>
        <v>0</v>
      </c>
      <c r="DF22" s="48">
        <f>Tabelle58971121[[#This Row],[Durchschnittsauslastung durch]]*Tabelle58971121[[#This Row],[installierte Leistung MW durch]]</f>
        <v>0</v>
      </c>
      <c r="DG22" s="48">
        <f>Tabelle58971121[[#This Row],[Durchschnittsauslastung max]]*Tabelle58971121[[#This Row],[installierte Leistung MW max]]</f>
        <v>0</v>
      </c>
      <c r="DH22" s="87">
        <f>Tabelle58971121[[#This Row],[Maximalauslastung durch]]*Tabelle58971121[[#This Row],[installierte Leistung MW min]]</f>
        <v>1978.53</v>
      </c>
      <c r="DI22" s="48">
        <f>Tabelle58971121[[#This Row],[Maximalauslastung durch]]*Tabelle58971121[[#This Row],[installierte Leistung MW durch]]</f>
        <v>2592.329999999999</v>
      </c>
      <c r="DJ22" s="18">
        <f>Tabelle58971121[[#This Row],[Maximalauslastung max]]*Tabelle58971121[[#This Row],[installierte Leistung MW durch]]</f>
        <v>2592.329999999999</v>
      </c>
      <c r="DK22" s="8">
        <v>1</v>
      </c>
      <c r="DL22" s="8">
        <v>1</v>
      </c>
      <c r="DM22" s="8">
        <v>1</v>
      </c>
      <c r="DN22" s="1">
        <v>2592.329999999999</v>
      </c>
      <c r="DO22" s="1">
        <v>1978.53</v>
      </c>
      <c r="DP22" s="1">
        <v>3206.13</v>
      </c>
      <c r="DQ22" s="18"/>
      <c r="DR22" s="18"/>
      <c r="DW22" s="1">
        <v>1.5161904761904761</v>
      </c>
      <c r="DX22" s="1">
        <v>0.5</v>
      </c>
      <c r="DY22" s="1">
        <v>5.8000000000000007</v>
      </c>
      <c r="EL22" s="1">
        <v>365</v>
      </c>
      <c r="EM22" s="1">
        <v>292</v>
      </c>
      <c r="EN22" s="1">
        <v>438</v>
      </c>
      <c r="EO22" s="10"/>
      <c r="EP22" s="10"/>
      <c r="EQ22" s="10"/>
      <c r="ER22" s="1">
        <v>365</v>
      </c>
      <c r="ES22" s="1">
        <v>292</v>
      </c>
      <c r="ET22" s="1">
        <v>438</v>
      </c>
      <c r="EV22" s="18"/>
      <c r="EW22" s="18"/>
      <c r="EX22" s="18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 t="s">
        <v>1046</v>
      </c>
      <c r="FK22" s="7" t="s">
        <v>1046</v>
      </c>
      <c r="FL22" s="7" t="s">
        <v>1046</v>
      </c>
      <c r="FO22" s="1">
        <v>67</v>
      </c>
      <c r="FP22" s="1">
        <v>67</v>
      </c>
      <c r="FQ22" s="1">
        <v>67</v>
      </c>
      <c r="FR22" s="12" t="s">
        <v>743</v>
      </c>
      <c r="FS22" s="12" t="s">
        <v>743</v>
      </c>
      <c r="FT22" s="12" t="s">
        <v>743</v>
      </c>
      <c r="FU22" s="12"/>
      <c r="FV22" s="12" t="s">
        <v>743</v>
      </c>
      <c r="FW22" s="12" t="s">
        <v>743</v>
      </c>
      <c r="FX22" s="12" t="s">
        <v>743</v>
      </c>
      <c r="FY22" s="12" t="s">
        <v>743</v>
      </c>
      <c r="FZ22" s="12" t="s">
        <v>743</v>
      </c>
      <c r="GA22" s="12" t="s">
        <v>743</v>
      </c>
      <c r="GB22" s="12" t="s">
        <v>743</v>
      </c>
      <c r="GE22" s="12" t="s">
        <v>743</v>
      </c>
      <c r="GF22" s="12" t="s">
        <v>743</v>
      </c>
      <c r="GH22" s="12" t="s">
        <v>743</v>
      </c>
    </row>
    <row r="23" spans="1:190" ht="12.75" customHeight="1" x14ac:dyDescent="0.2">
      <c r="A23" s="1" t="s">
        <v>209</v>
      </c>
      <c r="B23" s="1" t="s">
        <v>686</v>
      </c>
      <c r="E23" s="1" t="s">
        <v>130</v>
      </c>
      <c r="F23" s="1">
        <v>2</v>
      </c>
      <c r="G23" s="1">
        <v>2040</v>
      </c>
      <c r="H23" s="1">
        <v>1</v>
      </c>
      <c r="I23" s="1">
        <v>0</v>
      </c>
      <c r="J23" s="1">
        <v>0</v>
      </c>
      <c r="K23" s="18"/>
      <c r="L23" s="18"/>
      <c r="M23" s="18"/>
      <c r="N23" s="18">
        <v>331.19369387755091</v>
      </c>
      <c r="O23" s="18">
        <v>249.45592244897952</v>
      </c>
      <c r="P23" s="18">
        <v>412.93146530612228</v>
      </c>
      <c r="Q23" s="18">
        <v>61.030926530612227</v>
      </c>
      <c r="R23" s="18">
        <v>46.325506122448957</v>
      </c>
      <c r="S23" s="18">
        <v>75.736346938775483</v>
      </c>
      <c r="T23" s="18">
        <v>328.96300000000002</v>
      </c>
      <c r="U23" s="18">
        <v>247.64348367346926</v>
      </c>
      <c r="V23" s="18">
        <v>410.28251632653053</v>
      </c>
      <c r="W23" s="18">
        <v>63.261620408163246</v>
      </c>
      <c r="X23" s="18">
        <v>48.137944897959166</v>
      </c>
      <c r="Y23" s="18">
        <v>78.385295918367333</v>
      </c>
      <c r="Z23" s="18">
        <v>261.85128775510196</v>
      </c>
      <c r="AA23" s="18">
        <v>199.78652040816314</v>
      </c>
      <c r="AB23" s="18">
        <v>323.91605510204062</v>
      </c>
      <c r="AC23" s="18">
        <v>141.70268367346932</v>
      </c>
      <c r="AD23" s="18">
        <v>105.77564285714283</v>
      </c>
      <c r="AE23" s="18">
        <v>177.62972448979576</v>
      </c>
      <c r="AF23" s="18">
        <v>290.43848775510196</v>
      </c>
      <c r="AG23" s="18">
        <v>218.96405306122449</v>
      </c>
      <c r="AH23" s="18">
        <v>361.91292244897949</v>
      </c>
      <c r="AI23" s="18">
        <v>94.278989795918321</v>
      </c>
      <c r="AJ23" s="18">
        <v>70.511375510204076</v>
      </c>
      <c r="AK23" s="18">
        <v>118.04660408163261</v>
      </c>
      <c r="AL23" s="18">
        <v>288.20779387755096</v>
      </c>
      <c r="AM23" s="18">
        <v>217.1516142857142</v>
      </c>
      <c r="AN23" s="18">
        <v>359.26397346938768</v>
      </c>
      <c r="AO23" s="18">
        <v>96.509683673469354</v>
      </c>
      <c r="AP23" s="18">
        <v>72.323814285714263</v>
      </c>
      <c r="AQ23" s="18">
        <v>120.69555306122446</v>
      </c>
      <c r="AR23" s="18">
        <v>229.87943877551018</v>
      </c>
      <c r="AS23" s="18">
        <v>175.44621836734683</v>
      </c>
      <c r="AT23" s="18">
        <v>284.31265918367342</v>
      </c>
      <c r="AU23" s="18">
        <v>164.37854489795916</v>
      </c>
      <c r="AV23" s="18">
        <v>122.26561836734692</v>
      </c>
      <c r="AW23" s="18">
        <v>206.49147142857134</v>
      </c>
      <c r="AX23" s="18">
        <v>312.44728571428561</v>
      </c>
      <c r="AY23" s="18">
        <v>234.14135102040811</v>
      </c>
      <c r="AZ23" s="18">
        <v>390.75322040816309</v>
      </c>
      <c r="BA23" s="18">
        <v>64.591457142857124</v>
      </c>
      <c r="BB23" s="18">
        <v>48.899383673469373</v>
      </c>
      <c r="BC23" s="18">
        <v>80.283530612244888</v>
      </c>
      <c r="BD23" s="18">
        <v>249.13204285714278</v>
      </c>
      <c r="BE23" s="18">
        <v>187.87804693877538</v>
      </c>
      <c r="BF23" s="18">
        <v>310.38603877551003</v>
      </c>
      <c r="BG23" s="18">
        <v>127.90669999999997</v>
      </c>
      <c r="BH23" s="18">
        <v>95.162687755102013</v>
      </c>
      <c r="BI23" s="18">
        <v>160.65071224489785</v>
      </c>
      <c r="BJ23" s="18">
        <v>198.81273673469383</v>
      </c>
      <c r="BK23" s="18">
        <v>151.68074897959175</v>
      </c>
      <c r="BL23" s="18">
        <v>245.9447244897959</v>
      </c>
      <c r="BM23" s="18">
        <v>185.38138571428564</v>
      </c>
      <c r="BN23" s="18">
        <v>137.53729183673465</v>
      </c>
      <c r="BO23" s="18">
        <v>233.22547959183666</v>
      </c>
      <c r="BP23" s="18"/>
      <c r="BQ23" s="18"/>
      <c r="BR23" s="18"/>
      <c r="BS23" s="18"/>
      <c r="BT23" s="10">
        <f>Tabelle58971121[[#This Row],[Mindestauslastung durch]]*Tabelle58971121[[#This Row],[installierte Leistung MW durch]]</f>
        <v>181.17835714285715</v>
      </c>
      <c r="BU23" s="10">
        <f>Tabelle58971121[[#This Row],[Mindestauslastung min]]*Tabelle58971121[[#This Row],[installierte Leistung MW min]]</f>
        <v>138.36407142857138</v>
      </c>
      <c r="BV23" s="10">
        <f>Tabelle58971121[[#This Row],[Mindestauslastung max]]*Tabelle58971121[[#This Row],[installierte Leistung MW max]]</f>
        <v>223.99264285714287</v>
      </c>
      <c r="BW23" s="8">
        <v>6.4285714285714293E-2</v>
      </c>
      <c r="BX23" s="8">
        <v>6.4285714285714293E-2</v>
      </c>
      <c r="BY23" s="8">
        <v>6.4285714285714293E-2</v>
      </c>
      <c r="BZ23" s="8"/>
      <c r="CA23" s="8">
        <v>0.64142857142857135</v>
      </c>
      <c r="CB23" s="8">
        <v>0.64142857142857135</v>
      </c>
      <c r="CC23" s="8">
        <v>0.64142857142857135</v>
      </c>
      <c r="CD23" s="8">
        <v>0.62285714285714289</v>
      </c>
      <c r="CE23" s="8">
        <v>0.62285714285714289</v>
      </c>
      <c r="CF23" s="8">
        <v>0.62285714285714289</v>
      </c>
      <c r="CG23" s="8">
        <v>0.59</v>
      </c>
      <c r="CH23" s="8">
        <v>0.59</v>
      </c>
      <c r="CI23" s="8">
        <v>0.59</v>
      </c>
      <c r="CJ23" s="8">
        <v>0.57571428571428573</v>
      </c>
      <c r="CK23" s="8">
        <v>0.57571428571428573</v>
      </c>
      <c r="CL23" s="8">
        <v>0.57571428571428573</v>
      </c>
      <c r="CM23" s="8">
        <v>0.55714285714285716</v>
      </c>
      <c r="CN23" s="8">
        <v>0.55714285714285716</v>
      </c>
      <c r="CO23" s="8">
        <v>0.55714285714285716</v>
      </c>
      <c r="CP23" s="8">
        <v>0.52428571428571435</v>
      </c>
      <c r="CQ23" s="8">
        <v>0.52428571428571435</v>
      </c>
      <c r="CR23" s="8">
        <v>0.52428571428571435</v>
      </c>
      <c r="CS23" s="8">
        <v>0.55714285714285716</v>
      </c>
      <c r="CT23" s="8">
        <v>0.55714285714285716</v>
      </c>
      <c r="CU23" s="8">
        <v>0.55714285714285716</v>
      </c>
      <c r="CV23" s="8">
        <v>0.49142857142857138</v>
      </c>
      <c r="CW23" s="8">
        <v>0.49142857142857138</v>
      </c>
      <c r="CX23" s="8">
        <v>0.49142857142857138</v>
      </c>
      <c r="CY23" s="8">
        <v>0.45571428571428568</v>
      </c>
      <c r="CZ23" s="8">
        <v>0.45571428571428568</v>
      </c>
      <c r="DA23" s="8">
        <v>0.45571428571428568</v>
      </c>
      <c r="DB23" s="8"/>
      <c r="DC23" s="8"/>
      <c r="DD23" s="8"/>
      <c r="DE23" s="48">
        <f>Tabelle58971121[[#This Row],[Durchschnittsauslastung min]]*Tabelle58971121[[#This Row],[installierte Leistung MW min]]</f>
        <v>0</v>
      </c>
      <c r="DF23" s="48">
        <f>Tabelle58971121[[#This Row],[Durchschnittsauslastung durch]]*Tabelle58971121[[#This Row],[installierte Leistung MW durch]]</f>
        <v>0</v>
      </c>
      <c r="DG23" s="48">
        <f>Tabelle58971121[[#This Row],[Durchschnittsauslastung max]]*Tabelle58971121[[#This Row],[installierte Leistung MW max]]</f>
        <v>0</v>
      </c>
      <c r="DH23" s="87">
        <f>Tabelle58971121[[#This Row],[Maximalauslastung durch]]*Tabelle58971121[[#This Row],[installierte Leistung MW min]]</f>
        <v>2152.329999999999</v>
      </c>
      <c r="DI23" s="48">
        <f>Tabelle58971121[[#This Row],[Maximalauslastung durch]]*Tabelle58971121[[#This Row],[installierte Leistung MW durch]]</f>
        <v>2818.33</v>
      </c>
      <c r="DJ23" s="18">
        <f>Tabelle58971121[[#This Row],[Maximalauslastung max]]*Tabelle58971121[[#This Row],[installierte Leistung MW durch]]</f>
        <v>2818.33</v>
      </c>
      <c r="DK23" s="8">
        <v>1</v>
      </c>
      <c r="DL23" s="8">
        <v>1</v>
      </c>
      <c r="DM23" s="8">
        <v>1</v>
      </c>
      <c r="DN23" s="1">
        <v>2818.33</v>
      </c>
      <c r="DO23" s="1">
        <v>2152.329999999999</v>
      </c>
      <c r="DP23" s="1">
        <v>3484.33</v>
      </c>
      <c r="DQ23" s="18"/>
      <c r="DR23" s="18"/>
      <c r="DW23" s="1">
        <v>1.5161904761904761</v>
      </c>
      <c r="DX23" s="1">
        <v>0.5</v>
      </c>
      <c r="DY23" s="1">
        <v>5.8000000000000007</v>
      </c>
      <c r="EL23" s="1">
        <v>365</v>
      </c>
      <c r="EM23" s="1">
        <v>292</v>
      </c>
      <c r="EN23" s="1">
        <v>438</v>
      </c>
      <c r="EO23" s="10"/>
      <c r="EP23" s="10"/>
      <c r="EQ23" s="10"/>
      <c r="ER23" s="1">
        <v>365</v>
      </c>
      <c r="ES23" s="1">
        <v>292</v>
      </c>
      <c r="ET23" s="1">
        <v>438</v>
      </c>
      <c r="EV23" s="18"/>
      <c r="EW23" s="18"/>
      <c r="EX23" s="18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 t="s">
        <v>1046</v>
      </c>
      <c r="FK23" s="7" t="s">
        <v>1046</v>
      </c>
      <c r="FL23" s="7" t="s">
        <v>1046</v>
      </c>
      <c r="FO23" s="1">
        <v>67</v>
      </c>
      <c r="FP23" s="1">
        <v>67</v>
      </c>
      <c r="FQ23" s="1">
        <v>67</v>
      </c>
      <c r="FR23" s="12" t="s">
        <v>743</v>
      </c>
      <c r="FS23" s="12" t="s">
        <v>743</v>
      </c>
      <c r="FT23" s="12" t="s">
        <v>743</v>
      </c>
      <c r="FU23" s="12"/>
      <c r="FV23" s="12" t="s">
        <v>743</v>
      </c>
      <c r="FW23" s="12" t="s">
        <v>743</v>
      </c>
      <c r="FX23" s="12" t="s">
        <v>743</v>
      </c>
      <c r="FY23" s="12" t="s">
        <v>743</v>
      </c>
      <c r="FZ23" s="12" t="s">
        <v>743</v>
      </c>
      <c r="GA23" s="12" t="s">
        <v>743</v>
      </c>
      <c r="GB23" s="12" t="s">
        <v>743</v>
      </c>
      <c r="GE23" s="12" t="s">
        <v>743</v>
      </c>
      <c r="GF23" s="12" t="s">
        <v>743</v>
      </c>
      <c r="GH23" s="12" t="s">
        <v>743</v>
      </c>
    </row>
    <row r="24" spans="1:190" ht="12.75" customHeight="1" x14ac:dyDescent="0.2">
      <c r="A24" s="1" t="s">
        <v>209</v>
      </c>
      <c r="B24" s="1" t="s">
        <v>686</v>
      </c>
      <c r="E24" s="1" t="s">
        <v>130</v>
      </c>
      <c r="F24" s="1">
        <v>2</v>
      </c>
      <c r="G24" s="1">
        <v>2045</v>
      </c>
      <c r="H24" s="1">
        <v>1</v>
      </c>
      <c r="I24" s="1">
        <v>0</v>
      </c>
      <c r="J24" s="1">
        <v>0</v>
      </c>
      <c r="K24" s="18"/>
      <c r="L24" s="18"/>
      <c r="M24" s="18"/>
      <c r="N24" s="18">
        <v>368.69326530612238</v>
      </c>
      <c r="O24" s="18">
        <v>277.70069387755098</v>
      </c>
      <c r="P24" s="18">
        <v>459.68583673469379</v>
      </c>
      <c r="Q24" s="18">
        <v>67.941183673469368</v>
      </c>
      <c r="R24" s="18">
        <v>51.570734693877533</v>
      </c>
      <c r="S24" s="18">
        <v>84.31163265306121</v>
      </c>
      <c r="T24" s="18">
        <v>366.21000000000009</v>
      </c>
      <c r="U24" s="18">
        <v>275.68304081632641</v>
      </c>
      <c r="V24" s="18">
        <v>456.73695918367343</v>
      </c>
      <c r="W24" s="18">
        <v>70.42444897959183</v>
      </c>
      <c r="X24" s="18">
        <v>53.588387755102026</v>
      </c>
      <c r="Y24" s="18">
        <v>87.260510204081626</v>
      </c>
      <c r="Z24" s="18">
        <v>291.49953061224488</v>
      </c>
      <c r="AA24" s="18">
        <v>222.40744897959175</v>
      </c>
      <c r="AB24" s="18">
        <v>360.59161224489782</v>
      </c>
      <c r="AC24" s="18">
        <v>157.74704081632649</v>
      </c>
      <c r="AD24" s="18">
        <v>117.75214285714283</v>
      </c>
      <c r="AE24" s="18">
        <v>197.74193877551005</v>
      </c>
      <c r="AF24" s="18">
        <v>323.32353061224484</v>
      </c>
      <c r="AG24" s="18">
        <v>243.75636734693882</v>
      </c>
      <c r="AH24" s="18">
        <v>402.89069387755097</v>
      </c>
      <c r="AI24" s="18">
        <v>104.95377551020405</v>
      </c>
      <c r="AJ24" s="18">
        <v>78.495061224489788</v>
      </c>
      <c r="AK24" s="18">
        <v>131.41248979591833</v>
      </c>
      <c r="AL24" s="18">
        <v>320.84026530612238</v>
      </c>
      <c r="AM24" s="18">
        <v>241.73871428571422</v>
      </c>
      <c r="AN24" s="18">
        <v>399.94181632653056</v>
      </c>
      <c r="AO24" s="18">
        <v>107.4370408163265</v>
      </c>
      <c r="AP24" s="18">
        <v>80.512714285714267</v>
      </c>
      <c r="AQ24" s="18">
        <v>134.36136734693875</v>
      </c>
      <c r="AR24" s="18">
        <v>255.90765306122449</v>
      </c>
      <c r="AS24" s="18">
        <v>195.31120408163255</v>
      </c>
      <c r="AT24" s="18">
        <v>316.50410204081629</v>
      </c>
      <c r="AU24" s="18">
        <v>182.99038775510203</v>
      </c>
      <c r="AV24" s="18">
        <v>136.10920408163264</v>
      </c>
      <c r="AW24" s="18">
        <v>229.87157142857137</v>
      </c>
      <c r="AX24" s="18">
        <v>347.82428571428562</v>
      </c>
      <c r="AY24" s="18">
        <v>260.65212244897958</v>
      </c>
      <c r="AZ24" s="18">
        <v>434.99644897959166</v>
      </c>
      <c r="BA24" s="18">
        <v>71.904857142857125</v>
      </c>
      <c r="BB24" s="18">
        <v>54.436040816326525</v>
      </c>
      <c r="BC24" s="18">
        <v>89.373673469387754</v>
      </c>
      <c r="BD24" s="18">
        <v>277.34014285714278</v>
      </c>
      <c r="BE24" s="18">
        <v>209.15063265306111</v>
      </c>
      <c r="BF24" s="18">
        <v>345.52965306122434</v>
      </c>
      <c r="BG24" s="18">
        <v>142.38899999999998</v>
      </c>
      <c r="BH24" s="18">
        <v>105.93753061224487</v>
      </c>
      <c r="BI24" s="18">
        <v>178.84046938775501</v>
      </c>
      <c r="BJ24" s="18">
        <v>221.32340816326527</v>
      </c>
      <c r="BK24" s="18">
        <v>168.85487755102034</v>
      </c>
      <c r="BL24" s="18">
        <v>273.79193877551023</v>
      </c>
      <c r="BM24" s="18">
        <v>206.37128571428568</v>
      </c>
      <c r="BN24" s="18">
        <v>153.11002040816325</v>
      </c>
      <c r="BO24" s="18">
        <v>259.63255102040813</v>
      </c>
      <c r="BP24" s="18"/>
      <c r="BQ24" s="18"/>
      <c r="BR24" s="18"/>
      <c r="BS24" s="18"/>
      <c r="BT24" s="10">
        <f>Tabelle58971121[[#This Row],[Mindestauslastung durch]]*Tabelle58971121[[#This Row],[installierte Leistung MW durch]]</f>
        <v>199.37828571428574</v>
      </c>
      <c r="BU24" s="10">
        <f>Tabelle58971121[[#This Row],[Mindestauslastung min]]*Tabelle58971121[[#This Row],[installierte Leistung MW min]]</f>
        <v>152.30571428571429</v>
      </c>
      <c r="BV24" s="10">
        <f>Tabelle58971121[[#This Row],[Mindestauslastung max]]*Tabelle58971121[[#This Row],[installierte Leistung MW max]]</f>
        <v>246.45085714285716</v>
      </c>
      <c r="BW24" s="8">
        <v>6.4285714285714293E-2</v>
      </c>
      <c r="BX24" s="8">
        <v>6.4285714285714293E-2</v>
      </c>
      <c r="BY24" s="8">
        <v>6.4285714285714293E-2</v>
      </c>
      <c r="BZ24" s="8"/>
      <c r="CA24" s="8">
        <v>0.64142857142857135</v>
      </c>
      <c r="CB24" s="8">
        <v>0.64142857142857135</v>
      </c>
      <c r="CC24" s="8">
        <v>0.64142857142857135</v>
      </c>
      <c r="CD24" s="8">
        <v>0.62285714285714289</v>
      </c>
      <c r="CE24" s="8">
        <v>0.62285714285714289</v>
      </c>
      <c r="CF24" s="8">
        <v>0.62285714285714289</v>
      </c>
      <c r="CG24" s="8">
        <v>0.59</v>
      </c>
      <c r="CH24" s="8">
        <v>0.59</v>
      </c>
      <c r="CI24" s="8">
        <v>0.59</v>
      </c>
      <c r="CJ24" s="8">
        <v>0.57571428571428573</v>
      </c>
      <c r="CK24" s="8">
        <v>0.57571428571428573</v>
      </c>
      <c r="CL24" s="8">
        <v>0.57571428571428573</v>
      </c>
      <c r="CM24" s="8">
        <v>0.55714285714285716</v>
      </c>
      <c r="CN24" s="8">
        <v>0.55714285714285716</v>
      </c>
      <c r="CO24" s="8">
        <v>0.55714285714285716</v>
      </c>
      <c r="CP24" s="8">
        <v>0.52428571428571435</v>
      </c>
      <c r="CQ24" s="8">
        <v>0.52428571428571435</v>
      </c>
      <c r="CR24" s="8">
        <v>0.52428571428571435</v>
      </c>
      <c r="CS24" s="8">
        <v>0.55714285714285716</v>
      </c>
      <c r="CT24" s="8">
        <v>0.55714285714285716</v>
      </c>
      <c r="CU24" s="8">
        <v>0.55714285714285716</v>
      </c>
      <c r="CV24" s="8">
        <v>0.49142857142857138</v>
      </c>
      <c r="CW24" s="8">
        <v>0.49142857142857138</v>
      </c>
      <c r="CX24" s="8">
        <v>0.49142857142857138</v>
      </c>
      <c r="CY24" s="8">
        <v>0.45571428571428568</v>
      </c>
      <c r="CZ24" s="8">
        <v>0.45571428571428568</v>
      </c>
      <c r="DA24" s="8">
        <v>0.45571428571428568</v>
      </c>
      <c r="DB24" s="8"/>
      <c r="DC24" s="8"/>
      <c r="DD24" s="8"/>
      <c r="DE24" s="48">
        <f>Tabelle58971121[[#This Row],[Durchschnittsauslastung min]]*Tabelle58971121[[#This Row],[installierte Leistung MW min]]</f>
        <v>0</v>
      </c>
      <c r="DF24" s="48">
        <f>Tabelle58971121[[#This Row],[Durchschnittsauslastung durch]]*Tabelle58971121[[#This Row],[installierte Leistung MW durch]]</f>
        <v>0</v>
      </c>
      <c r="DG24" s="48">
        <f>Tabelle58971121[[#This Row],[Durchschnittsauslastung max]]*Tabelle58971121[[#This Row],[installierte Leistung MW max]]</f>
        <v>0</v>
      </c>
      <c r="DH24" s="87">
        <f>Tabelle58971121[[#This Row],[Maximalauslastung durch]]*Tabelle58971121[[#This Row],[installierte Leistung MW min]]</f>
        <v>2369.1999999999998</v>
      </c>
      <c r="DI24" s="48">
        <f>Tabelle58971121[[#This Row],[Maximalauslastung durch]]*Tabelle58971121[[#This Row],[installierte Leistung MW durch]]</f>
        <v>3101.44</v>
      </c>
      <c r="DJ24" s="18">
        <f>Tabelle58971121[[#This Row],[Maximalauslastung max]]*Tabelle58971121[[#This Row],[installierte Leistung MW durch]]</f>
        <v>3101.44</v>
      </c>
      <c r="DK24" s="8">
        <v>1</v>
      </c>
      <c r="DL24" s="8">
        <v>1</v>
      </c>
      <c r="DM24" s="8">
        <v>1</v>
      </c>
      <c r="DN24" s="1">
        <v>3101.44</v>
      </c>
      <c r="DO24" s="1">
        <v>2369.1999999999998</v>
      </c>
      <c r="DP24" s="1">
        <v>3833.68</v>
      </c>
      <c r="DQ24" s="18"/>
      <c r="DR24" s="18"/>
      <c r="DW24" s="1">
        <v>1.5161904761904761</v>
      </c>
      <c r="DX24" s="1">
        <v>0.5</v>
      </c>
      <c r="DY24" s="1">
        <v>5.8000000000000007</v>
      </c>
      <c r="EL24" s="1">
        <v>365</v>
      </c>
      <c r="EM24" s="1">
        <v>292</v>
      </c>
      <c r="EN24" s="1">
        <v>438</v>
      </c>
      <c r="EO24" s="10"/>
      <c r="EP24" s="10"/>
      <c r="EQ24" s="10"/>
      <c r="ER24" s="1">
        <v>365</v>
      </c>
      <c r="ES24" s="1">
        <v>292</v>
      </c>
      <c r="ET24" s="1">
        <v>438</v>
      </c>
      <c r="EV24" s="18"/>
      <c r="EW24" s="18"/>
      <c r="EX24" s="18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 t="s">
        <v>1046</v>
      </c>
      <c r="FK24" s="7" t="s">
        <v>1046</v>
      </c>
      <c r="FL24" s="7" t="s">
        <v>1046</v>
      </c>
      <c r="FO24" s="1">
        <v>67</v>
      </c>
      <c r="FP24" s="1">
        <v>67</v>
      </c>
      <c r="FQ24" s="1">
        <v>67</v>
      </c>
      <c r="FR24" s="12" t="s">
        <v>743</v>
      </c>
      <c r="FS24" s="12" t="s">
        <v>743</v>
      </c>
      <c r="FT24" s="12" t="s">
        <v>743</v>
      </c>
      <c r="FU24" s="12"/>
      <c r="FV24" s="12" t="s">
        <v>743</v>
      </c>
      <c r="FW24" s="12" t="s">
        <v>743</v>
      </c>
      <c r="FX24" s="12" t="s">
        <v>743</v>
      </c>
      <c r="FY24" s="12" t="s">
        <v>743</v>
      </c>
      <c r="FZ24" s="12" t="s">
        <v>743</v>
      </c>
      <c r="GA24" s="12" t="s">
        <v>743</v>
      </c>
      <c r="GB24" s="12" t="s">
        <v>743</v>
      </c>
      <c r="GE24" s="12" t="s">
        <v>743</v>
      </c>
      <c r="GF24" s="12" t="s">
        <v>743</v>
      </c>
      <c r="GH24" s="12" t="s">
        <v>743</v>
      </c>
    </row>
    <row r="25" spans="1:190" ht="12.75" customHeight="1" x14ac:dyDescent="0.2">
      <c r="A25" s="1" t="s">
        <v>209</v>
      </c>
      <c r="B25" s="1" t="s">
        <v>686</v>
      </c>
      <c r="E25" s="1" t="s">
        <v>130</v>
      </c>
      <c r="F25" s="1">
        <v>2</v>
      </c>
      <c r="G25" s="1">
        <v>2050</v>
      </c>
      <c r="H25" s="1">
        <v>1</v>
      </c>
      <c r="I25" s="1">
        <v>0</v>
      </c>
      <c r="J25" s="1">
        <v>0</v>
      </c>
      <c r="K25" s="18"/>
      <c r="L25" s="18"/>
      <c r="M25" s="18"/>
      <c r="N25" s="18">
        <v>413.7557755102041</v>
      </c>
      <c r="O25" s="18">
        <v>311.64188979591842</v>
      </c>
      <c r="P25" s="18">
        <v>515.86966122448985</v>
      </c>
      <c r="Q25" s="18">
        <v>76.245106122448988</v>
      </c>
      <c r="R25" s="18">
        <v>57.873824489795915</v>
      </c>
      <c r="S25" s="18">
        <v>94.616387755102053</v>
      </c>
      <c r="T25" s="18">
        <v>410.96900000000022</v>
      </c>
      <c r="U25" s="18">
        <v>309.37763469387755</v>
      </c>
      <c r="V25" s="18">
        <v>512.56036530612255</v>
      </c>
      <c r="W25" s="18">
        <v>79.031881632653068</v>
      </c>
      <c r="X25" s="18">
        <v>60.138079591836743</v>
      </c>
      <c r="Y25" s="18">
        <v>97.925683673469408</v>
      </c>
      <c r="Z25" s="18">
        <v>327.12725102040827</v>
      </c>
      <c r="AA25" s="18">
        <v>249.59058163265303</v>
      </c>
      <c r="AB25" s="18">
        <v>404.66392040816322</v>
      </c>
      <c r="AC25" s="18">
        <v>177.02723469387755</v>
      </c>
      <c r="AD25" s="18">
        <v>132.14407142857144</v>
      </c>
      <c r="AE25" s="18">
        <v>221.91039795918357</v>
      </c>
      <c r="AF25" s="18">
        <v>362.84085102040825</v>
      </c>
      <c r="AG25" s="18">
        <v>273.5488122448981</v>
      </c>
      <c r="AH25" s="18">
        <v>452.13288979591846</v>
      </c>
      <c r="AI25" s="18">
        <v>117.78145918367348</v>
      </c>
      <c r="AJ25" s="18">
        <v>88.08890204081635</v>
      </c>
      <c r="AK25" s="18">
        <v>147.47401632653063</v>
      </c>
      <c r="AL25" s="18">
        <v>360.05407551020414</v>
      </c>
      <c r="AM25" s="18">
        <v>271.28455714285718</v>
      </c>
      <c r="AN25" s="18">
        <v>448.8235938775511</v>
      </c>
      <c r="AO25" s="18">
        <v>120.56823469387756</v>
      </c>
      <c r="AP25" s="18">
        <v>90.353157142857157</v>
      </c>
      <c r="AQ25" s="18">
        <v>150.78331224489799</v>
      </c>
      <c r="AR25" s="18">
        <v>287.18525510204091</v>
      </c>
      <c r="AS25" s="18">
        <v>219.18257346938771</v>
      </c>
      <c r="AT25" s="18">
        <v>355.18793673469395</v>
      </c>
      <c r="AU25" s="18">
        <v>205.35587959183681</v>
      </c>
      <c r="AV25" s="18">
        <v>152.74477346938781</v>
      </c>
      <c r="AW25" s="18">
        <v>257.96698571428573</v>
      </c>
      <c r="AX25" s="18">
        <v>390.33614285714287</v>
      </c>
      <c r="AY25" s="18">
        <v>292.50960408163269</v>
      </c>
      <c r="AZ25" s="18">
        <v>488.16268163265306</v>
      </c>
      <c r="BA25" s="18">
        <v>80.693228571428591</v>
      </c>
      <c r="BB25" s="18">
        <v>61.089334693877561</v>
      </c>
      <c r="BC25" s="18">
        <v>100.29712244897962</v>
      </c>
      <c r="BD25" s="18">
        <v>311.23727142857149</v>
      </c>
      <c r="BE25" s="18">
        <v>234.71348775510199</v>
      </c>
      <c r="BF25" s="18">
        <v>387.76105510204076</v>
      </c>
      <c r="BG25" s="18">
        <v>159.79210000000003</v>
      </c>
      <c r="BH25" s="18">
        <v>118.88545102040817</v>
      </c>
      <c r="BI25" s="18">
        <v>200.69874897959178</v>
      </c>
      <c r="BJ25" s="18">
        <v>248.37404693877556</v>
      </c>
      <c r="BK25" s="18">
        <v>189.49269591836733</v>
      </c>
      <c r="BL25" s="18">
        <v>307.25539795918377</v>
      </c>
      <c r="BM25" s="18">
        <v>231.59444285714287</v>
      </c>
      <c r="BN25" s="18">
        <v>171.8234673469388</v>
      </c>
      <c r="BO25" s="18">
        <v>291.36541836734699</v>
      </c>
      <c r="BP25" s="18"/>
      <c r="BQ25" s="18"/>
      <c r="BR25" s="18"/>
      <c r="BS25" s="18"/>
      <c r="BT25" s="10">
        <f>Tabelle58971121[[#This Row],[Mindestauslastung durch]]*Tabelle58971121[[#This Row],[installierte Leistung MW durch]]</f>
        <v>220.63821428571433</v>
      </c>
      <c r="BU25" s="10">
        <f>Tabelle58971121[[#This Row],[Mindestauslastung min]]*Tabelle58971121[[#This Row],[installierte Leistung MW min]]</f>
        <v>168.58671428571429</v>
      </c>
      <c r="BV25" s="10">
        <f>Tabelle58971121[[#This Row],[Mindestauslastung max]]*Tabelle58971121[[#This Row],[installierte Leistung MW max]]</f>
        <v>272.68971428571433</v>
      </c>
      <c r="BW25" s="8">
        <v>6.4285714285714293E-2</v>
      </c>
      <c r="BX25" s="8">
        <v>6.4285714285714293E-2</v>
      </c>
      <c r="BY25" s="8">
        <v>6.4285714285714293E-2</v>
      </c>
      <c r="BZ25" s="8"/>
      <c r="CA25" s="8">
        <v>0.64142857142857135</v>
      </c>
      <c r="CB25" s="8">
        <v>0.64142857142857135</v>
      </c>
      <c r="CC25" s="8">
        <v>0.64142857142857135</v>
      </c>
      <c r="CD25" s="8">
        <v>0.62285714285714289</v>
      </c>
      <c r="CE25" s="8">
        <v>0.62285714285714289</v>
      </c>
      <c r="CF25" s="8">
        <v>0.62285714285714289</v>
      </c>
      <c r="CG25" s="8">
        <v>0.59</v>
      </c>
      <c r="CH25" s="8">
        <v>0.59</v>
      </c>
      <c r="CI25" s="8">
        <v>0.59</v>
      </c>
      <c r="CJ25" s="8">
        <v>0.57571428571428573</v>
      </c>
      <c r="CK25" s="8">
        <v>0.57571428571428573</v>
      </c>
      <c r="CL25" s="8">
        <v>0.57571428571428573</v>
      </c>
      <c r="CM25" s="8">
        <v>0.55714285714285716</v>
      </c>
      <c r="CN25" s="8">
        <v>0.55714285714285716</v>
      </c>
      <c r="CO25" s="8">
        <v>0.55714285714285716</v>
      </c>
      <c r="CP25" s="8">
        <v>0.52428571428571435</v>
      </c>
      <c r="CQ25" s="8">
        <v>0.52428571428571435</v>
      </c>
      <c r="CR25" s="8">
        <v>0.52428571428571435</v>
      </c>
      <c r="CS25" s="8">
        <v>0.55714285714285716</v>
      </c>
      <c r="CT25" s="8">
        <v>0.55714285714285716</v>
      </c>
      <c r="CU25" s="8">
        <v>0.55714285714285716</v>
      </c>
      <c r="CV25" s="8">
        <v>0.49142857142857138</v>
      </c>
      <c r="CW25" s="8">
        <v>0.49142857142857138</v>
      </c>
      <c r="CX25" s="8">
        <v>0.49142857142857138</v>
      </c>
      <c r="CY25" s="8">
        <v>0.45571428571428568</v>
      </c>
      <c r="CZ25" s="8">
        <v>0.45571428571428568</v>
      </c>
      <c r="DA25" s="8">
        <v>0.45571428571428568</v>
      </c>
      <c r="DB25" s="8"/>
      <c r="DC25" s="8"/>
      <c r="DD25" s="8"/>
      <c r="DE25" s="48">
        <f>Tabelle58971121[[#This Row],[Durchschnittsauslastung min]]*Tabelle58971121[[#This Row],[installierte Leistung MW min]]</f>
        <v>0</v>
      </c>
      <c r="DF25" s="48">
        <f>Tabelle58971121[[#This Row],[Durchschnittsauslastung durch]]*Tabelle58971121[[#This Row],[installierte Leistung MW durch]]</f>
        <v>0</v>
      </c>
      <c r="DG25" s="48">
        <f>Tabelle58971121[[#This Row],[Durchschnittsauslastung max]]*Tabelle58971121[[#This Row],[installierte Leistung MW max]]</f>
        <v>0</v>
      </c>
      <c r="DH25" s="87">
        <f>Tabelle58971121[[#This Row],[Maximalauslastung durch]]*Tabelle58971121[[#This Row],[installierte Leistung MW min]]</f>
        <v>2622.46</v>
      </c>
      <c r="DI25" s="48">
        <f>Tabelle58971121[[#This Row],[Maximalauslastung durch]]*Tabelle58971121[[#This Row],[installierte Leistung MW durch]]</f>
        <v>3432.15</v>
      </c>
      <c r="DJ25" s="18">
        <f>Tabelle58971121[[#This Row],[Maximalauslastung max]]*Tabelle58971121[[#This Row],[installierte Leistung MW durch]]</f>
        <v>3432.15</v>
      </c>
      <c r="DK25" s="8">
        <v>1</v>
      </c>
      <c r="DL25" s="8">
        <v>1</v>
      </c>
      <c r="DM25" s="8">
        <v>1</v>
      </c>
      <c r="DN25" s="1">
        <v>3432.15</v>
      </c>
      <c r="DO25" s="1">
        <v>2622.46</v>
      </c>
      <c r="DP25" s="1">
        <v>4241.84</v>
      </c>
      <c r="DQ25" s="18"/>
      <c r="DR25" s="18"/>
      <c r="DW25" s="1">
        <v>1.5161904761904761</v>
      </c>
      <c r="DX25" s="1">
        <v>0.5</v>
      </c>
      <c r="DY25" s="1">
        <v>5.8000000000000007</v>
      </c>
      <c r="EL25" s="1">
        <v>365</v>
      </c>
      <c r="EM25" s="1">
        <v>292</v>
      </c>
      <c r="EN25" s="1">
        <v>438</v>
      </c>
      <c r="EO25" s="10"/>
      <c r="EP25" s="10"/>
      <c r="EQ25" s="10"/>
      <c r="ER25" s="1">
        <v>365</v>
      </c>
      <c r="ES25" s="1">
        <v>292</v>
      </c>
      <c r="ET25" s="1">
        <v>438</v>
      </c>
      <c r="EV25" s="18"/>
      <c r="EW25" s="18"/>
      <c r="EX25" s="18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 t="s">
        <v>1046</v>
      </c>
      <c r="FK25" s="7" t="s">
        <v>1046</v>
      </c>
      <c r="FL25" s="7" t="s">
        <v>1046</v>
      </c>
      <c r="FO25" s="1">
        <v>67</v>
      </c>
      <c r="FP25" s="1">
        <v>67</v>
      </c>
      <c r="FQ25" s="1">
        <v>67</v>
      </c>
      <c r="FR25" s="12" t="s">
        <v>743</v>
      </c>
      <c r="FS25" s="12" t="s">
        <v>743</v>
      </c>
      <c r="FT25" s="12" t="s">
        <v>743</v>
      </c>
      <c r="FU25" s="12"/>
      <c r="FV25" s="12" t="s">
        <v>743</v>
      </c>
      <c r="FW25" s="12" t="s">
        <v>743</v>
      </c>
      <c r="FX25" s="12" t="s">
        <v>743</v>
      </c>
      <c r="FY25" s="12" t="s">
        <v>743</v>
      </c>
      <c r="FZ25" s="12" t="s">
        <v>743</v>
      </c>
      <c r="GA25" s="12" t="s">
        <v>743</v>
      </c>
      <c r="GB25" s="12" t="s">
        <v>743</v>
      </c>
      <c r="GE25" s="12" t="s">
        <v>743</v>
      </c>
      <c r="GF25" s="12" t="s">
        <v>743</v>
      </c>
      <c r="GH25" s="12" t="s">
        <v>743</v>
      </c>
    </row>
    <row r="26" spans="1:190" ht="12.75" customHeight="1" x14ac:dyDescent="0.2">
      <c r="A26" s="1" t="s">
        <v>211</v>
      </c>
      <c r="B26" s="1" t="s">
        <v>646</v>
      </c>
      <c r="E26" s="1" t="s">
        <v>130</v>
      </c>
      <c r="F26" s="1">
        <v>2</v>
      </c>
      <c r="G26" s="1">
        <v>2015</v>
      </c>
      <c r="H26" s="1">
        <v>1</v>
      </c>
      <c r="I26" s="1">
        <v>0</v>
      </c>
      <c r="J26" s="1">
        <v>0</v>
      </c>
      <c r="K26" s="18"/>
      <c r="L26" s="18"/>
      <c r="M26" s="18"/>
      <c r="N26" s="18">
        <v>114.9616666666667</v>
      </c>
      <c r="O26" s="18">
        <v>66.225000000000009</v>
      </c>
      <c r="P26" s="18">
        <v>176.125</v>
      </c>
      <c r="Q26" s="18">
        <v>0.6216666666666667</v>
      </c>
      <c r="R26" s="18">
        <v>0</v>
      </c>
      <c r="S26" s="18">
        <v>23.993333333333329</v>
      </c>
      <c r="T26" s="18">
        <v>107.3783333333333</v>
      </c>
      <c r="U26" s="18">
        <v>61.85</v>
      </c>
      <c r="V26" s="18">
        <v>164.5</v>
      </c>
      <c r="W26" s="18">
        <v>8.2050000000000001</v>
      </c>
      <c r="X26" s="18">
        <v>3.541666666666667</v>
      </c>
      <c r="Y26" s="18">
        <v>31.868333333333329</v>
      </c>
      <c r="Z26" s="18">
        <v>83.61333333333333</v>
      </c>
      <c r="AA26" s="18">
        <v>46.556666666666658</v>
      </c>
      <c r="AB26" s="18">
        <v>131.19666666666669</v>
      </c>
      <c r="AC26" s="18">
        <v>32.056666666666658</v>
      </c>
      <c r="AD26" s="18">
        <v>11.92166666666667</v>
      </c>
      <c r="AE26" s="18">
        <v>60.918333333333329</v>
      </c>
      <c r="AF26" s="18">
        <v>104.7133333333333</v>
      </c>
      <c r="AG26" s="18">
        <v>58.901666666666657</v>
      </c>
      <c r="AH26" s="18">
        <v>162.95166666666671</v>
      </c>
      <c r="AI26" s="18">
        <v>10.87</v>
      </c>
      <c r="AJ26" s="18">
        <v>1.69</v>
      </c>
      <c r="AK26" s="18">
        <v>37.166666666666657</v>
      </c>
      <c r="AL26" s="18">
        <v>97.13</v>
      </c>
      <c r="AM26" s="18">
        <v>54.526666666666657</v>
      </c>
      <c r="AN26" s="18">
        <v>151.32666666666671</v>
      </c>
      <c r="AO26" s="18">
        <v>18.45333333333333</v>
      </c>
      <c r="AP26" s="18">
        <v>5.2316666666666656</v>
      </c>
      <c r="AQ26" s="18">
        <v>45.041666666666657</v>
      </c>
      <c r="AR26" s="18">
        <v>24.48833333333333</v>
      </c>
      <c r="AS26" s="18">
        <v>11.066666666666659</v>
      </c>
      <c r="AT26" s="18">
        <v>55.196666666666658</v>
      </c>
      <c r="AU26" s="18">
        <v>91.181666666666658</v>
      </c>
      <c r="AV26" s="18">
        <v>54.17166666666666</v>
      </c>
      <c r="AW26" s="18">
        <v>136.91833333333329</v>
      </c>
      <c r="AX26" s="18">
        <v>47.164999999999999</v>
      </c>
      <c r="AY26" s="18">
        <v>24.53833333333333</v>
      </c>
      <c r="AZ26" s="18">
        <v>76.818333333333342</v>
      </c>
      <c r="BA26" s="18">
        <v>77.878333333333345</v>
      </c>
      <c r="BB26" s="18">
        <v>49.573333333333331</v>
      </c>
      <c r="BC26" s="18">
        <v>115.1933333333333</v>
      </c>
      <c r="BD26" s="18">
        <v>39.581666666666671</v>
      </c>
      <c r="BE26" s="18">
        <v>20.16333333333333</v>
      </c>
      <c r="BF26" s="18">
        <v>65.193333333333328</v>
      </c>
      <c r="BG26" s="18">
        <v>85.461666666666659</v>
      </c>
      <c r="BH26" s="18">
        <v>53.115000000000002</v>
      </c>
      <c r="BI26" s="18">
        <v>123.0683333333333</v>
      </c>
      <c r="BJ26" s="18">
        <v>24.48833333333333</v>
      </c>
      <c r="BK26" s="18">
        <v>11.066666666666659</v>
      </c>
      <c r="BL26" s="18">
        <v>43.036666666666662</v>
      </c>
      <c r="BM26" s="18">
        <v>100.64166666666669</v>
      </c>
      <c r="BN26" s="18">
        <v>60.931666666666672</v>
      </c>
      <c r="BO26" s="18">
        <v>140.97166666666669</v>
      </c>
      <c r="BP26" s="18"/>
      <c r="BQ26" s="18"/>
      <c r="BR26" s="18"/>
      <c r="BS26" s="18"/>
      <c r="BT26" s="10">
        <f>Tabelle58971121[[#This Row],[Mindestauslastung durch]]*Tabelle58971121[[#This Row],[installierte Leistung MW durch]]</f>
        <v>104.11</v>
      </c>
      <c r="BU26" s="10">
        <f>Tabelle58971121[[#This Row],[Mindestauslastung min]]*Tabelle58971121[[#This Row],[installierte Leistung MW min]]</f>
        <v>65.346666666666664</v>
      </c>
      <c r="BV26" s="10">
        <f>Tabelle58971121[[#This Row],[Mindestauslastung max]]*Tabelle58971121[[#This Row],[installierte Leistung MW max]]</f>
        <v>149.33333333333337</v>
      </c>
      <c r="BW26" s="8">
        <v>9.6666666666666665E-2</v>
      </c>
      <c r="BX26" s="8">
        <v>8.6666666666666656E-2</v>
      </c>
      <c r="BY26" s="8">
        <v>0.1066666666666667</v>
      </c>
      <c r="BZ26" s="8"/>
      <c r="CA26" s="8">
        <v>0.61499999999999999</v>
      </c>
      <c r="CB26" s="8">
        <v>0.51500000000000001</v>
      </c>
      <c r="CC26" s="8">
        <v>0.71499999999999997</v>
      </c>
      <c r="CD26" s="8">
        <v>0.57166666666666666</v>
      </c>
      <c r="CE26" s="8">
        <v>0.48</v>
      </c>
      <c r="CF26" s="8">
        <v>0.66333333333333333</v>
      </c>
      <c r="CG26" s="8">
        <v>0.49</v>
      </c>
      <c r="CH26" s="8">
        <v>0.40666666666666662</v>
      </c>
      <c r="CI26" s="8">
        <v>0.57333333333333336</v>
      </c>
      <c r="CJ26" s="8">
        <v>0.59333333333333338</v>
      </c>
      <c r="CK26" s="8">
        <v>0.49333333333333329</v>
      </c>
      <c r="CL26" s="8">
        <v>0.69333333333333325</v>
      </c>
      <c r="CM26" s="8">
        <v>0.55000000000000004</v>
      </c>
      <c r="CN26" s="8">
        <v>0.45833333333333343</v>
      </c>
      <c r="CO26" s="8">
        <v>0.64166666666666672</v>
      </c>
      <c r="CP26" s="8">
        <v>0.36499999999999999</v>
      </c>
      <c r="CQ26" s="8">
        <v>0.28166666666666668</v>
      </c>
      <c r="CR26" s="8">
        <v>0.44833333333333342</v>
      </c>
      <c r="CS26" s="8">
        <v>0.45166666666666672</v>
      </c>
      <c r="CT26" s="8">
        <v>0.36499999999999999</v>
      </c>
      <c r="CU26" s="8">
        <v>0.55166666666666664</v>
      </c>
      <c r="CV26" s="8">
        <v>0.40833333333333338</v>
      </c>
      <c r="CW26" s="8">
        <v>0.33</v>
      </c>
      <c r="CX26" s="8">
        <v>0.5</v>
      </c>
      <c r="CY26" s="8">
        <v>0.34499999999999997</v>
      </c>
      <c r="CZ26" s="8">
        <v>0.27500000000000002</v>
      </c>
      <c r="DA26" s="8">
        <v>0.42833333333333329</v>
      </c>
      <c r="DB26" s="8"/>
      <c r="DC26" s="8"/>
      <c r="DD26" s="8"/>
      <c r="DE26" s="48">
        <f>Tabelle58971121[[#This Row],[Durchschnittsauslastung min]]*Tabelle58971121[[#This Row],[installierte Leistung MW min]]</f>
        <v>0</v>
      </c>
      <c r="DF26" s="48">
        <f>Tabelle58971121[[#This Row],[Durchschnittsauslastung durch]]*Tabelle58971121[[#This Row],[installierte Leistung MW durch]]</f>
        <v>0</v>
      </c>
      <c r="DG26" s="48">
        <f>Tabelle58971121[[#This Row],[Durchschnittsauslastung max]]*Tabelle58971121[[#This Row],[installierte Leistung MW max]]</f>
        <v>0</v>
      </c>
      <c r="DH26" s="87">
        <f>Tabelle58971121[[#This Row],[Maximalauslastung durch]]*Tabelle58971121[[#This Row],[installierte Leistung MW min]]</f>
        <v>594.40333333333331</v>
      </c>
      <c r="DI26" s="48">
        <f>Tabelle58971121[[#This Row],[Maximalauslastung durch]]*Tabelle58971121[[#This Row],[installierte Leistung MW durch]]</f>
        <v>849.03499999999997</v>
      </c>
      <c r="DJ26" s="18">
        <f>Tabelle58971121[[#This Row],[Maximalauslastung max]]*Tabelle58971121[[#This Row],[installierte Leistung MW durch]]</f>
        <v>870.57499999999993</v>
      </c>
      <c r="DK26" s="8">
        <v>0.78833333333333333</v>
      </c>
      <c r="DL26" s="8">
        <v>0.76833333333333331</v>
      </c>
      <c r="DM26" s="8">
        <v>0.80833333333333324</v>
      </c>
      <c r="DN26" s="1">
        <v>1077</v>
      </c>
      <c r="DO26" s="1">
        <v>754</v>
      </c>
      <c r="DP26" s="1">
        <v>1400</v>
      </c>
      <c r="DQ26" s="18"/>
      <c r="DR26" s="18"/>
      <c r="DW26" s="1">
        <v>1.2</v>
      </c>
      <c r="DX26" s="1">
        <v>0.26</v>
      </c>
      <c r="DY26" s="1">
        <v>3.1</v>
      </c>
      <c r="EL26" s="1">
        <v>365</v>
      </c>
      <c r="EM26" s="1">
        <v>292</v>
      </c>
      <c r="EN26" s="1">
        <v>438</v>
      </c>
      <c r="EO26" s="10"/>
      <c r="EP26" s="10"/>
      <c r="EQ26" s="10"/>
      <c r="ER26" s="1">
        <v>365</v>
      </c>
      <c r="ES26" s="1">
        <v>292</v>
      </c>
      <c r="ET26" s="1">
        <v>438</v>
      </c>
      <c r="EV26" s="18"/>
      <c r="EW26" s="18"/>
      <c r="EX26" s="18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 t="s">
        <v>1046</v>
      </c>
      <c r="FK26" s="7" t="s">
        <v>1046</v>
      </c>
      <c r="FL26" s="7" t="s">
        <v>1046</v>
      </c>
      <c r="FO26" s="1">
        <v>67</v>
      </c>
      <c r="FP26" s="1">
        <v>67</v>
      </c>
      <c r="FQ26" s="1">
        <v>67</v>
      </c>
      <c r="FR26" s="12" t="s">
        <v>743</v>
      </c>
      <c r="FS26" s="12" t="s">
        <v>743</v>
      </c>
      <c r="FT26" s="12" t="s">
        <v>743</v>
      </c>
      <c r="FU26" s="12"/>
      <c r="FV26" s="12" t="s">
        <v>743</v>
      </c>
      <c r="FW26" s="12" t="s">
        <v>743</v>
      </c>
      <c r="FX26" s="12" t="s">
        <v>743</v>
      </c>
      <c r="FY26" s="12" t="s">
        <v>743</v>
      </c>
      <c r="FZ26" s="12" t="s">
        <v>743</v>
      </c>
      <c r="GA26" s="12" t="s">
        <v>743</v>
      </c>
      <c r="GB26" s="12" t="s">
        <v>743</v>
      </c>
      <c r="GE26" s="12" t="s">
        <v>743</v>
      </c>
      <c r="GF26" s="12" t="s">
        <v>743</v>
      </c>
      <c r="GH26" s="12" t="s">
        <v>743</v>
      </c>
    </row>
    <row r="27" spans="1:190" ht="12.75" customHeight="1" x14ac:dyDescent="0.2">
      <c r="A27" s="1" t="s">
        <v>211</v>
      </c>
      <c r="B27" s="1" t="s">
        <v>646</v>
      </c>
      <c r="E27" s="1" t="s">
        <v>130</v>
      </c>
      <c r="F27" s="1">
        <v>2</v>
      </c>
      <c r="G27" s="1">
        <v>2020</v>
      </c>
      <c r="H27" s="1">
        <v>1</v>
      </c>
      <c r="I27" s="1">
        <v>0</v>
      </c>
      <c r="J27" s="1">
        <v>0</v>
      </c>
      <c r="K27" s="18"/>
      <c r="L27" s="18"/>
      <c r="M27" s="18"/>
      <c r="N27" s="18">
        <v>123.00898333333338</v>
      </c>
      <c r="O27" s="18">
        <v>70.86075000000001</v>
      </c>
      <c r="P27" s="18">
        <v>188.45375000000001</v>
      </c>
      <c r="Q27" s="18">
        <v>0.66518333333333346</v>
      </c>
      <c r="R27" s="18">
        <v>0</v>
      </c>
      <c r="S27" s="18">
        <v>25.672866666666664</v>
      </c>
      <c r="T27" s="18">
        <v>114.89481666666664</v>
      </c>
      <c r="U27" s="18">
        <v>66.179500000000004</v>
      </c>
      <c r="V27" s="18">
        <v>176.01500000000001</v>
      </c>
      <c r="W27" s="18">
        <v>8.7793500000000009</v>
      </c>
      <c r="X27" s="18">
        <v>3.7895833333333337</v>
      </c>
      <c r="Y27" s="18">
        <v>34.099116666666667</v>
      </c>
      <c r="Z27" s="18">
        <v>89.466266666666669</v>
      </c>
      <c r="AA27" s="18">
        <v>49.815633333333324</v>
      </c>
      <c r="AB27" s="18">
        <v>140.38043333333337</v>
      </c>
      <c r="AC27" s="18">
        <v>34.300633333333323</v>
      </c>
      <c r="AD27" s="18">
        <v>12.756183333333338</v>
      </c>
      <c r="AE27" s="18">
        <v>65.182616666666661</v>
      </c>
      <c r="AF27" s="18">
        <v>112.04326666666664</v>
      </c>
      <c r="AG27" s="18">
        <v>63.024783333333325</v>
      </c>
      <c r="AH27" s="18">
        <v>174.35828333333339</v>
      </c>
      <c r="AI27" s="18">
        <v>11.6309</v>
      </c>
      <c r="AJ27" s="18">
        <v>1.8083</v>
      </c>
      <c r="AK27" s="18">
        <v>39.768333333333324</v>
      </c>
      <c r="AL27" s="18">
        <v>103.92910000000001</v>
      </c>
      <c r="AM27" s="18">
        <v>58.343533333333326</v>
      </c>
      <c r="AN27" s="18">
        <v>161.91953333333339</v>
      </c>
      <c r="AO27" s="18">
        <v>19.745066666666663</v>
      </c>
      <c r="AP27" s="18">
        <v>5.5978833333333329</v>
      </c>
      <c r="AQ27" s="18">
        <v>48.194583333333327</v>
      </c>
      <c r="AR27" s="18">
        <v>26.202516666666664</v>
      </c>
      <c r="AS27" s="18">
        <v>11.841333333333326</v>
      </c>
      <c r="AT27" s="18">
        <v>59.060433333333329</v>
      </c>
      <c r="AU27" s="18">
        <v>97.564383333333325</v>
      </c>
      <c r="AV27" s="18">
        <v>57.963683333333329</v>
      </c>
      <c r="AW27" s="18">
        <v>146.50261666666663</v>
      </c>
      <c r="AX27" s="18">
        <v>50.466550000000005</v>
      </c>
      <c r="AY27" s="18">
        <v>26.256016666666664</v>
      </c>
      <c r="AZ27" s="18">
        <v>82.19561666666668</v>
      </c>
      <c r="BA27" s="18">
        <v>83.329816666666687</v>
      </c>
      <c r="BB27" s="18">
        <v>53.043466666666667</v>
      </c>
      <c r="BC27" s="18">
        <v>123.25686666666664</v>
      </c>
      <c r="BD27" s="18">
        <v>42.352383333333343</v>
      </c>
      <c r="BE27" s="18">
        <v>21.574766666666665</v>
      </c>
      <c r="BF27" s="18">
        <v>69.756866666666667</v>
      </c>
      <c r="BG27" s="18">
        <v>91.443983333333335</v>
      </c>
      <c r="BH27" s="18">
        <v>56.833050000000007</v>
      </c>
      <c r="BI27" s="18">
        <v>131.68311666666665</v>
      </c>
      <c r="BJ27" s="18">
        <v>26.202516666666664</v>
      </c>
      <c r="BK27" s="18">
        <v>11.841333333333326</v>
      </c>
      <c r="BL27" s="18">
        <v>46.049233333333333</v>
      </c>
      <c r="BM27" s="18">
        <v>107.68658333333337</v>
      </c>
      <c r="BN27" s="18">
        <v>65.196883333333346</v>
      </c>
      <c r="BO27" s="18">
        <v>150.83968333333337</v>
      </c>
      <c r="BP27" s="18"/>
      <c r="BQ27" s="18"/>
      <c r="BR27" s="18"/>
      <c r="BS27" s="18"/>
      <c r="BT27" s="10">
        <f>Tabelle58971121[[#This Row],[Mindestauslastung durch]]*Tabelle58971121[[#This Row],[installierte Leistung MW durch]]</f>
        <v>107.31933333333333</v>
      </c>
      <c r="BU27" s="10">
        <f>Tabelle58971121[[#This Row],[Mindestauslastung min]]*Tabelle58971121[[#This Row],[installierte Leistung MW min]]</f>
        <v>67.331333333333333</v>
      </c>
      <c r="BV27" s="10">
        <f>Tabelle58971121[[#This Row],[Mindestauslastung max]]*Tabelle58971121[[#This Row],[installierte Leistung MW max]]</f>
        <v>153.97333333333339</v>
      </c>
      <c r="BW27" s="8">
        <v>9.6666666666666665E-2</v>
      </c>
      <c r="BX27" s="8">
        <v>8.6666666666666656E-2</v>
      </c>
      <c r="BY27" s="8">
        <v>0.1066666666666667</v>
      </c>
      <c r="BZ27" s="8"/>
      <c r="CA27" s="8">
        <v>0.61499999999999999</v>
      </c>
      <c r="CB27" s="8">
        <v>0.51500000000000001</v>
      </c>
      <c r="CC27" s="8">
        <v>0.71499999999999997</v>
      </c>
      <c r="CD27" s="8">
        <v>0.57166666666666666</v>
      </c>
      <c r="CE27" s="8">
        <v>0.48</v>
      </c>
      <c r="CF27" s="8">
        <v>0.66333333333333333</v>
      </c>
      <c r="CG27" s="8">
        <v>0.49</v>
      </c>
      <c r="CH27" s="8">
        <v>0.40666666666666662</v>
      </c>
      <c r="CI27" s="8">
        <v>0.57333333333333336</v>
      </c>
      <c r="CJ27" s="8">
        <v>0.59333333333333338</v>
      </c>
      <c r="CK27" s="8">
        <v>0.49333333333333329</v>
      </c>
      <c r="CL27" s="8">
        <v>0.69333333333333325</v>
      </c>
      <c r="CM27" s="8">
        <v>0.55000000000000004</v>
      </c>
      <c r="CN27" s="8">
        <v>0.45833333333333343</v>
      </c>
      <c r="CO27" s="8">
        <v>0.64166666666666672</v>
      </c>
      <c r="CP27" s="8">
        <v>0.36499999999999999</v>
      </c>
      <c r="CQ27" s="8">
        <v>0.28166666666666668</v>
      </c>
      <c r="CR27" s="8">
        <v>0.44833333333333342</v>
      </c>
      <c r="CS27" s="8">
        <v>0.45166666666666672</v>
      </c>
      <c r="CT27" s="8">
        <v>0.36499999999999999</v>
      </c>
      <c r="CU27" s="8">
        <v>0.55166666666666664</v>
      </c>
      <c r="CV27" s="8">
        <v>0.40833333333333338</v>
      </c>
      <c r="CW27" s="8">
        <v>0.33</v>
      </c>
      <c r="CX27" s="8">
        <v>0.5</v>
      </c>
      <c r="CY27" s="8">
        <v>0.34499999999999997</v>
      </c>
      <c r="CZ27" s="8">
        <v>0.27500000000000002</v>
      </c>
      <c r="DA27" s="8">
        <v>0.42833333333333329</v>
      </c>
      <c r="DB27" s="8"/>
      <c r="DC27" s="8"/>
      <c r="DD27" s="8"/>
      <c r="DE27" s="48">
        <f>Tabelle58971121[[#This Row],[Durchschnittsauslastung min]]*Tabelle58971121[[#This Row],[installierte Leistung MW min]]</f>
        <v>0</v>
      </c>
      <c r="DF27" s="48">
        <f>Tabelle58971121[[#This Row],[Durchschnittsauslastung durch]]*Tabelle58971121[[#This Row],[installierte Leistung MW durch]]</f>
        <v>0</v>
      </c>
      <c r="DG27" s="48">
        <f>Tabelle58971121[[#This Row],[Durchschnittsauslastung max]]*Tabelle58971121[[#This Row],[installierte Leistung MW max]]</f>
        <v>0</v>
      </c>
      <c r="DH27" s="87">
        <f>Tabelle58971121[[#This Row],[Maximalauslastung durch]]*Tabelle58971121[[#This Row],[installierte Leistung MW min]]</f>
        <v>612.45616666666672</v>
      </c>
      <c r="DI27" s="48">
        <f>Tabelle58971121[[#This Row],[Maximalauslastung durch]]*Tabelle58971121[[#This Row],[installierte Leistung MW durch]]</f>
        <v>875.20766666666668</v>
      </c>
      <c r="DJ27" s="18">
        <f>Tabelle58971121[[#This Row],[Maximalauslastung max]]*Tabelle58971121[[#This Row],[installierte Leistung MW durch]]</f>
        <v>897.41166666666663</v>
      </c>
      <c r="DK27" s="8">
        <v>0.78833333333333333</v>
      </c>
      <c r="DL27" s="8">
        <v>0.76833333333333331</v>
      </c>
      <c r="DM27" s="8">
        <v>0.80833333333333324</v>
      </c>
      <c r="DN27" s="1">
        <v>1110.2</v>
      </c>
      <c r="DO27" s="1">
        <v>776.90000000000009</v>
      </c>
      <c r="DP27" s="1">
        <v>1443.5</v>
      </c>
      <c r="DQ27" s="18"/>
      <c r="DR27" s="18"/>
      <c r="DW27" s="1">
        <v>1.2</v>
      </c>
      <c r="DX27" s="1">
        <v>0.26</v>
      </c>
      <c r="DY27" s="1">
        <v>3.1</v>
      </c>
      <c r="EL27" s="1">
        <v>365</v>
      </c>
      <c r="EM27" s="1">
        <v>292</v>
      </c>
      <c r="EN27" s="1">
        <v>438</v>
      </c>
      <c r="EO27" s="10"/>
      <c r="EP27" s="10"/>
      <c r="EQ27" s="10"/>
      <c r="ER27" s="1">
        <v>365</v>
      </c>
      <c r="ES27" s="1">
        <v>292</v>
      </c>
      <c r="ET27" s="1">
        <v>438</v>
      </c>
      <c r="EV27" s="18"/>
      <c r="EW27" s="18"/>
      <c r="EX27" s="18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 t="s">
        <v>1046</v>
      </c>
      <c r="FK27" s="7" t="s">
        <v>1046</v>
      </c>
      <c r="FL27" s="7" t="s">
        <v>1046</v>
      </c>
      <c r="FO27" s="1">
        <v>67</v>
      </c>
      <c r="FP27" s="1">
        <v>67</v>
      </c>
      <c r="FQ27" s="1">
        <v>67</v>
      </c>
      <c r="FR27" s="12" t="s">
        <v>743</v>
      </c>
      <c r="FS27" s="12" t="s">
        <v>743</v>
      </c>
      <c r="FT27" s="12" t="s">
        <v>743</v>
      </c>
      <c r="FU27" s="12"/>
      <c r="FV27" s="12" t="s">
        <v>743</v>
      </c>
      <c r="FW27" s="12" t="s">
        <v>743</v>
      </c>
      <c r="FX27" s="12" t="s">
        <v>743</v>
      </c>
      <c r="FY27" s="12" t="s">
        <v>743</v>
      </c>
      <c r="FZ27" s="12" t="s">
        <v>743</v>
      </c>
      <c r="GA27" s="12" t="s">
        <v>743</v>
      </c>
      <c r="GB27" s="12" t="s">
        <v>743</v>
      </c>
      <c r="GE27" s="12" t="s">
        <v>743</v>
      </c>
      <c r="GF27" s="12" t="s">
        <v>743</v>
      </c>
      <c r="GH27" s="12" t="s">
        <v>743</v>
      </c>
    </row>
    <row r="28" spans="1:190" ht="12.75" customHeight="1" x14ac:dyDescent="0.2">
      <c r="A28" s="1" t="s">
        <v>211</v>
      </c>
      <c r="B28" s="1" t="s">
        <v>646</v>
      </c>
      <c r="E28" s="1" t="s">
        <v>130</v>
      </c>
      <c r="F28" s="1">
        <v>2</v>
      </c>
      <c r="G28" s="1">
        <v>2025</v>
      </c>
      <c r="H28" s="1">
        <v>1</v>
      </c>
      <c r="I28" s="1">
        <v>0</v>
      </c>
      <c r="J28" s="1">
        <v>0</v>
      </c>
      <c r="K28" s="18"/>
      <c r="L28" s="18"/>
      <c r="M28" s="18"/>
      <c r="N28" s="18">
        <v>132.78072500000005</v>
      </c>
      <c r="O28" s="18">
        <v>76.489875000000012</v>
      </c>
      <c r="P28" s="18">
        <v>203.424375</v>
      </c>
      <c r="Q28" s="18">
        <v>0.71802500000000002</v>
      </c>
      <c r="R28" s="18">
        <v>0</v>
      </c>
      <c r="S28" s="18">
        <v>27.712299999999995</v>
      </c>
      <c r="T28" s="18">
        <v>124.02197499999997</v>
      </c>
      <c r="U28" s="18">
        <v>71.436750000000004</v>
      </c>
      <c r="V28" s="18">
        <v>189.9975</v>
      </c>
      <c r="W28" s="18">
        <v>9.4767749999999999</v>
      </c>
      <c r="X28" s="18">
        <v>4.0906250000000002</v>
      </c>
      <c r="Y28" s="18">
        <v>36.807924999999997</v>
      </c>
      <c r="Z28" s="18">
        <v>96.573399999999992</v>
      </c>
      <c r="AA28" s="18">
        <v>53.772949999999994</v>
      </c>
      <c r="AB28" s="18">
        <v>151.53215000000003</v>
      </c>
      <c r="AC28" s="18">
        <v>37.025449999999992</v>
      </c>
      <c r="AD28" s="18">
        <v>13.769525000000005</v>
      </c>
      <c r="AE28" s="18">
        <v>70.360675000000001</v>
      </c>
      <c r="AF28" s="18">
        <v>120.94389999999996</v>
      </c>
      <c r="AG28" s="18">
        <v>68.031424999999984</v>
      </c>
      <c r="AH28" s="18">
        <v>188.20917500000004</v>
      </c>
      <c r="AI28" s="18">
        <v>12.55485</v>
      </c>
      <c r="AJ28" s="18">
        <v>1.9519500000000001</v>
      </c>
      <c r="AK28" s="18">
        <v>42.927499999999988</v>
      </c>
      <c r="AL28" s="18">
        <v>112.18514999999999</v>
      </c>
      <c r="AM28" s="18">
        <v>62.97829999999999</v>
      </c>
      <c r="AN28" s="18">
        <v>174.78230000000005</v>
      </c>
      <c r="AO28" s="18">
        <v>21.313599999999997</v>
      </c>
      <c r="AP28" s="18">
        <v>6.0425749999999985</v>
      </c>
      <c r="AQ28" s="18">
        <v>52.023124999999993</v>
      </c>
      <c r="AR28" s="18">
        <v>28.284024999999996</v>
      </c>
      <c r="AS28" s="18">
        <v>12.781999999999991</v>
      </c>
      <c r="AT28" s="18">
        <v>63.752149999999993</v>
      </c>
      <c r="AU28" s="18">
        <v>105.314825</v>
      </c>
      <c r="AV28" s="18">
        <v>62.568274999999993</v>
      </c>
      <c r="AW28" s="18">
        <v>158.14067499999996</v>
      </c>
      <c r="AX28" s="18">
        <v>54.475574999999999</v>
      </c>
      <c r="AY28" s="18">
        <v>28.341774999999998</v>
      </c>
      <c r="AZ28" s="18">
        <v>88.725175000000007</v>
      </c>
      <c r="BA28" s="18">
        <v>89.949475000000021</v>
      </c>
      <c r="BB28" s="18">
        <v>57.257199999999997</v>
      </c>
      <c r="BC28" s="18">
        <v>133.04829999999995</v>
      </c>
      <c r="BD28" s="18">
        <v>45.716825000000007</v>
      </c>
      <c r="BE28" s="18">
        <v>23.288649999999997</v>
      </c>
      <c r="BF28" s="18">
        <v>75.298299999999998</v>
      </c>
      <c r="BG28" s="18">
        <v>98.708224999999999</v>
      </c>
      <c r="BH28" s="18">
        <v>61.347825</v>
      </c>
      <c r="BI28" s="18">
        <v>142.14392499999997</v>
      </c>
      <c r="BJ28" s="18">
        <v>28.284024999999996</v>
      </c>
      <c r="BK28" s="18">
        <v>12.781999999999991</v>
      </c>
      <c r="BL28" s="18">
        <v>49.707349999999998</v>
      </c>
      <c r="BM28" s="18">
        <v>116.24112500000004</v>
      </c>
      <c r="BN28" s="18">
        <v>70.376075000000014</v>
      </c>
      <c r="BO28" s="18">
        <v>162.82227500000005</v>
      </c>
      <c r="BP28" s="18"/>
      <c r="BQ28" s="18"/>
      <c r="BR28" s="18"/>
      <c r="BS28" s="18"/>
      <c r="BT28" s="10">
        <f>Tabelle58971121[[#This Row],[Mindestauslastung durch]]*Tabelle58971121[[#This Row],[installierte Leistung MW durch]]</f>
        <v>111.6413</v>
      </c>
      <c r="BU28" s="10">
        <f>Tabelle58971121[[#This Row],[Mindestauslastung min]]*Tabelle58971121[[#This Row],[installierte Leistung MW min]]</f>
        <v>70.013666666666666</v>
      </c>
      <c r="BV28" s="10">
        <f>Tabelle58971121[[#This Row],[Mindestauslastung max]]*Tabelle58971121[[#This Row],[installierte Leistung MW max]]</f>
        <v>160.21013333333337</v>
      </c>
      <c r="BW28" s="8">
        <v>9.6666666666666665E-2</v>
      </c>
      <c r="BX28" s="8">
        <v>8.6666666666666656E-2</v>
      </c>
      <c r="BY28" s="8">
        <v>0.1066666666666667</v>
      </c>
      <c r="BZ28" s="8"/>
      <c r="CA28" s="8">
        <v>0.61499999999999999</v>
      </c>
      <c r="CB28" s="8">
        <v>0.51500000000000001</v>
      </c>
      <c r="CC28" s="8">
        <v>0.71499999999999997</v>
      </c>
      <c r="CD28" s="8">
        <v>0.57166666666666666</v>
      </c>
      <c r="CE28" s="8">
        <v>0.48</v>
      </c>
      <c r="CF28" s="8">
        <v>0.66333333333333333</v>
      </c>
      <c r="CG28" s="8">
        <v>0.49</v>
      </c>
      <c r="CH28" s="8">
        <v>0.40666666666666662</v>
      </c>
      <c r="CI28" s="8">
        <v>0.57333333333333336</v>
      </c>
      <c r="CJ28" s="8">
        <v>0.59333333333333338</v>
      </c>
      <c r="CK28" s="8">
        <v>0.49333333333333329</v>
      </c>
      <c r="CL28" s="8">
        <v>0.69333333333333325</v>
      </c>
      <c r="CM28" s="8">
        <v>0.55000000000000004</v>
      </c>
      <c r="CN28" s="8">
        <v>0.45833333333333343</v>
      </c>
      <c r="CO28" s="8">
        <v>0.64166666666666672</v>
      </c>
      <c r="CP28" s="8">
        <v>0.36499999999999999</v>
      </c>
      <c r="CQ28" s="8">
        <v>0.28166666666666668</v>
      </c>
      <c r="CR28" s="8">
        <v>0.44833333333333342</v>
      </c>
      <c r="CS28" s="8">
        <v>0.45166666666666672</v>
      </c>
      <c r="CT28" s="8">
        <v>0.36499999999999999</v>
      </c>
      <c r="CU28" s="8">
        <v>0.55166666666666664</v>
      </c>
      <c r="CV28" s="8">
        <v>0.40833333333333338</v>
      </c>
      <c r="CW28" s="8">
        <v>0.33</v>
      </c>
      <c r="CX28" s="8">
        <v>0.5</v>
      </c>
      <c r="CY28" s="8">
        <v>0.34499999999999997</v>
      </c>
      <c r="CZ28" s="8">
        <v>0.27500000000000002</v>
      </c>
      <c r="DA28" s="8">
        <v>0.42833333333333329</v>
      </c>
      <c r="DB28" s="8"/>
      <c r="DC28" s="8"/>
      <c r="DD28" s="8"/>
      <c r="DE28" s="48">
        <f>Tabelle58971121[[#This Row],[Durchschnittsauslastung min]]*Tabelle58971121[[#This Row],[installierte Leistung MW min]]</f>
        <v>0</v>
      </c>
      <c r="DF28" s="48">
        <f>Tabelle58971121[[#This Row],[Durchschnittsauslastung durch]]*Tabelle58971121[[#This Row],[installierte Leistung MW durch]]</f>
        <v>0</v>
      </c>
      <c r="DG28" s="48">
        <f>Tabelle58971121[[#This Row],[Durchschnittsauslastung max]]*Tabelle58971121[[#This Row],[installierte Leistung MW max]]</f>
        <v>0</v>
      </c>
      <c r="DH28" s="87">
        <f>Tabelle58971121[[#This Row],[Maximalauslastung durch]]*Tabelle58971121[[#This Row],[installierte Leistung MW min]]</f>
        <v>636.85508333333337</v>
      </c>
      <c r="DI28" s="48">
        <f>Tabelle58971121[[#This Row],[Maximalauslastung durch]]*Tabelle58971121[[#This Row],[installierte Leistung MW durch]]</f>
        <v>910.45405000000005</v>
      </c>
      <c r="DJ28" s="18">
        <f>Tabelle58971121[[#This Row],[Maximalauslastung max]]*Tabelle58971121[[#This Row],[installierte Leistung MW durch]]</f>
        <v>933.55224999999996</v>
      </c>
      <c r="DK28" s="8">
        <v>0.78833333333333333</v>
      </c>
      <c r="DL28" s="8">
        <v>0.76833333333333331</v>
      </c>
      <c r="DM28" s="8">
        <v>0.80833333333333324</v>
      </c>
      <c r="DN28" s="1">
        <v>1154.9100000000001</v>
      </c>
      <c r="DO28" s="1">
        <v>807.85</v>
      </c>
      <c r="DP28" s="1">
        <v>1501.97</v>
      </c>
      <c r="DQ28" s="18"/>
      <c r="DR28" s="18"/>
      <c r="DW28" s="1">
        <v>1.2</v>
      </c>
      <c r="DX28" s="1">
        <v>0.26</v>
      </c>
      <c r="DY28" s="1">
        <v>3.1</v>
      </c>
      <c r="EL28" s="1">
        <v>365</v>
      </c>
      <c r="EM28" s="1">
        <v>292</v>
      </c>
      <c r="EN28" s="1">
        <v>438</v>
      </c>
      <c r="EO28" s="10"/>
      <c r="EP28" s="10"/>
      <c r="EQ28" s="10"/>
      <c r="ER28" s="1">
        <v>365</v>
      </c>
      <c r="ES28" s="1">
        <v>292</v>
      </c>
      <c r="ET28" s="1">
        <v>438</v>
      </c>
      <c r="EV28" s="18"/>
      <c r="EW28" s="18"/>
      <c r="EX28" s="18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 t="s">
        <v>1046</v>
      </c>
      <c r="FK28" s="7" t="s">
        <v>1046</v>
      </c>
      <c r="FL28" s="7" t="s">
        <v>1046</v>
      </c>
      <c r="FO28" s="1">
        <v>67</v>
      </c>
      <c r="FP28" s="1">
        <v>67</v>
      </c>
      <c r="FQ28" s="1">
        <v>67</v>
      </c>
      <c r="FR28" s="12" t="s">
        <v>743</v>
      </c>
      <c r="FS28" s="12" t="s">
        <v>743</v>
      </c>
      <c r="FT28" s="12" t="s">
        <v>743</v>
      </c>
      <c r="FU28" s="12"/>
      <c r="FV28" s="12" t="s">
        <v>743</v>
      </c>
      <c r="FW28" s="12" t="s">
        <v>743</v>
      </c>
      <c r="FX28" s="12" t="s">
        <v>743</v>
      </c>
      <c r="FY28" s="12" t="s">
        <v>743</v>
      </c>
      <c r="FZ28" s="12" t="s">
        <v>743</v>
      </c>
      <c r="GA28" s="12" t="s">
        <v>743</v>
      </c>
      <c r="GB28" s="12" t="s">
        <v>743</v>
      </c>
      <c r="GE28" s="12" t="s">
        <v>743</v>
      </c>
      <c r="GF28" s="12" t="s">
        <v>743</v>
      </c>
      <c r="GH28" s="12" t="s">
        <v>743</v>
      </c>
    </row>
    <row r="29" spans="1:190" ht="12.75" customHeight="1" x14ac:dyDescent="0.2">
      <c r="A29" s="1" t="s">
        <v>211</v>
      </c>
      <c r="B29" s="1" t="s">
        <v>646</v>
      </c>
      <c r="E29" s="1" t="s">
        <v>130</v>
      </c>
      <c r="F29" s="1">
        <v>2</v>
      </c>
      <c r="G29" s="1">
        <v>2030</v>
      </c>
      <c r="H29" s="1">
        <v>1</v>
      </c>
      <c r="I29" s="1">
        <v>0</v>
      </c>
      <c r="J29" s="1">
        <v>0</v>
      </c>
      <c r="K29" s="18"/>
      <c r="L29" s="18"/>
      <c r="M29" s="18"/>
      <c r="N29" s="18">
        <v>144.85170000000005</v>
      </c>
      <c r="O29" s="18">
        <v>83.443500000000014</v>
      </c>
      <c r="P29" s="18">
        <v>221.91749999999999</v>
      </c>
      <c r="Q29" s="18">
        <v>0.7833</v>
      </c>
      <c r="R29" s="18">
        <v>0</v>
      </c>
      <c r="S29" s="18">
        <v>30.231599999999993</v>
      </c>
      <c r="T29" s="18">
        <v>135.29669999999996</v>
      </c>
      <c r="U29" s="18">
        <v>77.930999999999997</v>
      </c>
      <c r="V29" s="18">
        <v>207.27</v>
      </c>
      <c r="W29" s="18">
        <v>10.3383</v>
      </c>
      <c r="X29" s="18">
        <v>4.4625000000000004</v>
      </c>
      <c r="Y29" s="18">
        <v>40.154099999999993</v>
      </c>
      <c r="Z29" s="18">
        <v>105.3528</v>
      </c>
      <c r="AA29" s="18">
        <v>58.661399999999986</v>
      </c>
      <c r="AB29" s="18">
        <v>165.30780000000001</v>
      </c>
      <c r="AC29" s="18">
        <v>40.39139999999999</v>
      </c>
      <c r="AD29" s="18">
        <v>15.021300000000005</v>
      </c>
      <c r="AE29" s="18">
        <v>76.757099999999994</v>
      </c>
      <c r="AF29" s="18">
        <v>131.93879999999996</v>
      </c>
      <c r="AG29" s="18">
        <v>74.216099999999983</v>
      </c>
      <c r="AH29" s="18">
        <v>205.31910000000005</v>
      </c>
      <c r="AI29" s="18">
        <v>13.696199999999999</v>
      </c>
      <c r="AJ29" s="18">
        <v>2.1294</v>
      </c>
      <c r="AK29" s="18">
        <v>46.829999999999991</v>
      </c>
      <c r="AL29" s="18">
        <v>122.38379999999999</v>
      </c>
      <c r="AM29" s="18">
        <v>68.703599999999994</v>
      </c>
      <c r="AN29" s="18">
        <v>190.67160000000007</v>
      </c>
      <c r="AO29" s="18">
        <v>23.251199999999997</v>
      </c>
      <c r="AP29" s="18">
        <v>6.591899999999999</v>
      </c>
      <c r="AQ29" s="18">
        <v>56.752499999999991</v>
      </c>
      <c r="AR29" s="18">
        <v>30.855299999999996</v>
      </c>
      <c r="AS29" s="18">
        <v>13.94399999999999</v>
      </c>
      <c r="AT29" s="18">
        <v>69.547799999999995</v>
      </c>
      <c r="AU29" s="18">
        <v>114.88889999999999</v>
      </c>
      <c r="AV29" s="18">
        <v>68.256299999999996</v>
      </c>
      <c r="AW29" s="18">
        <v>172.51709999999994</v>
      </c>
      <c r="AX29" s="18">
        <v>59.427900000000001</v>
      </c>
      <c r="AY29" s="18">
        <v>30.918299999999995</v>
      </c>
      <c r="AZ29" s="18">
        <v>96.791100000000014</v>
      </c>
      <c r="BA29" s="18">
        <v>98.126700000000014</v>
      </c>
      <c r="BB29" s="18">
        <v>62.462399999999995</v>
      </c>
      <c r="BC29" s="18">
        <v>145.14359999999996</v>
      </c>
      <c r="BD29" s="18">
        <v>49.872900000000008</v>
      </c>
      <c r="BE29" s="18">
        <v>25.405799999999996</v>
      </c>
      <c r="BF29" s="18">
        <v>82.143599999999992</v>
      </c>
      <c r="BG29" s="18">
        <v>107.68169999999999</v>
      </c>
      <c r="BH29" s="18">
        <v>66.924900000000008</v>
      </c>
      <c r="BI29" s="18">
        <v>155.06609999999995</v>
      </c>
      <c r="BJ29" s="18">
        <v>30.855299999999996</v>
      </c>
      <c r="BK29" s="18">
        <v>13.94399999999999</v>
      </c>
      <c r="BL29" s="18">
        <v>54.226199999999992</v>
      </c>
      <c r="BM29" s="18">
        <v>126.80850000000004</v>
      </c>
      <c r="BN29" s="18">
        <v>76.773900000000012</v>
      </c>
      <c r="BO29" s="18">
        <v>177.62430000000003</v>
      </c>
      <c r="BP29" s="18"/>
      <c r="BQ29" s="18"/>
      <c r="BR29" s="18"/>
      <c r="BS29" s="18"/>
      <c r="BT29" s="10">
        <f>Tabelle58971121[[#This Row],[Mindestauslastung durch]]*Tabelle58971121[[#This Row],[installierte Leistung MW durch]]</f>
        <v>116.66023333333332</v>
      </c>
      <c r="BU29" s="10">
        <f>Tabelle58971121[[#This Row],[Mindestauslastung min]]*Tabelle58971121[[#This Row],[installierte Leistung MW min]]</f>
        <v>73.117199999999997</v>
      </c>
      <c r="BV29" s="10">
        <f>Tabelle58971121[[#This Row],[Mindestauslastung max]]*Tabelle58971121[[#This Row],[installierte Leistung MW max]]</f>
        <v>167.46666666666673</v>
      </c>
      <c r="BW29" s="8">
        <v>9.6666666666666665E-2</v>
      </c>
      <c r="BX29" s="8">
        <v>8.6666666666666656E-2</v>
      </c>
      <c r="BY29" s="8">
        <v>0.1066666666666667</v>
      </c>
      <c r="BZ29" s="8"/>
      <c r="CA29" s="8">
        <v>0.61499999999999999</v>
      </c>
      <c r="CB29" s="8">
        <v>0.51500000000000001</v>
      </c>
      <c r="CC29" s="8">
        <v>0.71499999999999997</v>
      </c>
      <c r="CD29" s="8">
        <v>0.57166666666666666</v>
      </c>
      <c r="CE29" s="8">
        <v>0.48</v>
      </c>
      <c r="CF29" s="8">
        <v>0.66333333333333333</v>
      </c>
      <c r="CG29" s="8">
        <v>0.49</v>
      </c>
      <c r="CH29" s="8">
        <v>0.40666666666666662</v>
      </c>
      <c r="CI29" s="8">
        <v>0.57333333333333336</v>
      </c>
      <c r="CJ29" s="8">
        <v>0.59333333333333338</v>
      </c>
      <c r="CK29" s="8">
        <v>0.49333333333333329</v>
      </c>
      <c r="CL29" s="8">
        <v>0.69333333333333325</v>
      </c>
      <c r="CM29" s="8">
        <v>0.55000000000000004</v>
      </c>
      <c r="CN29" s="8">
        <v>0.45833333333333343</v>
      </c>
      <c r="CO29" s="8">
        <v>0.64166666666666672</v>
      </c>
      <c r="CP29" s="8">
        <v>0.36499999999999999</v>
      </c>
      <c r="CQ29" s="8">
        <v>0.28166666666666668</v>
      </c>
      <c r="CR29" s="8">
        <v>0.44833333333333342</v>
      </c>
      <c r="CS29" s="8">
        <v>0.45166666666666672</v>
      </c>
      <c r="CT29" s="8">
        <v>0.36499999999999999</v>
      </c>
      <c r="CU29" s="8">
        <v>0.55166666666666664</v>
      </c>
      <c r="CV29" s="8">
        <v>0.40833333333333338</v>
      </c>
      <c r="CW29" s="8">
        <v>0.33</v>
      </c>
      <c r="CX29" s="8">
        <v>0.5</v>
      </c>
      <c r="CY29" s="8">
        <v>0.34499999999999997</v>
      </c>
      <c r="CZ29" s="8">
        <v>0.27500000000000002</v>
      </c>
      <c r="DA29" s="8">
        <v>0.42833333333333329</v>
      </c>
      <c r="DB29" s="8"/>
      <c r="DC29" s="8"/>
      <c r="DD29" s="8"/>
      <c r="DE29" s="48">
        <f>Tabelle58971121[[#This Row],[Durchschnittsauslastung min]]*Tabelle58971121[[#This Row],[installierte Leistung MW min]]</f>
        <v>0</v>
      </c>
      <c r="DF29" s="48">
        <f>Tabelle58971121[[#This Row],[Durchschnittsauslastung durch]]*Tabelle58971121[[#This Row],[installierte Leistung MW durch]]</f>
        <v>0</v>
      </c>
      <c r="DG29" s="48">
        <f>Tabelle58971121[[#This Row],[Durchschnittsauslastung max]]*Tabelle58971121[[#This Row],[installierte Leistung MW max]]</f>
        <v>0</v>
      </c>
      <c r="DH29" s="87">
        <f>Tabelle58971121[[#This Row],[Maximalauslastung durch]]*Tabelle58971121[[#This Row],[installierte Leistung MW min]]</f>
        <v>665.08530000000007</v>
      </c>
      <c r="DI29" s="48">
        <f>Tabelle58971121[[#This Row],[Maximalauslastung durch]]*Tabelle58971121[[#This Row],[installierte Leistung MW durch]]</f>
        <v>951.38431666666656</v>
      </c>
      <c r="DJ29" s="18">
        <f>Tabelle58971121[[#This Row],[Maximalauslastung max]]*Tabelle58971121[[#This Row],[installierte Leistung MW durch]]</f>
        <v>975.52091666666649</v>
      </c>
      <c r="DK29" s="8">
        <v>0.78833333333333333</v>
      </c>
      <c r="DL29" s="8">
        <v>0.76833333333333331</v>
      </c>
      <c r="DM29" s="8">
        <v>0.80833333333333324</v>
      </c>
      <c r="DN29" s="1">
        <v>1206.83</v>
      </c>
      <c r="DO29" s="1">
        <v>843.66000000000008</v>
      </c>
      <c r="DP29" s="1">
        <v>1570</v>
      </c>
      <c r="DQ29" s="18"/>
      <c r="DR29" s="18"/>
      <c r="DW29" s="1">
        <v>1.2</v>
      </c>
      <c r="DX29" s="1">
        <v>0.26</v>
      </c>
      <c r="DY29" s="1">
        <v>3.1</v>
      </c>
      <c r="EL29" s="1">
        <v>365</v>
      </c>
      <c r="EM29" s="1">
        <v>292</v>
      </c>
      <c r="EN29" s="1">
        <v>438</v>
      </c>
      <c r="EO29" s="10"/>
      <c r="EP29" s="10"/>
      <c r="EQ29" s="10"/>
      <c r="ER29" s="1">
        <v>365</v>
      </c>
      <c r="ES29" s="1">
        <v>292</v>
      </c>
      <c r="ET29" s="1">
        <v>438</v>
      </c>
      <c r="EV29" s="18"/>
      <c r="EW29" s="18"/>
      <c r="EX29" s="18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 t="s">
        <v>1046</v>
      </c>
      <c r="FK29" s="7" t="s">
        <v>1046</v>
      </c>
      <c r="FL29" s="7" t="s">
        <v>1046</v>
      </c>
      <c r="FO29" s="1">
        <v>67</v>
      </c>
      <c r="FP29" s="1">
        <v>67</v>
      </c>
      <c r="FQ29" s="1">
        <v>67</v>
      </c>
      <c r="FR29" s="12" t="s">
        <v>743</v>
      </c>
      <c r="FS29" s="12" t="s">
        <v>743</v>
      </c>
      <c r="FT29" s="12" t="s">
        <v>743</v>
      </c>
      <c r="FU29" s="12"/>
      <c r="FV29" s="12" t="s">
        <v>743</v>
      </c>
      <c r="FW29" s="12" t="s">
        <v>743</v>
      </c>
      <c r="FX29" s="12" t="s">
        <v>743</v>
      </c>
      <c r="FY29" s="12" t="s">
        <v>743</v>
      </c>
      <c r="FZ29" s="12" t="s">
        <v>743</v>
      </c>
      <c r="GA29" s="12" t="s">
        <v>743</v>
      </c>
      <c r="GB29" s="12" t="s">
        <v>743</v>
      </c>
      <c r="GE29" s="12" t="s">
        <v>743</v>
      </c>
      <c r="GF29" s="12" t="s">
        <v>743</v>
      </c>
      <c r="GH29" s="12" t="s">
        <v>743</v>
      </c>
    </row>
    <row r="30" spans="1:190" ht="12.75" customHeight="1" x14ac:dyDescent="0.2">
      <c r="A30" s="1" t="s">
        <v>211</v>
      </c>
      <c r="B30" s="1" t="s">
        <v>646</v>
      </c>
      <c r="E30" s="1" t="s">
        <v>130</v>
      </c>
      <c r="F30" s="1">
        <v>2</v>
      </c>
      <c r="G30" s="1">
        <v>2035</v>
      </c>
      <c r="H30" s="1">
        <v>1</v>
      </c>
      <c r="I30" s="1">
        <v>0</v>
      </c>
      <c r="J30" s="1">
        <v>0</v>
      </c>
      <c r="K30" s="18"/>
      <c r="L30" s="18"/>
      <c r="M30" s="18"/>
      <c r="N30" s="18">
        <v>159.22190833333337</v>
      </c>
      <c r="O30" s="18">
        <v>91.721625000000017</v>
      </c>
      <c r="P30" s="18">
        <v>243.93312499999999</v>
      </c>
      <c r="Q30" s="18">
        <v>0.86100833333333338</v>
      </c>
      <c r="R30" s="18">
        <v>0</v>
      </c>
      <c r="S30" s="18">
        <v>33.230766666666661</v>
      </c>
      <c r="T30" s="18">
        <v>148.71899166666662</v>
      </c>
      <c r="U30" s="18">
        <v>85.66225</v>
      </c>
      <c r="V30" s="18">
        <v>227.83250000000001</v>
      </c>
      <c r="W30" s="18">
        <v>11.363925</v>
      </c>
      <c r="X30" s="18">
        <v>4.9052083333333334</v>
      </c>
      <c r="Y30" s="18">
        <v>44.13764166666666</v>
      </c>
      <c r="Z30" s="18">
        <v>115.80446666666666</v>
      </c>
      <c r="AA30" s="18">
        <v>64.480983333333327</v>
      </c>
      <c r="AB30" s="18">
        <v>181.70738333333335</v>
      </c>
      <c r="AC30" s="18">
        <v>44.398483333333324</v>
      </c>
      <c r="AD30" s="18">
        <v>16.511508333333339</v>
      </c>
      <c r="AE30" s="18">
        <v>84.371891666666656</v>
      </c>
      <c r="AF30" s="18">
        <v>145.02796666666663</v>
      </c>
      <c r="AG30" s="18">
        <v>81.578808333333313</v>
      </c>
      <c r="AH30" s="18">
        <v>225.6880583333334</v>
      </c>
      <c r="AI30" s="18">
        <v>15.05495</v>
      </c>
      <c r="AJ30" s="18">
        <v>2.3406500000000001</v>
      </c>
      <c r="AK30" s="18">
        <v>51.47583333333332</v>
      </c>
      <c r="AL30" s="18">
        <v>134.52504999999999</v>
      </c>
      <c r="AM30" s="18">
        <v>75.519433333333325</v>
      </c>
      <c r="AN30" s="18">
        <v>209.58743333333339</v>
      </c>
      <c r="AO30" s="18">
        <v>25.557866666666662</v>
      </c>
      <c r="AP30" s="18">
        <v>7.2458583333333317</v>
      </c>
      <c r="AQ30" s="18">
        <v>62.382708333333319</v>
      </c>
      <c r="AR30" s="18">
        <v>33.916341666666661</v>
      </c>
      <c r="AS30" s="18">
        <v>15.327333333333323</v>
      </c>
      <c r="AT30" s="18">
        <v>76.44738333333332</v>
      </c>
      <c r="AU30" s="18">
        <v>126.28660833333332</v>
      </c>
      <c r="AV30" s="18">
        <v>75.027758333333324</v>
      </c>
      <c r="AW30" s="18">
        <v>189.6318916666666</v>
      </c>
      <c r="AX30" s="18">
        <v>65.323525000000004</v>
      </c>
      <c r="AY30" s="18">
        <v>33.985591666666664</v>
      </c>
      <c r="AZ30" s="18">
        <v>106.39339166666667</v>
      </c>
      <c r="BA30" s="18">
        <v>107.86149166666668</v>
      </c>
      <c r="BB30" s="18">
        <v>68.659066666666661</v>
      </c>
      <c r="BC30" s="18">
        <v>159.54276666666661</v>
      </c>
      <c r="BD30" s="18">
        <v>54.82060833333334</v>
      </c>
      <c r="BE30" s="18">
        <v>27.926216666666662</v>
      </c>
      <c r="BF30" s="18">
        <v>90.292766666666665</v>
      </c>
      <c r="BG30" s="18">
        <v>118.36440833333333</v>
      </c>
      <c r="BH30" s="18">
        <v>73.564275000000009</v>
      </c>
      <c r="BI30" s="18">
        <v>170.44964166666662</v>
      </c>
      <c r="BJ30" s="18">
        <v>33.916341666666661</v>
      </c>
      <c r="BK30" s="18">
        <v>15.327333333333323</v>
      </c>
      <c r="BL30" s="18">
        <v>59.605783333333328</v>
      </c>
      <c r="BM30" s="18">
        <v>139.38870833333337</v>
      </c>
      <c r="BN30" s="18">
        <v>84.390358333333339</v>
      </c>
      <c r="BO30" s="18">
        <v>195.24575833333338</v>
      </c>
      <c r="BP30" s="18"/>
      <c r="BQ30" s="18"/>
      <c r="BR30" s="18"/>
      <c r="BS30" s="18"/>
      <c r="BT30" s="10">
        <f>Tabelle58971121[[#This Row],[Mindestauslastung durch]]*Tabelle58971121[[#This Row],[installierte Leistung MW durch]]</f>
        <v>122.79373333333332</v>
      </c>
      <c r="BU30" s="10">
        <f>Tabelle58971121[[#This Row],[Mindestauslastung min]]*Tabelle58971121[[#This Row],[installierte Leistung MW min]]</f>
        <v>76.910600000000002</v>
      </c>
      <c r="BV30" s="10">
        <f>Tabelle58971121[[#This Row],[Mindestauslastung max]]*Tabelle58971121[[#This Row],[installierte Leistung MW max]]</f>
        <v>176.33386666666672</v>
      </c>
      <c r="BW30" s="8">
        <v>9.6666666666666665E-2</v>
      </c>
      <c r="BX30" s="8">
        <v>8.6666666666666656E-2</v>
      </c>
      <c r="BY30" s="8">
        <v>0.1066666666666667</v>
      </c>
      <c r="BZ30" s="8"/>
      <c r="CA30" s="8">
        <v>0.61499999999999999</v>
      </c>
      <c r="CB30" s="8">
        <v>0.51500000000000001</v>
      </c>
      <c r="CC30" s="8">
        <v>0.71499999999999997</v>
      </c>
      <c r="CD30" s="8">
        <v>0.57166666666666666</v>
      </c>
      <c r="CE30" s="8">
        <v>0.48</v>
      </c>
      <c r="CF30" s="8">
        <v>0.66333333333333333</v>
      </c>
      <c r="CG30" s="8">
        <v>0.49</v>
      </c>
      <c r="CH30" s="8">
        <v>0.40666666666666662</v>
      </c>
      <c r="CI30" s="8">
        <v>0.57333333333333336</v>
      </c>
      <c r="CJ30" s="8">
        <v>0.59333333333333338</v>
      </c>
      <c r="CK30" s="8">
        <v>0.49333333333333329</v>
      </c>
      <c r="CL30" s="8">
        <v>0.69333333333333325</v>
      </c>
      <c r="CM30" s="8">
        <v>0.55000000000000004</v>
      </c>
      <c r="CN30" s="8">
        <v>0.45833333333333343</v>
      </c>
      <c r="CO30" s="8">
        <v>0.64166666666666672</v>
      </c>
      <c r="CP30" s="8">
        <v>0.36499999999999999</v>
      </c>
      <c r="CQ30" s="8">
        <v>0.28166666666666668</v>
      </c>
      <c r="CR30" s="8">
        <v>0.44833333333333342</v>
      </c>
      <c r="CS30" s="8">
        <v>0.45166666666666672</v>
      </c>
      <c r="CT30" s="8">
        <v>0.36499999999999999</v>
      </c>
      <c r="CU30" s="8">
        <v>0.55166666666666664</v>
      </c>
      <c r="CV30" s="8">
        <v>0.40833333333333338</v>
      </c>
      <c r="CW30" s="8">
        <v>0.33</v>
      </c>
      <c r="CX30" s="8">
        <v>0.5</v>
      </c>
      <c r="CY30" s="8">
        <v>0.34499999999999997</v>
      </c>
      <c r="CZ30" s="8">
        <v>0.27500000000000002</v>
      </c>
      <c r="DA30" s="8">
        <v>0.42833333333333329</v>
      </c>
      <c r="DB30" s="8"/>
      <c r="DC30" s="8"/>
      <c r="DD30" s="8"/>
      <c r="DE30" s="48">
        <f>Tabelle58971121[[#This Row],[Durchschnittsauslastung min]]*Tabelle58971121[[#This Row],[installierte Leistung MW min]]</f>
        <v>0</v>
      </c>
      <c r="DF30" s="48">
        <f>Tabelle58971121[[#This Row],[Durchschnittsauslastung durch]]*Tabelle58971121[[#This Row],[installierte Leistung MW durch]]</f>
        <v>0</v>
      </c>
      <c r="DG30" s="48">
        <f>Tabelle58971121[[#This Row],[Durchschnittsauslastung max]]*Tabelle58971121[[#This Row],[installierte Leistung MW max]]</f>
        <v>0</v>
      </c>
      <c r="DH30" s="87">
        <f>Tabelle58971121[[#This Row],[Maximalauslastung durch]]*Tabelle58971121[[#This Row],[installierte Leistung MW min]]</f>
        <v>699.5906500000001</v>
      </c>
      <c r="DI30" s="48">
        <f>Tabelle58971121[[#This Row],[Maximalauslastung durch]]*Tabelle58971121[[#This Row],[installierte Leistung MW durch]]</f>
        <v>1001.4040666666666</v>
      </c>
      <c r="DJ30" s="18">
        <f>Tabelle58971121[[#This Row],[Maximalauslastung max]]*Tabelle58971121[[#This Row],[installierte Leistung MW durch]]</f>
        <v>1026.8096666666665</v>
      </c>
      <c r="DK30" s="8">
        <v>0.78833333333333333</v>
      </c>
      <c r="DL30" s="8">
        <v>0.76833333333333331</v>
      </c>
      <c r="DM30" s="8">
        <v>0.80833333333333324</v>
      </c>
      <c r="DN30" s="1">
        <v>1270.28</v>
      </c>
      <c r="DO30" s="1">
        <v>887.43000000000006</v>
      </c>
      <c r="DP30" s="1">
        <v>1653.13</v>
      </c>
      <c r="DQ30" s="18"/>
      <c r="DR30" s="18"/>
      <c r="DW30" s="1">
        <v>1.2</v>
      </c>
      <c r="DX30" s="1">
        <v>0.26</v>
      </c>
      <c r="DY30" s="1">
        <v>3.1</v>
      </c>
      <c r="EL30" s="1">
        <v>365</v>
      </c>
      <c r="EM30" s="1">
        <v>292</v>
      </c>
      <c r="EN30" s="1">
        <v>438</v>
      </c>
      <c r="EO30" s="10"/>
      <c r="EP30" s="10"/>
      <c r="EQ30" s="10"/>
      <c r="ER30" s="1">
        <v>365</v>
      </c>
      <c r="ES30" s="1">
        <v>292</v>
      </c>
      <c r="ET30" s="1">
        <v>438</v>
      </c>
      <c r="EV30" s="18"/>
      <c r="EW30" s="18"/>
      <c r="EX30" s="18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 t="s">
        <v>1046</v>
      </c>
      <c r="FK30" s="7" t="s">
        <v>1046</v>
      </c>
      <c r="FL30" s="7" t="s">
        <v>1046</v>
      </c>
      <c r="FO30" s="1">
        <v>67</v>
      </c>
      <c r="FP30" s="1">
        <v>67</v>
      </c>
      <c r="FQ30" s="1">
        <v>67</v>
      </c>
      <c r="FR30" s="12" t="s">
        <v>743</v>
      </c>
      <c r="FS30" s="12" t="s">
        <v>743</v>
      </c>
      <c r="FT30" s="12" t="s">
        <v>743</v>
      </c>
      <c r="FU30" s="12"/>
      <c r="FV30" s="12" t="s">
        <v>743</v>
      </c>
      <c r="FW30" s="12" t="s">
        <v>743</v>
      </c>
      <c r="FX30" s="12" t="s">
        <v>743</v>
      </c>
      <c r="FY30" s="12" t="s">
        <v>743</v>
      </c>
      <c r="FZ30" s="12" t="s">
        <v>743</v>
      </c>
      <c r="GA30" s="12" t="s">
        <v>743</v>
      </c>
      <c r="GB30" s="12" t="s">
        <v>743</v>
      </c>
      <c r="GE30" s="12" t="s">
        <v>743</v>
      </c>
      <c r="GF30" s="12" t="s">
        <v>743</v>
      </c>
      <c r="GH30" s="12" t="s">
        <v>743</v>
      </c>
    </row>
    <row r="31" spans="1:190" ht="12.75" customHeight="1" x14ac:dyDescent="0.2">
      <c r="A31" s="1" t="s">
        <v>211</v>
      </c>
      <c r="B31" s="1" t="s">
        <v>646</v>
      </c>
      <c r="E31" s="1" t="s">
        <v>130</v>
      </c>
      <c r="F31" s="1">
        <v>2</v>
      </c>
      <c r="G31" s="1">
        <v>2040</v>
      </c>
      <c r="H31" s="1">
        <v>1</v>
      </c>
      <c r="I31" s="1">
        <v>0</v>
      </c>
      <c r="J31" s="1">
        <v>0</v>
      </c>
      <c r="K31" s="18"/>
      <c r="L31" s="18"/>
      <c r="M31" s="18"/>
      <c r="N31" s="18">
        <v>176.84936388888892</v>
      </c>
      <c r="O31" s="18">
        <v>101.876125</v>
      </c>
      <c r="P31" s="18">
        <v>270.93895833333329</v>
      </c>
      <c r="Q31" s="18">
        <v>0.95633055555555546</v>
      </c>
      <c r="R31" s="18">
        <v>0</v>
      </c>
      <c r="S31" s="18">
        <v>36.909744444444435</v>
      </c>
      <c r="T31" s="18">
        <v>165.18366944444438</v>
      </c>
      <c r="U31" s="18">
        <v>95.14591666666665</v>
      </c>
      <c r="V31" s="18">
        <v>253.05583333333328</v>
      </c>
      <c r="W31" s="18">
        <v>12.622024999999999</v>
      </c>
      <c r="X31" s="18">
        <v>5.4482638888888886</v>
      </c>
      <c r="Y31" s="18">
        <v>49.02411944444443</v>
      </c>
      <c r="Z31" s="18">
        <v>128.62517777777776</v>
      </c>
      <c r="AA31" s="18">
        <v>71.619672222222192</v>
      </c>
      <c r="AB31" s="18">
        <v>201.82420555555555</v>
      </c>
      <c r="AC31" s="18">
        <v>49.313838888888867</v>
      </c>
      <c r="AD31" s="18">
        <v>18.339497222222224</v>
      </c>
      <c r="AE31" s="18">
        <v>93.712702777777764</v>
      </c>
      <c r="AF31" s="18">
        <v>161.08401111111104</v>
      </c>
      <c r="AG31" s="18">
        <v>90.61039722222219</v>
      </c>
      <c r="AH31" s="18">
        <v>250.67398055555557</v>
      </c>
      <c r="AI31" s="18">
        <v>16.721683333333331</v>
      </c>
      <c r="AJ31" s="18">
        <v>2.5997833333333329</v>
      </c>
      <c r="AK31" s="18">
        <v>57.174722222222201</v>
      </c>
      <c r="AL31" s="18">
        <v>149.41831666666664</v>
      </c>
      <c r="AM31" s="18">
        <v>83.880188888888867</v>
      </c>
      <c r="AN31" s="18">
        <v>232.79085555555559</v>
      </c>
      <c r="AO31" s="18">
        <v>28.387377777777768</v>
      </c>
      <c r="AP31" s="18">
        <v>8.0480472222222197</v>
      </c>
      <c r="AQ31" s="18">
        <v>69.289097222222196</v>
      </c>
      <c r="AR31" s="18">
        <v>37.671219444444432</v>
      </c>
      <c r="AS31" s="18">
        <v>17.024222222222207</v>
      </c>
      <c r="AT31" s="18">
        <v>84.910872222222196</v>
      </c>
      <c r="AU31" s="18">
        <v>140.26779722222219</v>
      </c>
      <c r="AV31" s="18">
        <v>83.334080555555531</v>
      </c>
      <c r="AW31" s="18">
        <v>210.62603611111101</v>
      </c>
      <c r="AX31" s="18">
        <v>72.555491666666654</v>
      </c>
      <c r="AY31" s="18">
        <v>37.748136111111101</v>
      </c>
      <c r="AZ31" s="18">
        <v>118.17220277777777</v>
      </c>
      <c r="BA31" s="18">
        <v>119.80283611111111</v>
      </c>
      <c r="BB31" s="18">
        <v>76.260311111111093</v>
      </c>
      <c r="BC31" s="18">
        <v>177.20574444444438</v>
      </c>
      <c r="BD31" s="18">
        <v>60.889797222222221</v>
      </c>
      <c r="BE31" s="18">
        <v>31.017927777777768</v>
      </c>
      <c r="BF31" s="18">
        <v>100.28907777777775</v>
      </c>
      <c r="BG31" s="18">
        <v>131.46853055555553</v>
      </c>
      <c r="BH31" s="18">
        <v>81.708574999999996</v>
      </c>
      <c r="BI31" s="18">
        <v>189.32011944444437</v>
      </c>
      <c r="BJ31" s="18">
        <v>37.671219444444432</v>
      </c>
      <c r="BK31" s="18">
        <v>17.024222222222207</v>
      </c>
      <c r="BL31" s="18">
        <v>66.204738888888869</v>
      </c>
      <c r="BM31" s="18">
        <v>154.82043055555559</v>
      </c>
      <c r="BN31" s="18">
        <v>93.733213888888884</v>
      </c>
      <c r="BO31" s="18">
        <v>216.8614138888889</v>
      </c>
      <c r="BP31" s="18"/>
      <c r="BQ31" s="18"/>
      <c r="BR31" s="18"/>
      <c r="BS31" s="18"/>
      <c r="BT31" s="10">
        <f>Tabelle58971121[[#This Row],[Mindestauslastung durch]]*Tabelle58971121[[#This Row],[installierte Leistung MW durch]]</f>
        <v>130.72426666666667</v>
      </c>
      <c r="BU31" s="10">
        <f>Tabelle58971121[[#This Row],[Mindestauslastung min]]*Tabelle58971121[[#This Row],[installierte Leistung MW min]]</f>
        <v>81.824600000000004</v>
      </c>
      <c r="BV31" s="10">
        <f>Tabelle58971121[[#This Row],[Mindestauslastung max]]*Tabelle58971121[[#This Row],[installierte Leistung MW max]]</f>
        <v>187.78773333333339</v>
      </c>
      <c r="BW31" s="8">
        <v>9.6666666666666665E-2</v>
      </c>
      <c r="BX31" s="8">
        <v>8.6666666666666656E-2</v>
      </c>
      <c r="BY31" s="8">
        <v>0.1066666666666667</v>
      </c>
      <c r="BZ31" s="8"/>
      <c r="CA31" s="8">
        <v>0.61499999999999999</v>
      </c>
      <c r="CB31" s="8">
        <v>0.51500000000000001</v>
      </c>
      <c r="CC31" s="8">
        <v>0.71499999999999997</v>
      </c>
      <c r="CD31" s="8">
        <v>0.57166666666666666</v>
      </c>
      <c r="CE31" s="8">
        <v>0.48</v>
      </c>
      <c r="CF31" s="8">
        <v>0.66333333333333333</v>
      </c>
      <c r="CG31" s="8">
        <v>0.49</v>
      </c>
      <c r="CH31" s="8">
        <v>0.40666666666666662</v>
      </c>
      <c r="CI31" s="8">
        <v>0.57333333333333336</v>
      </c>
      <c r="CJ31" s="8">
        <v>0.59333333333333338</v>
      </c>
      <c r="CK31" s="8">
        <v>0.49333333333333329</v>
      </c>
      <c r="CL31" s="8">
        <v>0.69333333333333325</v>
      </c>
      <c r="CM31" s="8">
        <v>0.55000000000000004</v>
      </c>
      <c r="CN31" s="8">
        <v>0.45833333333333343</v>
      </c>
      <c r="CO31" s="8">
        <v>0.64166666666666672</v>
      </c>
      <c r="CP31" s="8">
        <v>0.36499999999999999</v>
      </c>
      <c r="CQ31" s="8">
        <v>0.28166666666666668</v>
      </c>
      <c r="CR31" s="8">
        <v>0.44833333333333342</v>
      </c>
      <c r="CS31" s="8">
        <v>0.45166666666666672</v>
      </c>
      <c r="CT31" s="8">
        <v>0.36499999999999999</v>
      </c>
      <c r="CU31" s="8">
        <v>0.55166666666666664</v>
      </c>
      <c r="CV31" s="8">
        <v>0.40833333333333338</v>
      </c>
      <c r="CW31" s="8">
        <v>0.33</v>
      </c>
      <c r="CX31" s="8">
        <v>0.5</v>
      </c>
      <c r="CY31" s="8">
        <v>0.34499999999999997</v>
      </c>
      <c r="CZ31" s="8">
        <v>0.27500000000000002</v>
      </c>
      <c r="DA31" s="8">
        <v>0.42833333333333329</v>
      </c>
      <c r="DB31" s="8"/>
      <c r="DC31" s="8"/>
      <c r="DD31" s="8"/>
      <c r="DE31" s="48">
        <f>Tabelle58971121[[#This Row],[Durchschnittsauslastung min]]*Tabelle58971121[[#This Row],[installierte Leistung MW min]]</f>
        <v>0</v>
      </c>
      <c r="DF31" s="48">
        <f>Tabelle58971121[[#This Row],[Durchschnittsauslastung durch]]*Tabelle58971121[[#This Row],[installierte Leistung MW durch]]</f>
        <v>0</v>
      </c>
      <c r="DG31" s="48">
        <f>Tabelle58971121[[#This Row],[Durchschnittsauslastung max]]*Tabelle58971121[[#This Row],[installierte Leistung MW max]]</f>
        <v>0</v>
      </c>
      <c r="DH31" s="87">
        <f>Tabelle58971121[[#This Row],[Maximalauslastung durch]]*Tabelle58971121[[#This Row],[installierte Leistung MW min]]</f>
        <v>744.28915000000006</v>
      </c>
      <c r="DI31" s="48">
        <f>Tabelle58971121[[#This Row],[Maximalauslastung durch]]*Tabelle58971121[[#This Row],[installierte Leistung MW durch]]</f>
        <v>1066.0789333333332</v>
      </c>
      <c r="DJ31" s="18">
        <f>Tabelle58971121[[#This Row],[Maximalauslastung max]]*Tabelle58971121[[#This Row],[installierte Leistung MW durch]]</f>
        <v>1093.1253333333332</v>
      </c>
      <c r="DK31" s="8">
        <v>0.78833333333333333</v>
      </c>
      <c r="DL31" s="8">
        <v>0.76833333333333331</v>
      </c>
      <c r="DM31" s="8">
        <v>0.80833333333333324</v>
      </c>
      <c r="DN31" s="1">
        <v>1352.32</v>
      </c>
      <c r="DO31" s="1">
        <v>944.13000000000011</v>
      </c>
      <c r="DP31" s="1">
        <v>1760.51</v>
      </c>
      <c r="DQ31" s="18"/>
      <c r="DR31" s="18"/>
      <c r="DW31" s="1">
        <v>1.2</v>
      </c>
      <c r="DX31" s="1">
        <v>0.26</v>
      </c>
      <c r="DY31" s="1">
        <v>3.1</v>
      </c>
      <c r="EL31" s="10">
        <v>365</v>
      </c>
      <c r="EM31" s="10">
        <v>292</v>
      </c>
      <c r="EN31" s="10">
        <v>438</v>
      </c>
      <c r="EO31" s="10"/>
      <c r="EP31" s="10"/>
      <c r="EQ31" s="10"/>
      <c r="ER31" s="10">
        <v>365</v>
      </c>
      <c r="ES31" s="10">
        <v>292</v>
      </c>
      <c r="ET31" s="10">
        <v>438</v>
      </c>
      <c r="EV31" s="18"/>
      <c r="EW31" s="18"/>
      <c r="EX31" s="18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 t="s">
        <v>1046</v>
      </c>
      <c r="FK31" s="7" t="s">
        <v>1046</v>
      </c>
      <c r="FL31" s="7" t="s">
        <v>1046</v>
      </c>
      <c r="FO31" s="1">
        <v>67</v>
      </c>
      <c r="FP31" s="1">
        <v>67</v>
      </c>
      <c r="FQ31" s="1">
        <v>67</v>
      </c>
      <c r="FR31" s="12" t="s">
        <v>743</v>
      </c>
      <c r="FS31" s="12" t="s">
        <v>743</v>
      </c>
      <c r="FT31" s="12" t="s">
        <v>743</v>
      </c>
      <c r="FU31" s="12"/>
      <c r="FV31" s="12" t="s">
        <v>743</v>
      </c>
      <c r="FW31" s="12" t="s">
        <v>743</v>
      </c>
      <c r="FX31" s="12" t="s">
        <v>743</v>
      </c>
      <c r="FY31" s="12" t="s">
        <v>743</v>
      </c>
      <c r="FZ31" s="12" t="s">
        <v>743</v>
      </c>
      <c r="GA31" s="12" t="s">
        <v>743</v>
      </c>
      <c r="GB31" s="12" t="s">
        <v>743</v>
      </c>
      <c r="GE31" s="12" t="s">
        <v>743</v>
      </c>
      <c r="GF31" s="12" t="s">
        <v>743</v>
      </c>
      <c r="GH31" s="12" t="s">
        <v>743</v>
      </c>
    </row>
    <row r="32" spans="1:190" ht="12.75" customHeight="1" x14ac:dyDescent="0.2">
      <c r="A32" s="1" t="s">
        <v>211</v>
      </c>
      <c r="B32" s="1" t="s">
        <v>646</v>
      </c>
      <c r="E32" s="1" t="s">
        <v>130</v>
      </c>
      <c r="F32" s="1">
        <v>2</v>
      </c>
      <c r="G32" s="1">
        <v>2045</v>
      </c>
      <c r="H32" s="1">
        <v>1</v>
      </c>
      <c r="I32" s="1">
        <v>0</v>
      </c>
      <c r="J32" s="1">
        <v>0</v>
      </c>
      <c r="K32" s="18"/>
      <c r="L32" s="18"/>
      <c r="M32" s="18"/>
      <c r="N32" s="18">
        <v>198.30887500000006</v>
      </c>
      <c r="O32" s="18">
        <v>114.23812500000003</v>
      </c>
      <c r="P32" s="18">
        <v>303.81562500000001</v>
      </c>
      <c r="Q32" s="18">
        <v>1.0723750000000001</v>
      </c>
      <c r="R32" s="18">
        <v>0</v>
      </c>
      <c r="S32" s="18">
        <v>41.388499999999993</v>
      </c>
      <c r="T32" s="18">
        <v>185.22762499999996</v>
      </c>
      <c r="U32" s="18">
        <v>106.69125000000001</v>
      </c>
      <c r="V32" s="18">
        <v>283.76249999999999</v>
      </c>
      <c r="W32" s="18">
        <v>14.153625000000002</v>
      </c>
      <c r="X32" s="18">
        <v>6.1093750000000009</v>
      </c>
      <c r="Y32" s="18">
        <v>54.972874999999995</v>
      </c>
      <c r="Z32" s="18">
        <v>144.233</v>
      </c>
      <c r="AA32" s="18">
        <v>80.310249999999982</v>
      </c>
      <c r="AB32" s="18">
        <v>226.31425000000004</v>
      </c>
      <c r="AC32" s="18">
        <v>55.297749999999986</v>
      </c>
      <c r="AD32" s="18">
        <v>20.564875000000008</v>
      </c>
      <c r="AE32" s="18">
        <v>105.084125</v>
      </c>
      <c r="AF32" s="18">
        <v>180.63049999999996</v>
      </c>
      <c r="AG32" s="18">
        <v>101.60537499999998</v>
      </c>
      <c r="AH32" s="18">
        <v>281.09162500000008</v>
      </c>
      <c r="AI32" s="18">
        <v>18.75075</v>
      </c>
      <c r="AJ32" s="18">
        <v>2.9152499999999999</v>
      </c>
      <c r="AK32" s="18">
        <v>64.112499999999983</v>
      </c>
      <c r="AL32" s="18">
        <v>167.54925</v>
      </c>
      <c r="AM32" s="18">
        <v>94.058499999999981</v>
      </c>
      <c r="AN32" s="18">
        <v>261.03850000000011</v>
      </c>
      <c r="AO32" s="18">
        <v>31.831999999999994</v>
      </c>
      <c r="AP32" s="18">
        <v>9.0246249999999986</v>
      </c>
      <c r="AQ32" s="18">
        <v>77.696874999999991</v>
      </c>
      <c r="AR32" s="18">
        <v>42.242374999999996</v>
      </c>
      <c r="AS32" s="18">
        <v>19.089999999999989</v>
      </c>
      <c r="AT32" s="18">
        <v>95.214249999999993</v>
      </c>
      <c r="AU32" s="18">
        <v>157.288375</v>
      </c>
      <c r="AV32" s="18">
        <v>93.446124999999995</v>
      </c>
      <c r="AW32" s="18">
        <v>236.18412499999994</v>
      </c>
      <c r="AX32" s="18">
        <v>81.359625000000008</v>
      </c>
      <c r="AY32" s="18">
        <v>42.328624999999995</v>
      </c>
      <c r="AZ32" s="18">
        <v>132.51162500000001</v>
      </c>
      <c r="BA32" s="18">
        <v>134.34012500000003</v>
      </c>
      <c r="BB32" s="18">
        <v>85.513999999999996</v>
      </c>
      <c r="BC32" s="18">
        <v>198.70849999999996</v>
      </c>
      <c r="BD32" s="18">
        <v>68.278375000000011</v>
      </c>
      <c r="BE32" s="18">
        <v>34.781749999999995</v>
      </c>
      <c r="BF32" s="18">
        <v>112.4585</v>
      </c>
      <c r="BG32" s="18">
        <v>147.42137499999998</v>
      </c>
      <c r="BH32" s="18">
        <v>91.62337500000001</v>
      </c>
      <c r="BI32" s="18">
        <v>212.29287499999995</v>
      </c>
      <c r="BJ32" s="18">
        <v>42.242374999999996</v>
      </c>
      <c r="BK32" s="18">
        <v>19.089999999999989</v>
      </c>
      <c r="BL32" s="18">
        <v>74.238249999999994</v>
      </c>
      <c r="BM32" s="18">
        <v>173.60687500000006</v>
      </c>
      <c r="BN32" s="18">
        <v>105.10712500000001</v>
      </c>
      <c r="BO32" s="18">
        <v>243.17612500000007</v>
      </c>
      <c r="BP32" s="18"/>
      <c r="BQ32" s="18"/>
      <c r="BR32" s="18"/>
      <c r="BS32" s="18"/>
      <c r="BT32" s="10">
        <f>Tabelle58971121[[#This Row],[Mindestauslastung durch]]*Tabelle58971121[[#This Row],[installierte Leistung MW durch]]</f>
        <v>140.22563333333332</v>
      </c>
      <c r="BU32" s="10">
        <f>Tabelle58971121[[#This Row],[Mindestauslastung min]]*Tabelle58971121[[#This Row],[installierte Leistung MW min]]</f>
        <v>87.697133333333326</v>
      </c>
      <c r="BV32" s="10">
        <f>Tabelle58971121[[#This Row],[Mindestauslastung max]]*Tabelle58971121[[#This Row],[installierte Leistung MW max]]</f>
        <v>201.5285333333334</v>
      </c>
      <c r="BW32" s="8">
        <v>9.6666666666666665E-2</v>
      </c>
      <c r="BX32" s="8">
        <v>8.6666666666666656E-2</v>
      </c>
      <c r="BY32" s="8">
        <v>0.1066666666666667</v>
      </c>
      <c r="BZ32" s="8"/>
      <c r="CA32" s="8">
        <v>0.61499999999999999</v>
      </c>
      <c r="CB32" s="8">
        <v>0.51500000000000001</v>
      </c>
      <c r="CC32" s="8">
        <v>0.71499999999999997</v>
      </c>
      <c r="CD32" s="8">
        <v>0.57166666666666666</v>
      </c>
      <c r="CE32" s="8">
        <v>0.48</v>
      </c>
      <c r="CF32" s="8">
        <v>0.66333333333333333</v>
      </c>
      <c r="CG32" s="8">
        <v>0.49</v>
      </c>
      <c r="CH32" s="8">
        <v>0.40666666666666662</v>
      </c>
      <c r="CI32" s="8">
        <v>0.57333333333333336</v>
      </c>
      <c r="CJ32" s="8">
        <v>0.59333333333333338</v>
      </c>
      <c r="CK32" s="8">
        <v>0.49333333333333329</v>
      </c>
      <c r="CL32" s="8">
        <v>0.69333333333333325</v>
      </c>
      <c r="CM32" s="8">
        <v>0.55000000000000004</v>
      </c>
      <c r="CN32" s="8">
        <v>0.45833333333333343</v>
      </c>
      <c r="CO32" s="8">
        <v>0.64166666666666672</v>
      </c>
      <c r="CP32" s="8">
        <v>0.36499999999999999</v>
      </c>
      <c r="CQ32" s="8">
        <v>0.28166666666666668</v>
      </c>
      <c r="CR32" s="8">
        <v>0.44833333333333342</v>
      </c>
      <c r="CS32" s="8">
        <v>0.45166666666666672</v>
      </c>
      <c r="CT32" s="8">
        <v>0.36499999999999999</v>
      </c>
      <c r="CU32" s="8">
        <v>0.55166666666666664</v>
      </c>
      <c r="CV32" s="8">
        <v>0.40833333333333338</v>
      </c>
      <c r="CW32" s="8">
        <v>0.33</v>
      </c>
      <c r="CX32" s="8">
        <v>0.5</v>
      </c>
      <c r="CY32" s="8">
        <v>0.34499999999999997</v>
      </c>
      <c r="CZ32" s="8">
        <v>0.27500000000000002</v>
      </c>
      <c r="DA32" s="8">
        <v>0.42833333333333329</v>
      </c>
      <c r="DB32" s="8"/>
      <c r="DC32" s="8"/>
      <c r="DD32" s="8"/>
      <c r="DE32" s="48">
        <f>Tabelle58971121[[#This Row],[Durchschnittsauslastung min]]*Tabelle58971121[[#This Row],[installierte Leistung MW min]]</f>
        <v>0</v>
      </c>
      <c r="DF32" s="48">
        <f>Tabelle58971121[[#This Row],[Durchschnittsauslastung durch]]*Tabelle58971121[[#This Row],[installierte Leistung MW durch]]</f>
        <v>0</v>
      </c>
      <c r="DG32" s="48">
        <f>Tabelle58971121[[#This Row],[Durchschnittsauslastung max]]*Tabelle58971121[[#This Row],[installierte Leistung MW max]]</f>
        <v>0</v>
      </c>
      <c r="DH32" s="87">
        <f>Tabelle58971121[[#This Row],[Maximalauslastung durch]]*Tabelle58971121[[#This Row],[installierte Leistung MW min]]</f>
        <v>797.7066166666666</v>
      </c>
      <c r="DI32" s="48">
        <f>Tabelle58971121[[#This Row],[Maximalauslastung durch]]*Tabelle58971121[[#This Row],[installierte Leistung MW durch]]</f>
        <v>1143.5642166666667</v>
      </c>
      <c r="DJ32" s="18">
        <f>Tabelle58971121[[#This Row],[Maximalauslastung max]]*Tabelle58971121[[#This Row],[installierte Leistung MW durch]]</f>
        <v>1172.5764166666665</v>
      </c>
      <c r="DK32" s="8">
        <v>0.78833333333333333</v>
      </c>
      <c r="DL32" s="8">
        <v>0.76833333333333331</v>
      </c>
      <c r="DM32" s="8">
        <v>0.80833333333333324</v>
      </c>
      <c r="DN32" s="1">
        <v>1450.61</v>
      </c>
      <c r="DO32" s="1">
        <v>1011.89</v>
      </c>
      <c r="DP32" s="1">
        <v>1889.33</v>
      </c>
      <c r="DQ32" s="18"/>
      <c r="DR32" s="18"/>
      <c r="DW32" s="1">
        <v>1.2</v>
      </c>
      <c r="DX32" s="1">
        <v>0.26</v>
      </c>
      <c r="DY32" s="1">
        <v>3.1</v>
      </c>
      <c r="EL32" s="1">
        <v>365</v>
      </c>
      <c r="EM32" s="1">
        <v>292</v>
      </c>
      <c r="EN32" s="1">
        <v>438</v>
      </c>
      <c r="EO32" s="10"/>
      <c r="EP32" s="10"/>
      <c r="EQ32" s="10"/>
      <c r="ER32" s="1">
        <v>365</v>
      </c>
      <c r="ES32" s="1">
        <v>292</v>
      </c>
      <c r="ET32" s="1">
        <v>438</v>
      </c>
      <c r="EV32" s="18"/>
      <c r="EW32" s="18"/>
      <c r="EX32" s="18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 t="s">
        <v>1046</v>
      </c>
      <c r="FK32" s="7" t="s">
        <v>1046</v>
      </c>
      <c r="FL32" s="7" t="s">
        <v>1046</v>
      </c>
      <c r="FO32" s="1">
        <v>67</v>
      </c>
      <c r="FP32" s="1">
        <v>67</v>
      </c>
      <c r="FQ32" s="1">
        <v>67</v>
      </c>
      <c r="FR32" s="12" t="s">
        <v>743</v>
      </c>
      <c r="FS32" s="12" t="s">
        <v>743</v>
      </c>
      <c r="FT32" s="12" t="s">
        <v>743</v>
      </c>
      <c r="FU32" s="12"/>
      <c r="FV32" s="12" t="s">
        <v>743</v>
      </c>
      <c r="FW32" s="12" t="s">
        <v>743</v>
      </c>
      <c r="FX32" s="12" t="s">
        <v>743</v>
      </c>
      <c r="FY32" s="12" t="s">
        <v>743</v>
      </c>
      <c r="FZ32" s="12" t="s">
        <v>743</v>
      </c>
      <c r="GA32" s="12" t="s">
        <v>743</v>
      </c>
      <c r="GB32" s="12" t="s">
        <v>743</v>
      </c>
      <c r="GE32" s="12" t="s">
        <v>743</v>
      </c>
      <c r="GF32" s="12" t="s">
        <v>743</v>
      </c>
      <c r="GH32" s="12" t="s">
        <v>743</v>
      </c>
    </row>
    <row r="33" spans="1:190" ht="12.75" customHeight="1" x14ac:dyDescent="0.2">
      <c r="A33" s="1" t="s">
        <v>211</v>
      </c>
      <c r="B33" s="1" t="s">
        <v>646</v>
      </c>
      <c r="E33" s="1" t="s">
        <v>130</v>
      </c>
      <c r="F33" s="1">
        <v>2</v>
      </c>
      <c r="G33" s="1">
        <v>2050</v>
      </c>
      <c r="H33" s="1">
        <v>1</v>
      </c>
      <c r="I33" s="1">
        <v>0</v>
      </c>
      <c r="J33" s="1">
        <v>0</v>
      </c>
      <c r="K33" s="18"/>
      <c r="L33" s="18"/>
      <c r="M33" s="18"/>
      <c r="N33" s="18">
        <v>224.36685277777778</v>
      </c>
      <c r="O33" s="18">
        <v>129.24912499999996</v>
      </c>
      <c r="P33" s="18">
        <v>343.73729166666652</v>
      </c>
      <c r="Q33" s="18">
        <v>1.2132861111111108</v>
      </c>
      <c r="R33" s="18">
        <v>0</v>
      </c>
      <c r="S33" s="18">
        <v>46.826988888888863</v>
      </c>
      <c r="T33" s="18">
        <v>209.56671388888876</v>
      </c>
      <c r="U33" s="18">
        <v>120.71058333333329</v>
      </c>
      <c r="V33" s="18">
        <v>321.04916666666657</v>
      </c>
      <c r="W33" s="18">
        <v>16.013424999999994</v>
      </c>
      <c r="X33" s="18">
        <v>6.9121527777777763</v>
      </c>
      <c r="Y33" s="18">
        <v>62.196363888888861</v>
      </c>
      <c r="Z33" s="18">
        <v>163.1853555555555</v>
      </c>
      <c r="AA33" s="18">
        <v>90.8630944444444</v>
      </c>
      <c r="AB33" s="18">
        <v>256.05216111111105</v>
      </c>
      <c r="AC33" s="18">
        <v>62.563927777777742</v>
      </c>
      <c r="AD33" s="18">
        <v>23.267119444444443</v>
      </c>
      <c r="AE33" s="18">
        <v>118.8922805555555</v>
      </c>
      <c r="AF33" s="18">
        <v>204.36552222222207</v>
      </c>
      <c r="AG33" s="18">
        <v>114.95641944444438</v>
      </c>
      <c r="AH33" s="18">
        <v>318.02733611111108</v>
      </c>
      <c r="AI33" s="18">
        <v>21.214616666666657</v>
      </c>
      <c r="AJ33" s="18">
        <v>3.2983166666666652</v>
      </c>
      <c r="AK33" s="18">
        <v>72.536944444444401</v>
      </c>
      <c r="AL33" s="18">
        <v>189.56538333333327</v>
      </c>
      <c r="AM33" s="18">
        <v>106.41787777777772</v>
      </c>
      <c r="AN33" s="18">
        <v>295.33921111111107</v>
      </c>
      <c r="AO33" s="18">
        <v>36.014755555555539</v>
      </c>
      <c r="AP33" s="18">
        <v>10.210469444444438</v>
      </c>
      <c r="AQ33" s="18">
        <v>87.906319444444392</v>
      </c>
      <c r="AR33" s="18">
        <v>47.793063888888867</v>
      </c>
      <c r="AS33" s="18">
        <v>21.598444444444421</v>
      </c>
      <c r="AT33" s="18">
        <v>107.72549444444439</v>
      </c>
      <c r="AU33" s="18">
        <v>177.95621944444437</v>
      </c>
      <c r="AV33" s="18">
        <v>105.72503611111107</v>
      </c>
      <c r="AW33" s="18">
        <v>267.21894722222203</v>
      </c>
      <c r="AX33" s="18">
        <v>92.050358333333307</v>
      </c>
      <c r="AY33" s="18">
        <v>47.890647222222199</v>
      </c>
      <c r="AZ33" s="18">
        <v>149.92378055555551</v>
      </c>
      <c r="BA33" s="18">
        <v>151.99254722222219</v>
      </c>
      <c r="BB33" s="18">
        <v>96.750622222222177</v>
      </c>
      <c r="BC33" s="18">
        <v>224.81898888888875</v>
      </c>
      <c r="BD33" s="18">
        <v>77.250219444444426</v>
      </c>
      <c r="BE33" s="18">
        <v>39.352105555555539</v>
      </c>
      <c r="BF33" s="18">
        <v>127.2356555555555</v>
      </c>
      <c r="BG33" s="18">
        <v>166.79268611111104</v>
      </c>
      <c r="BH33" s="18">
        <v>103.66277499999997</v>
      </c>
      <c r="BI33" s="18">
        <v>240.18836388888874</v>
      </c>
      <c r="BJ33" s="18">
        <v>47.793063888888867</v>
      </c>
      <c r="BK33" s="18">
        <v>21.598444444444421</v>
      </c>
      <c r="BL33" s="18">
        <v>83.993227777777733</v>
      </c>
      <c r="BM33" s="18">
        <v>196.41898611111111</v>
      </c>
      <c r="BN33" s="18">
        <v>118.91830277777775</v>
      </c>
      <c r="BO33" s="18">
        <v>275.12970277777771</v>
      </c>
      <c r="BP33" s="18"/>
      <c r="BQ33" s="18"/>
      <c r="BR33" s="18"/>
      <c r="BS33" s="18"/>
      <c r="BT33" s="10">
        <f>Tabelle58971121[[#This Row],[Mindestauslastung durch]]*Tabelle58971121[[#This Row],[installierte Leistung MW durch]]</f>
        <v>152.05473333333333</v>
      </c>
      <c r="BU33" s="10">
        <f>Tabelle58971121[[#This Row],[Mindestauslastung min]]*Tabelle58971121[[#This Row],[installierte Leistung MW min]]</f>
        <v>95.019599999999997</v>
      </c>
      <c r="BV33" s="10">
        <f>Tabelle58971121[[#This Row],[Mindestauslastung max]]*Tabelle58971121[[#This Row],[installierte Leistung MW max]]</f>
        <v>218.62186666666673</v>
      </c>
      <c r="BW33" s="8">
        <v>9.6666666666666665E-2</v>
      </c>
      <c r="BX33" s="8">
        <v>8.6666666666666656E-2</v>
      </c>
      <c r="BY33" s="8">
        <v>0.1066666666666667</v>
      </c>
      <c r="BZ33" s="8"/>
      <c r="CA33" s="8">
        <v>0.61499999999999999</v>
      </c>
      <c r="CB33" s="8">
        <v>0.51500000000000001</v>
      </c>
      <c r="CC33" s="8">
        <v>0.71499999999999997</v>
      </c>
      <c r="CD33" s="8">
        <v>0.57166666666666666</v>
      </c>
      <c r="CE33" s="8">
        <v>0.48</v>
      </c>
      <c r="CF33" s="8">
        <v>0.66333333333333333</v>
      </c>
      <c r="CG33" s="8">
        <v>0.49</v>
      </c>
      <c r="CH33" s="8">
        <v>0.40666666666666662</v>
      </c>
      <c r="CI33" s="8">
        <v>0.57333333333333336</v>
      </c>
      <c r="CJ33" s="8">
        <v>0.59333333333333338</v>
      </c>
      <c r="CK33" s="8">
        <v>0.49333333333333329</v>
      </c>
      <c r="CL33" s="8">
        <v>0.69333333333333325</v>
      </c>
      <c r="CM33" s="8">
        <v>0.55000000000000004</v>
      </c>
      <c r="CN33" s="8">
        <v>0.45833333333333343</v>
      </c>
      <c r="CO33" s="8">
        <v>0.64166666666666672</v>
      </c>
      <c r="CP33" s="8">
        <v>0.36499999999999999</v>
      </c>
      <c r="CQ33" s="8">
        <v>0.28166666666666668</v>
      </c>
      <c r="CR33" s="8">
        <v>0.44833333333333342</v>
      </c>
      <c r="CS33" s="8">
        <v>0.45166666666666672</v>
      </c>
      <c r="CT33" s="8">
        <v>0.36499999999999999</v>
      </c>
      <c r="CU33" s="8">
        <v>0.55166666666666664</v>
      </c>
      <c r="CV33" s="8">
        <v>0.40833333333333338</v>
      </c>
      <c r="CW33" s="8">
        <v>0.33</v>
      </c>
      <c r="CX33" s="8">
        <v>0.5</v>
      </c>
      <c r="CY33" s="8">
        <v>0.34499999999999997</v>
      </c>
      <c r="CZ33" s="8">
        <v>0.27500000000000002</v>
      </c>
      <c r="DA33" s="8">
        <v>0.42833333333333329</v>
      </c>
      <c r="DB33" s="8"/>
      <c r="DC33" s="8"/>
      <c r="DD33" s="8"/>
      <c r="DE33" s="48">
        <f>Tabelle58971121[[#This Row],[Durchschnittsauslastung min]]*Tabelle58971121[[#This Row],[installierte Leistung MW min]]</f>
        <v>0</v>
      </c>
      <c r="DF33" s="48">
        <f>Tabelle58971121[[#This Row],[Durchschnittsauslastung durch]]*Tabelle58971121[[#This Row],[installierte Leistung MW durch]]</f>
        <v>0</v>
      </c>
      <c r="DG33" s="48">
        <f>Tabelle58971121[[#This Row],[Durchschnittsauslastung max]]*Tabelle58971121[[#This Row],[installierte Leistung MW max]]</f>
        <v>0</v>
      </c>
      <c r="DH33" s="87">
        <f>Tabelle58971121[[#This Row],[Maximalauslastung durch]]*Tabelle58971121[[#This Row],[installierte Leistung MW min]]</f>
        <v>864.31290000000013</v>
      </c>
      <c r="DI33" s="48">
        <f>Tabelle58971121[[#This Row],[Maximalauslastung durch]]*Tabelle58971121[[#This Row],[installierte Leistung MW durch]]</f>
        <v>1240.0325666666668</v>
      </c>
      <c r="DJ33" s="18">
        <f>Tabelle58971121[[#This Row],[Maximalauslastung max]]*Tabelle58971121[[#This Row],[installierte Leistung MW durch]]</f>
        <v>1271.4921666666664</v>
      </c>
      <c r="DK33" s="8">
        <v>0.78833333333333333</v>
      </c>
      <c r="DL33" s="8">
        <v>0.76833333333333331</v>
      </c>
      <c r="DM33" s="8">
        <v>0.80833333333333324</v>
      </c>
      <c r="DN33" s="1">
        <v>1572.98</v>
      </c>
      <c r="DO33" s="1">
        <v>1096.3800000000001</v>
      </c>
      <c r="DP33" s="1">
        <v>2049.58</v>
      </c>
      <c r="DQ33" s="18"/>
      <c r="DR33" s="18"/>
      <c r="DW33" s="1">
        <v>1.2</v>
      </c>
      <c r="DX33" s="1">
        <v>0.26</v>
      </c>
      <c r="DY33" s="1">
        <v>3.1</v>
      </c>
      <c r="EL33" s="1">
        <v>365</v>
      </c>
      <c r="EM33" s="1">
        <v>292</v>
      </c>
      <c r="EN33" s="1">
        <v>438</v>
      </c>
      <c r="EO33" s="10"/>
      <c r="EP33" s="10"/>
      <c r="EQ33" s="10"/>
      <c r="ER33" s="1">
        <v>365</v>
      </c>
      <c r="ES33" s="1">
        <v>292</v>
      </c>
      <c r="ET33" s="1">
        <v>438</v>
      </c>
      <c r="EV33" s="18"/>
      <c r="EW33" s="18"/>
      <c r="EX33" s="18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 t="s">
        <v>1046</v>
      </c>
      <c r="FK33" s="7" t="s">
        <v>1046</v>
      </c>
      <c r="FL33" s="7" t="s">
        <v>1046</v>
      </c>
      <c r="FO33" s="1">
        <v>67</v>
      </c>
      <c r="FP33" s="1">
        <v>67</v>
      </c>
      <c r="FQ33" s="1">
        <v>67</v>
      </c>
      <c r="FR33" s="12" t="s">
        <v>743</v>
      </c>
      <c r="FS33" s="12" t="s">
        <v>743</v>
      </c>
      <c r="FT33" s="12" t="s">
        <v>743</v>
      </c>
      <c r="FU33" s="12"/>
      <c r="FV33" s="12" t="s">
        <v>743</v>
      </c>
      <c r="FW33" s="12" t="s">
        <v>743</v>
      </c>
      <c r="FX33" s="12" t="s">
        <v>743</v>
      </c>
      <c r="FY33" s="12" t="s">
        <v>743</v>
      </c>
      <c r="FZ33" s="12" t="s">
        <v>743</v>
      </c>
      <c r="GA33" s="12" t="s">
        <v>743</v>
      </c>
      <c r="GB33" s="12" t="s">
        <v>743</v>
      </c>
      <c r="GE33" s="12" t="s">
        <v>743</v>
      </c>
      <c r="GF33" s="12" t="s">
        <v>743</v>
      </c>
      <c r="GH33" s="12" t="s">
        <v>743</v>
      </c>
    </row>
    <row r="34" spans="1:190" ht="12.75" customHeight="1" x14ac:dyDescent="0.2">
      <c r="A34" s="1" t="s">
        <v>377</v>
      </c>
      <c r="B34" s="1" t="s">
        <v>681</v>
      </c>
      <c r="E34" s="1" t="s">
        <v>130</v>
      </c>
      <c r="F34" s="1">
        <v>2</v>
      </c>
      <c r="G34" s="1">
        <v>2015</v>
      </c>
      <c r="H34" s="1">
        <v>1</v>
      </c>
      <c r="I34" s="1">
        <v>0</v>
      </c>
      <c r="J34" s="1">
        <v>0</v>
      </c>
      <c r="K34" s="18"/>
      <c r="L34" s="18"/>
      <c r="M34" s="18"/>
      <c r="N34" s="18">
        <v>290</v>
      </c>
      <c r="O34" s="18">
        <v>173.92500000000001</v>
      </c>
      <c r="P34" s="18">
        <v>425.42500000000001</v>
      </c>
      <c r="Q34" s="18">
        <v>290</v>
      </c>
      <c r="R34" s="18">
        <v>135.27500000000001</v>
      </c>
      <c r="S34" s="18">
        <v>502.77499999999998</v>
      </c>
      <c r="T34" s="18">
        <v>290</v>
      </c>
      <c r="U34" s="18">
        <v>173.92500000000001</v>
      </c>
      <c r="V34" s="18">
        <v>425.42500000000001</v>
      </c>
      <c r="W34" s="18">
        <v>290</v>
      </c>
      <c r="X34" s="18">
        <v>135.27500000000001</v>
      </c>
      <c r="Y34" s="18">
        <v>502.77499999999998</v>
      </c>
      <c r="Z34" s="18">
        <v>290</v>
      </c>
      <c r="AA34" s="18">
        <v>173.92500000000001</v>
      </c>
      <c r="AB34" s="18">
        <v>425.42500000000001</v>
      </c>
      <c r="AC34" s="18">
        <v>290</v>
      </c>
      <c r="AD34" s="18">
        <v>135.27500000000001</v>
      </c>
      <c r="AE34" s="18">
        <v>502.77499999999998</v>
      </c>
      <c r="AF34" s="18">
        <v>290</v>
      </c>
      <c r="AG34" s="18">
        <v>173.92500000000001</v>
      </c>
      <c r="AH34" s="18">
        <v>425.42500000000001</v>
      </c>
      <c r="AI34" s="18">
        <v>290</v>
      </c>
      <c r="AJ34" s="18">
        <v>135.27500000000001</v>
      </c>
      <c r="AK34" s="18">
        <v>502.77499999999998</v>
      </c>
      <c r="AL34" s="18">
        <v>290</v>
      </c>
      <c r="AM34" s="18">
        <v>173.92500000000001</v>
      </c>
      <c r="AN34" s="18">
        <v>425.42500000000001</v>
      </c>
      <c r="AO34" s="18">
        <v>290</v>
      </c>
      <c r="AP34" s="18">
        <v>135.27500000000001</v>
      </c>
      <c r="AQ34" s="18">
        <v>502.77499999999998</v>
      </c>
      <c r="AR34" s="18">
        <v>290</v>
      </c>
      <c r="AS34" s="18">
        <v>173.92500000000001</v>
      </c>
      <c r="AT34" s="18">
        <v>425.42500000000001</v>
      </c>
      <c r="AU34" s="18">
        <v>290</v>
      </c>
      <c r="AV34" s="18">
        <v>135.27500000000001</v>
      </c>
      <c r="AW34" s="18">
        <v>502.77499999999998</v>
      </c>
      <c r="AX34" s="18">
        <v>290</v>
      </c>
      <c r="AY34" s="18">
        <v>173.92500000000001</v>
      </c>
      <c r="AZ34" s="18">
        <v>425.42500000000001</v>
      </c>
      <c r="BA34" s="18">
        <v>290</v>
      </c>
      <c r="BB34" s="18">
        <v>135.27500000000001</v>
      </c>
      <c r="BC34" s="18">
        <v>502.77499999999998</v>
      </c>
      <c r="BD34" s="18">
        <v>290</v>
      </c>
      <c r="BE34" s="18">
        <v>173.92500000000001</v>
      </c>
      <c r="BF34" s="18">
        <v>425.42500000000001</v>
      </c>
      <c r="BG34" s="18">
        <v>290</v>
      </c>
      <c r="BH34" s="18">
        <v>135.27500000000001</v>
      </c>
      <c r="BI34" s="18">
        <v>502.77499999999998</v>
      </c>
      <c r="BJ34" s="18">
        <v>290</v>
      </c>
      <c r="BK34" s="18">
        <v>173.92500000000001</v>
      </c>
      <c r="BL34" s="18">
        <v>425.42500000000001</v>
      </c>
      <c r="BM34" s="18">
        <v>290</v>
      </c>
      <c r="BN34" s="18">
        <v>135.27500000000001</v>
      </c>
      <c r="BO34" s="18">
        <v>502.77499999999998</v>
      </c>
      <c r="BP34" s="18"/>
      <c r="BQ34" s="18"/>
      <c r="BR34" s="18"/>
      <c r="BS34" s="18"/>
      <c r="BT34" s="10">
        <f>Tabelle58971121[[#This Row],[Mindestauslastung durch]]*Tabelle58971121[[#This Row],[installierte Leistung MW durch]]</f>
        <v>174</v>
      </c>
      <c r="BU34" s="10">
        <f>Tabelle58971121[[#This Row],[Mindestauslastung min]]*Tabelle58971121[[#This Row],[installierte Leistung MW min]]</f>
        <v>115.94999999999999</v>
      </c>
      <c r="BV34" s="10">
        <f>Tabelle58971121[[#This Row],[Mindestauslastung max]]*Tabelle58971121[[#This Row],[installierte Leistung MW max]]</f>
        <v>232.04999999999998</v>
      </c>
      <c r="BW34" s="8">
        <v>0.15</v>
      </c>
      <c r="BX34" s="8">
        <v>0.15</v>
      </c>
      <c r="BY34" s="8">
        <v>0.15</v>
      </c>
      <c r="BZ34" s="8"/>
      <c r="CA34" s="8">
        <v>0.25</v>
      </c>
      <c r="CB34" s="8">
        <v>0.22500000000000001</v>
      </c>
      <c r="CC34" s="8">
        <v>0.27500000000000002</v>
      </c>
      <c r="CD34" s="8">
        <v>0.25</v>
      </c>
      <c r="CE34" s="8">
        <v>0.22500000000000001</v>
      </c>
      <c r="CF34" s="8">
        <v>0.27500000000000002</v>
      </c>
      <c r="CG34" s="8">
        <v>0.25</v>
      </c>
      <c r="CH34" s="8">
        <v>0.22500000000000001</v>
      </c>
      <c r="CI34" s="8">
        <v>0.27500000000000002</v>
      </c>
      <c r="CJ34" s="8">
        <v>0.25</v>
      </c>
      <c r="CK34" s="8">
        <v>0.22500000000000001</v>
      </c>
      <c r="CL34" s="8">
        <v>0.27500000000000002</v>
      </c>
      <c r="CM34" s="8">
        <v>0.25</v>
      </c>
      <c r="CN34" s="8">
        <v>0.22500000000000001</v>
      </c>
      <c r="CO34" s="8">
        <v>0.27500000000000002</v>
      </c>
      <c r="CP34" s="8">
        <v>0.25</v>
      </c>
      <c r="CQ34" s="8">
        <v>0.22500000000000001</v>
      </c>
      <c r="CR34" s="8">
        <v>0.27500000000000002</v>
      </c>
      <c r="CS34" s="8">
        <v>0.25</v>
      </c>
      <c r="CT34" s="8">
        <v>0.22500000000000001</v>
      </c>
      <c r="CU34" s="8">
        <v>0.27500000000000002</v>
      </c>
      <c r="CV34" s="8">
        <v>0.25</v>
      </c>
      <c r="CW34" s="8">
        <v>0.22500000000000001</v>
      </c>
      <c r="CX34" s="8">
        <v>0.27500000000000002</v>
      </c>
      <c r="CY34" s="8">
        <v>0.25</v>
      </c>
      <c r="CZ34" s="8">
        <v>0.22500000000000001</v>
      </c>
      <c r="DA34" s="8">
        <v>0.27500000000000002</v>
      </c>
      <c r="DB34" s="8"/>
      <c r="DC34" s="8"/>
      <c r="DD34" s="8"/>
      <c r="DE34" s="48">
        <f>Tabelle58971121[[#This Row],[Durchschnittsauslastung min]]*Tabelle58971121[[#This Row],[installierte Leistung MW min]]</f>
        <v>0</v>
      </c>
      <c r="DF34" s="48">
        <f>Tabelle58971121[[#This Row],[Durchschnittsauslastung durch]]*Tabelle58971121[[#This Row],[installierte Leistung MW durch]]</f>
        <v>0</v>
      </c>
      <c r="DG34" s="48">
        <f>Tabelle58971121[[#This Row],[Durchschnittsauslastung max]]*Tabelle58971121[[#This Row],[installierte Leistung MW max]]</f>
        <v>0</v>
      </c>
      <c r="DH34" s="87">
        <f>Tabelle58971121[[#This Row],[Maximalauslastung durch]]*Tabelle58971121[[#This Row],[installierte Leistung MW min]]</f>
        <v>386.5</v>
      </c>
      <c r="DI34" s="48">
        <f>Tabelle58971121[[#This Row],[Maximalauslastung durch]]*Tabelle58971121[[#This Row],[installierte Leistung MW durch]]</f>
        <v>580</v>
      </c>
      <c r="DJ34" s="18">
        <f>Tabelle58971121[[#This Row],[Maximalauslastung max]]*Tabelle58971121[[#This Row],[installierte Leistung MW durch]]</f>
        <v>638</v>
      </c>
      <c r="DK34" s="8">
        <v>0.5</v>
      </c>
      <c r="DL34" s="8">
        <v>0.45</v>
      </c>
      <c r="DM34" s="8">
        <v>0.55000000000000004</v>
      </c>
      <c r="DN34" s="1">
        <v>1160</v>
      </c>
      <c r="DO34" s="1">
        <v>773</v>
      </c>
      <c r="DP34" s="1">
        <v>1547</v>
      </c>
      <c r="DQ34" s="18"/>
      <c r="DR34" s="18"/>
      <c r="DW34" s="1">
        <v>5</v>
      </c>
      <c r="DX34" s="1">
        <v>4.5</v>
      </c>
      <c r="DY34" s="1">
        <v>5.5</v>
      </c>
      <c r="DZ34" s="1">
        <v>5</v>
      </c>
      <c r="EA34" s="1">
        <v>4.5</v>
      </c>
      <c r="EB34" s="1">
        <v>5.5</v>
      </c>
      <c r="EC34" s="1">
        <v>24</v>
      </c>
      <c r="EF34" s="1">
        <v>10</v>
      </c>
      <c r="EG34" s="1">
        <v>9</v>
      </c>
      <c r="EH34" s="1">
        <v>11</v>
      </c>
      <c r="EL34" s="1">
        <v>365</v>
      </c>
      <c r="EM34" s="1">
        <v>328</v>
      </c>
      <c r="EN34" s="1">
        <v>402</v>
      </c>
      <c r="EO34" s="10"/>
      <c r="EP34" s="10"/>
      <c r="EQ34" s="10"/>
      <c r="ER34" s="1">
        <v>365</v>
      </c>
      <c r="ES34" s="1">
        <v>328</v>
      </c>
      <c r="ET34" s="1">
        <v>402</v>
      </c>
      <c r="EV34" s="18"/>
      <c r="EW34" s="18"/>
      <c r="EX34" s="18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 t="s">
        <v>1046</v>
      </c>
      <c r="FK34" s="7" t="s">
        <v>1046</v>
      </c>
      <c r="FL34" s="7" t="s">
        <v>1046</v>
      </c>
      <c r="FO34" s="1">
        <v>67</v>
      </c>
      <c r="FP34" s="1">
        <v>67</v>
      </c>
      <c r="FQ34" s="1">
        <v>67</v>
      </c>
      <c r="FR34" s="12" t="s">
        <v>743</v>
      </c>
      <c r="FS34" s="12" t="s">
        <v>743</v>
      </c>
      <c r="FT34" s="12" t="s">
        <v>743</v>
      </c>
      <c r="FU34" s="12"/>
      <c r="FV34" s="12" t="s">
        <v>743</v>
      </c>
      <c r="FW34" s="12" t="s">
        <v>743</v>
      </c>
      <c r="FX34" s="12" t="s">
        <v>743</v>
      </c>
      <c r="FY34" s="12" t="s">
        <v>743</v>
      </c>
      <c r="FZ34" s="12" t="s">
        <v>743</v>
      </c>
      <c r="GA34" s="12" t="s">
        <v>743</v>
      </c>
      <c r="GB34" s="12" t="s">
        <v>743</v>
      </c>
      <c r="GE34" s="12" t="s">
        <v>743</v>
      </c>
      <c r="GF34" s="12" t="s">
        <v>743</v>
      </c>
      <c r="GH34" s="12" t="s">
        <v>743</v>
      </c>
    </row>
    <row r="35" spans="1:190" ht="12.75" customHeight="1" x14ac:dyDescent="0.2">
      <c r="A35" s="1" t="s">
        <v>377</v>
      </c>
      <c r="B35" s="1" t="s">
        <v>681</v>
      </c>
      <c r="E35" s="1" t="s">
        <v>130</v>
      </c>
      <c r="F35" s="1">
        <v>2</v>
      </c>
      <c r="G35" s="1">
        <v>2020</v>
      </c>
      <c r="H35" s="1">
        <v>1</v>
      </c>
      <c r="I35" s="1">
        <v>0</v>
      </c>
      <c r="J35" s="1">
        <v>0</v>
      </c>
      <c r="K35" s="18"/>
      <c r="L35" s="18"/>
      <c r="M35" s="18"/>
      <c r="N35" s="18">
        <v>290</v>
      </c>
      <c r="O35" s="18">
        <v>173.92500000000001</v>
      </c>
      <c r="P35" s="18">
        <v>425.42500000000001</v>
      </c>
      <c r="Q35" s="18">
        <v>290</v>
      </c>
      <c r="R35" s="18">
        <v>135.27500000000001</v>
      </c>
      <c r="S35" s="18">
        <v>502.77499999999998</v>
      </c>
      <c r="T35" s="18">
        <v>290</v>
      </c>
      <c r="U35" s="18">
        <v>173.92500000000001</v>
      </c>
      <c r="V35" s="18">
        <v>425.42500000000001</v>
      </c>
      <c r="W35" s="18">
        <v>290</v>
      </c>
      <c r="X35" s="18">
        <v>135.27500000000001</v>
      </c>
      <c r="Y35" s="18">
        <v>502.77499999999998</v>
      </c>
      <c r="Z35" s="18">
        <v>290</v>
      </c>
      <c r="AA35" s="18">
        <v>173.92500000000001</v>
      </c>
      <c r="AB35" s="18">
        <v>425.42500000000001</v>
      </c>
      <c r="AC35" s="18">
        <v>290</v>
      </c>
      <c r="AD35" s="18">
        <v>135.27500000000001</v>
      </c>
      <c r="AE35" s="18">
        <v>502.77499999999998</v>
      </c>
      <c r="AF35" s="18">
        <v>290</v>
      </c>
      <c r="AG35" s="18">
        <v>173.92500000000001</v>
      </c>
      <c r="AH35" s="18">
        <v>425.42500000000001</v>
      </c>
      <c r="AI35" s="18">
        <v>290</v>
      </c>
      <c r="AJ35" s="18">
        <v>135.27500000000001</v>
      </c>
      <c r="AK35" s="18">
        <v>502.77499999999998</v>
      </c>
      <c r="AL35" s="18">
        <v>290</v>
      </c>
      <c r="AM35" s="18">
        <v>173.92500000000001</v>
      </c>
      <c r="AN35" s="18">
        <v>425.42500000000001</v>
      </c>
      <c r="AO35" s="18">
        <v>290</v>
      </c>
      <c r="AP35" s="18">
        <v>135.27500000000001</v>
      </c>
      <c r="AQ35" s="18">
        <v>502.77499999999998</v>
      </c>
      <c r="AR35" s="18">
        <v>290</v>
      </c>
      <c r="AS35" s="18">
        <v>173.92500000000001</v>
      </c>
      <c r="AT35" s="18">
        <v>425.42500000000001</v>
      </c>
      <c r="AU35" s="18">
        <v>290</v>
      </c>
      <c r="AV35" s="18">
        <v>135.27500000000001</v>
      </c>
      <c r="AW35" s="18">
        <v>502.77499999999998</v>
      </c>
      <c r="AX35" s="18">
        <v>290</v>
      </c>
      <c r="AY35" s="18">
        <v>173.92500000000001</v>
      </c>
      <c r="AZ35" s="18">
        <v>425.42500000000001</v>
      </c>
      <c r="BA35" s="18">
        <v>290</v>
      </c>
      <c r="BB35" s="18">
        <v>135.27500000000001</v>
      </c>
      <c r="BC35" s="18">
        <v>502.77499999999998</v>
      </c>
      <c r="BD35" s="18">
        <v>290</v>
      </c>
      <c r="BE35" s="18">
        <v>173.92500000000001</v>
      </c>
      <c r="BF35" s="18">
        <v>425.42500000000001</v>
      </c>
      <c r="BG35" s="18">
        <v>290</v>
      </c>
      <c r="BH35" s="18">
        <v>135.27500000000001</v>
      </c>
      <c r="BI35" s="18">
        <v>502.77499999999998</v>
      </c>
      <c r="BJ35" s="18">
        <v>290</v>
      </c>
      <c r="BK35" s="18">
        <v>173.92500000000001</v>
      </c>
      <c r="BL35" s="18">
        <v>425.42500000000001</v>
      </c>
      <c r="BM35" s="18">
        <v>290</v>
      </c>
      <c r="BN35" s="18">
        <v>135.27500000000001</v>
      </c>
      <c r="BO35" s="18">
        <v>502.77499999999998</v>
      </c>
      <c r="BP35" s="18"/>
      <c r="BQ35" s="18"/>
      <c r="BR35" s="18"/>
      <c r="BS35" s="18"/>
      <c r="BT35" s="10">
        <f>Tabelle58971121[[#This Row],[Mindestauslastung durch]]*Tabelle58971121[[#This Row],[installierte Leistung MW durch]]</f>
        <v>174</v>
      </c>
      <c r="BU35" s="10">
        <f>Tabelle58971121[[#This Row],[Mindestauslastung min]]*Tabelle58971121[[#This Row],[installierte Leistung MW min]]</f>
        <v>115.94999999999999</v>
      </c>
      <c r="BV35" s="10">
        <f>Tabelle58971121[[#This Row],[Mindestauslastung max]]*Tabelle58971121[[#This Row],[installierte Leistung MW max]]</f>
        <v>232.04999999999998</v>
      </c>
      <c r="BW35" s="8">
        <v>0.15</v>
      </c>
      <c r="BX35" s="8">
        <v>0.15</v>
      </c>
      <c r="BY35" s="8">
        <v>0.15</v>
      </c>
      <c r="BZ35" s="8"/>
      <c r="CA35" s="8">
        <v>0.25</v>
      </c>
      <c r="CB35" s="8">
        <v>0.22500000000000001</v>
      </c>
      <c r="CC35" s="8">
        <v>0.27500000000000002</v>
      </c>
      <c r="CD35" s="8">
        <v>0.25</v>
      </c>
      <c r="CE35" s="8">
        <v>0.22500000000000001</v>
      </c>
      <c r="CF35" s="8">
        <v>0.27500000000000002</v>
      </c>
      <c r="CG35" s="8">
        <v>0.25</v>
      </c>
      <c r="CH35" s="8">
        <v>0.22500000000000001</v>
      </c>
      <c r="CI35" s="8">
        <v>0.27500000000000002</v>
      </c>
      <c r="CJ35" s="8">
        <v>0.25</v>
      </c>
      <c r="CK35" s="8">
        <v>0.22500000000000001</v>
      </c>
      <c r="CL35" s="8">
        <v>0.27500000000000002</v>
      </c>
      <c r="CM35" s="8">
        <v>0.25</v>
      </c>
      <c r="CN35" s="8">
        <v>0.22500000000000001</v>
      </c>
      <c r="CO35" s="8">
        <v>0.27500000000000002</v>
      </c>
      <c r="CP35" s="8">
        <v>0.25</v>
      </c>
      <c r="CQ35" s="8">
        <v>0.22500000000000001</v>
      </c>
      <c r="CR35" s="8">
        <v>0.27500000000000002</v>
      </c>
      <c r="CS35" s="8">
        <v>0.25</v>
      </c>
      <c r="CT35" s="8">
        <v>0.22500000000000001</v>
      </c>
      <c r="CU35" s="8">
        <v>0.27500000000000002</v>
      </c>
      <c r="CV35" s="8">
        <v>0.25</v>
      </c>
      <c r="CW35" s="8">
        <v>0.22500000000000001</v>
      </c>
      <c r="CX35" s="8">
        <v>0.27500000000000002</v>
      </c>
      <c r="CY35" s="8">
        <v>0.25</v>
      </c>
      <c r="CZ35" s="8">
        <v>0.22500000000000001</v>
      </c>
      <c r="DA35" s="8">
        <v>0.27500000000000002</v>
      </c>
      <c r="DB35" s="8"/>
      <c r="DC35" s="8"/>
      <c r="DD35" s="8"/>
      <c r="DE35" s="48">
        <f>Tabelle58971121[[#This Row],[Durchschnittsauslastung min]]*Tabelle58971121[[#This Row],[installierte Leistung MW min]]</f>
        <v>0</v>
      </c>
      <c r="DF35" s="48">
        <f>Tabelle58971121[[#This Row],[Durchschnittsauslastung durch]]*Tabelle58971121[[#This Row],[installierte Leistung MW durch]]</f>
        <v>0</v>
      </c>
      <c r="DG35" s="48">
        <f>Tabelle58971121[[#This Row],[Durchschnittsauslastung max]]*Tabelle58971121[[#This Row],[installierte Leistung MW max]]</f>
        <v>0</v>
      </c>
      <c r="DH35" s="87">
        <f>Tabelle58971121[[#This Row],[Maximalauslastung durch]]*Tabelle58971121[[#This Row],[installierte Leistung MW min]]</f>
        <v>386.5</v>
      </c>
      <c r="DI35" s="48">
        <f>Tabelle58971121[[#This Row],[Maximalauslastung durch]]*Tabelle58971121[[#This Row],[installierte Leistung MW durch]]</f>
        <v>580</v>
      </c>
      <c r="DJ35" s="18">
        <f>Tabelle58971121[[#This Row],[Maximalauslastung max]]*Tabelle58971121[[#This Row],[installierte Leistung MW durch]]</f>
        <v>638</v>
      </c>
      <c r="DK35" s="8">
        <v>0.5</v>
      </c>
      <c r="DL35" s="8">
        <v>0.45</v>
      </c>
      <c r="DM35" s="8">
        <v>0.55000000000000004</v>
      </c>
      <c r="DN35" s="1">
        <v>1160</v>
      </c>
      <c r="DO35" s="1">
        <v>773</v>
      </c>
      <c r="DP35" s="1">
        <v>1547</v>
      </c>
      <c r="DQ35" s="18"/>
      <c r="DR35" s="18"/>
      <c r="DW35" s="1">
        <v>5</v>
      </c>
      <c r="DX35" s="1">
        <v>4.5</v>
      </c>
      <c r="DY35" s="1">
        <v>5.5</v>
      </c>
      <c r="DZ35" s="1">
        <v>5</v>
      </c>
      <c r="EA35" s="1">
        <v>4.5</v>
      </c>
      <c r="EB35" s="1">
        <v>5.5</v>
      </c>
      <c r="EC35" s="1">
        <v>24</v>
      </c>
      <c r="EF35" s="1">
        <v>10</v>
      </c>
      <c r="EG35" s="1">
        <v>9</v>
      </c>
      <c r="EH35" s="1">
        <v>11</v>
      </c>
      <c r="EL35" s="1">
        <v>365</v>
      </c>
      <c r="EM35" s="1">
        <v>328</v>
      </c>
      <c r="EN35" s="1">
        <v>402</v>
      </c>
      <c r="EO35" s="10"/>
      <c r="EP35" s="10"/>
      <c r="EQ35" s="10"/>
      <c r="ER35" s="1">
        <v>365</v>
      </c>
      <c r="ES35" s="1">
        <v>328</v>
      </c>
      <c r="ET35" s="1">
        <v>402</v>
      </c>
      <c r="EV35" s="18"/>
      <c r="EW35" s="18"/>
      <c r="EX35" s="18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 t="s">
        <v>1046</v>
      </c>
      <c r="FK35" s="7" t="s">
        <v>1046</v>
      </c>
      <c r="FL35" s="7" t="s">
        <v>1046</v>
      </c>
      <c r="FO35" s="1">
        <v>67</v>
      </c>
      <c r="FP35" s="1">
        <v>67</v>
      </c>
      <c r="FQ35" s="1">
        <v>67</v>
      </c>
      <c r="FR35" s="12" t="s">
        <v>743</v>
      </c>
      <c r="FS35" s="12" t="s">
        <v>743</v>
      </c>
      <c r="FT35" s="12" t="s">
        <v>743</v>
      </c>
      <c r="FU35" s="12"/>
      <c r="FV35" s="12" t="s">
        <v>743</v>
      </c>
      <c r="FW35" s="12" t="s">
        <v>743</v>
      </c>
      <c r="FX35" s="12" t="s">
        <v>743</v>
      </c>
      <c r="FY35" s="12" t="s">
        <v>743</v>
      </c>
      <c r="FZ35" s="12" t="s">
        <v>743</v>
      </c>
      <c r="GA35" s="12" t="s">
        <v>743</v>
      </c>
      <c r="GB35" s="12" t="s">
        <v>743</v>
      </c>
      <c r="GE35" s="12" t="s">
        <v>743</v>
      </c>
      <c r="GF35" s="12" t="s">
        <v>743</v>
      </c>
      <c r="GH35" s="12" t="s">
        <v>743</v>
      </c>
    </row>
    <row r="36" spans="1:190" ht="12.75" customHeight="1" x14ac:dyDescent="0.2">
      <c r="A36" s="1" t="s">
        <v>377</v>
      </c>
      <c r="B36" s="1" t="s">
        <v>681</v>
      </c>
      <c r="E36" s="1" t="s">
        <v>130</v>
      </c>
      <c r="F36" s="1">
        <v>2</v>
      </c>
      <c r="G36" s="1">
        <v>2025</v>
      </c>
      <c r="H36" s="1">
        <v>1</v>
      </c>
      <c r="I36" s="1">
        <v>0</v>
      </c>
      <c r="J36" s="1">
        <v>0</v>
      </c>
      <c r="K36" s="18"/>
      <c r="L36" s="18"/>
      <c r="M36" s="18"/>
      <c r="N36" s="18">
        <v>290</v>
      </c>
      <c r="O36" s="18">
        <v>173.92500000000001</v>
      </c>
      <c r="P36" s="18">
        <v>425.42500000000001</v>
      </c>
      <c r="Q36" s="18">
        <v>290</v>
      </c>
      <c r="R36" s="18">
        <v>135.27500000000001</v>
      </c>
      <c r="S36" s="18">
        <v>502.77499999999998</v>
      </c>
      <c r="T36" s="18">
        <v>290</v>
      </c>
      <c r="U36" s="18">
        <v>173.92500000000001</v>
      </c>
      <c r="V36" s="18">
        <v>425.42500000000001</v>
      </c>
      <c r="W36" s="18">
        <v>290</v>
      </c>
      <c r="X36" s="18">
        <v>135.27500000000001</v>
      </c>
      <c r="Y36" s="18">
        <v>502.77499999999998</v>
      </c>
      <c r="Z36" s="18">
        <v>290</v>
      </c>
      <c r="AA36" s="18">
        <v>173.92500000000001</v>
      </c>
      <c r="AB36" s="18">
        <v>425.42500000000001</v>
      </c>
      <c r="AC36" s="18">
        <v>290</v>
      </c>
      <c r="AD36" s="18">
        <v>135.27500000000001</v>
      </c>
      <c r="AE36" s="18">
        <v>502.77499999999998</v>
      </c>
      <c r="AF36" s="18">
        <v>290</v>
      </c>
      <c r="AG36" s="18">
        <v>173.92500000000001</v>
      </c>
      <c r="AH36" s="18">
        <v>425.42500000000001</v>
      </c>
      <c r="AI36" s="18">
        <v>290</v>
      </c>
      <c r="AJ36" s="18">
        <v>135.27500000000001</v>
      </c>
      <c r="AK36" s="18">
        <v>502.77499999999998</v>
      </c>
      <c r="AL36" s="18">
        <v>290</v>
      </c>
      <c r="AM36" s="18">
        <v>173.92500000000001</v>
      </c>
      <c r="AN36" s="18">
        <v>425.42500000000001</v>
      </c>
      <c r="AO36" s="18">
        <v>290</v>
      </c>
      <c r="AP36" s="18">
        <v>135.27500000000001</v>
      </c>
      <c r="AQ36" s="18">
        <v>502.77499999999998</v>
      </c>
      <c r="AR36" s="18">
        <v>290</v>
      </c>
      <c r="AS36" s="18">
        <v>173.92500000000001</v>
      </c>
      <c r="AT36" s="18">
        <v>425.42500000000001</v>
      </c>
      <c r="AU36" s="18">
        <v>290</v>
      </c>
      <c r="AV36" s="18">
        <v>135.27500000000001</v>
      </c>
      <c r="AW36" s="18">
        <v>502.77499999999998</v>
      </c>
      <c r="AX36" s="18">
        <v>290</v>
      </c>
      <c r="AY36" s="18">
        <v>173.92500000000001</v>
      </c>
      <c r="AZ36" s="18">
        <v>425.42500000000001</v>
      </c>
      <c r="BA36" s="18">
        <v>290</v>
      </c>
      <c r="BB36" s="18">
        <v>135.27500000000001</v>
      </c>
      <c r="BC36" s="18">
        <v>502.77499999999998</v>
      </c>
      <c r="BD36" s="18">
        <v>290</v>
      </c>
      <c r="BE36" s="18">
        <v>173.92500000000001</v>
      </c>
      <c r="BF36" s="18">
        <v>425.42500000000001</v>
      </c>
      <c r="BG36" s="18">
        <v>290</v>
      </c>
      <c r="BH36" s="18">
        <v>135.27500000000001</v>
      </c>
      <c r="BI36" s="18">
        <v>502.77499999999998</v>
      </c>
      <c r="BJ36" s="18">
        <v>290</v>
      </c>
      <c r="BK36" s="18">
        <v>173.92500000000001</v>
      </c>
      <c r="BL36" s="18">
        <v>425.42500000000001</v>
      </c>
      <c r="BM36" s="18">
        <v>290</v>
      </c>
      <c r="BN36" s="18">
        <v>135.27500000000001</v>
      </c>
      <c r="BO36" s="18">
        <v>502.77499999999998</v>
      </c>
      <c r="BP36" s="18"/>
      <c r="BQ36" s="18"/>
      <c r="BR36" s="18"/>
      <c r="BS36" s="18"/>
      <c r="BT36" s="10">
        <f>Tabelle58971121[[#This Row],[Mindestauslastung durch]]*Tabelle58971121[[#This Row],[installierte Leistung MW durch]]</f>
        <v>174</v>
      </c>
      <c r="BU36" s="10">
        <f>Tabelle58971121[[#This Row],[Mindestauslastung min]]*Tabelle58971121[[#This Row],[installierte Leistung MW min]]</f>
        <v>115.94999999999999</v>
      </c>
      <c r="BV36" s="10">
        <f>Tabelle58971121[[#This Row],[Mindestauslastung max]]*Tabelle58971121[[#This Row],[installierte Leistung MW max]]</f>
        <v>232.04999999999998</v>
      </c>
      <c r="BW36" s="8">
        <v>0.15</v>
      </c>
      <c r="BX36" s="8">
        <v>0.15</v>
      </c>
      <c r="BY36" s="8">
        <v>0.15</v>
      </c>
      <c r="BZ36" s="8"/>
      <c r="CA36" s="8">
        <v>0.25</v>
      </c>
      <c r="CB36" s="8">
        <v>0.22500000000000001</v>
      </c>
      <c r="CC36" s="8">
        <v>0.27500000000000002</v>
      </c>
      <c r="CD36" s="8">
        <v>0.25</v>
      </c>
      <c r="CE36" s="8">
        <v>0.22500000000000001</v>
      </c>
      <c r="CF36" s="8">
        <v>0.27500000000000002</v>
      </c>
      <c r="CG36" s="8">
        <v>0.25</v>
      </c>
      <c r="CH36" s="8">
        <v>0.22500000000000001</v>
      </c>
      <c r="CI36" s="8">
        <v>0.27500000000000002</v>
      </c>
      <c r="CJ36" s="8">
        <v>0.25</v>
      </c>
      <c r="CK36" s="8">
        <v>0.22500000000000001</v>
      </c>
      <c r="CL36" s="8">
        <v>0.27500000000000002</v>
      </c>
      <c r="CM36" s="8">
        <v>0.25</v>
      </c>
      <c r="CN36" s="8">
        <v>0.22500000000000001</v>
      </c>
      <c r="CO36" s="8">
        <v>0.27500000000000002</v>
      </c>
      <c r="CP36" s="8">
        <v>0.25</v>
      </c>
      <c r="CQ36" s="8">
        <v>0.22500000000000001</v>
      </c>
      <c r="CR36" s="8">
        <v>0.27500000000000002</v>
      </c>
      <c r="CS36" s="8">
        <v>0.25</v>
      </c>
      <c r="CT36" s="8">
        <v>0.22500000000000001</v>
      </c>
      <c r="CU36" s="8">
        <v>0.27500000000000002</v>
      </c>
      <c r="CV36" s="8">
        <v>0.25</v>
      </c>
      <c r="CW36" s="8">
        <v>0.22500000000000001</v>
      </c>
      <c r="CX36" s="8">
        <v>0.27500000000000002</v>
      </c>
      <c r="CY36" s="8">
        <v>0.25</v>
      </c>
      <c r="CZ36" s="8">
        <v>0.22500000000000001</v>
      </c>
      <c r="DA36" s="8">
        <v>0.27500000000000002</v>
      </c>
      <c r="DB36" s="8"/>
      <c r="DC36" s="8"/>
      <c r="DD36" s="8"/>
      <c r="DE36" s="48">
        <f>Tabelle58971121[[#This Row],[Durchschnittsauslastung min]]*Tabelle58971121[[#This Row],[installierte Leistung MW min]]</f>
        <v>0</v>
      </c>
      <c r="DF36" s="48">
        <f>Tabelle58971121[[#This Row],[Durchschnittsauslastung durch]]*Tabelle58971121[[#This Row],[installierte Leistung MW durch]]</f>
        <v>0</v>
      </c>
      <c r="DG36" s="48">
        <f>Tabelle58971121[[#This Row],[Durchschnittsauslastung max]]*Tabelle58971121[[#This Row],[installierte Leistung MW max]]</f>
        <v>0</v>
      </c>
      <c r="DH36" s="87">
        <f>Tabelle58971121[[#This Row],[Maximalauslastung durch]]*Tabelle58971121[[#This Row],[installierte Leistung MW min]]</f>
        <v>386.5</v>
      </c>
      <c r="DI36" s="48">
        <f>Tabelle58971121[[#This Row],[Maximalauslastung durch]]*Tabelle58971121[[#This Row],[installierte Leistung MW durch]]</f>
        <v>580</v>
      </c>
      <c r="DJ36" s="18">
        <f>Tabelle58971121[[#This Row],[Maximalauslastung max]]*Tabelle58971121[[#This Row],[installierte Leistung MW durch]]</f>
        <v>638</v>
      </c>
      <c r="DK36" s="8">
        <v>0.5</v>
      </c>
      <c r="DL36" s="8">
        <v>0.45</v>
      </c>
      <c r="DM36" s="8">
        <v>0.55000000000000004</v>
      </c>
      <c r="DN36" s="1">
        <v>1160</v>
      </c>
      <c r="DO36" s="1">
        <v>773</v>
      </c>
      <c r="DP36" s="1">
        <v>1547</v>
      </c>
      <c r="DQ36" s="18"/>
      <c r="DR36" s="18"/>
      <c r="DW36" s="1">
        <v>5</v>
      </c>
      <c r="DX36" s="1">
        <v>4.5</v>
      </c>
      <c r="DY36" s="1">
        <v>5.5</v>
      </c>
      <c r="DZ36" s="1">
        <v>5</v>
      </c>
      <c r="EA36" s="1">
        <v>4.5</v>
      </c>
      <c r="EB36" s="1">
        <v>5.5</v>
      </c>
      <c r="EC36" s="1">
        <v>24</v>
      </c>
      <c r="EF36" s="1">
        <v>10</v>
      </c>
      <c r="EG36" s="1">
        <v>9</v>
      </c>
      <c r="EH36" s="1">
        <v>11</v>
      </c>
      <c r="EL36" s="1">
        <v>365</v>
      </c>
      <c r="EM36" s="1">
        <v>328</v>
      </c>
      <c r="EN36" s="1">
        <v>402</v>
      </c>
      <c r="EO36" s="10"/>
      <c r="EP36" s="10"/>
      <c r="EQ36" s="10"/>
      <c r="ER36" s="1">
        <v>365</v>
      </c>
      <c r="ES36" s="1">
        <v>328</v>
      </c>
      <c r="ET36" s="1">
        <v>402</v>
      </c>
      <c r="EV36" s="18"/>
      <c r="EW36" s="18"/>
      <c r="EX36" s="18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 t="s">
        <v>1046</v>
      </c>
      <c r="FK36" s="7" t="s">
        <v>1046</v>
      </c>
      <c r="FL36" s="7" t="s">
        <v>1046</v>
      </c>
      <c r="FO36" s="1">
        <v>67</v>
      </c>
      <c r="FP36" s="1">
        <v>67</v>
      </c>
      <c r="FQ36" s="1">
        <v>67</v>
      </c>
      <c r="FR36" s="12" t="s">
        <v>743</v>
      </c>
      <c r="FS36" s="12" t="s">
        <v>743</v>
      </c>
      <c r="FT36" s="12" t="s">
        <v>743</v>
      </c>
      <c r="FU36" s="12"/>
      <c r="FV36" s="12" t="s">
        <v>743</v>
      </c>
      <c r="FW36" s="12" t="s">
        <v>743</v>
      </c>
      <c r="FX36" s="12" t="s">
        <v>743</v>
      </c>
      <c r="FY36" s="12" t="s">
        <v>743</v>
      </c>
      <c r="FZ36" s="12" t="s">
        <v>743</v>
      </c>
      <c r="GA36" s="12" t="s">
        <v>743</v>
      </c>
      <c r="GB36" s="12" t="s">
        <v>743</v>
      </c>
      <c r="GE36" s="12" t="s">
        <v>743</v>
      </c>
      <c r="GF36" s="12" t="s">
        <v>743</v>
      </c>
      <c r="GH36" s="12" t="s">
        <v>743</v>
      </c>
    </row>
    <row r="37" spans="1:190" ht="12.75" customHeight="1" x14ac:dyDescent="0.2">
      <c r="A37" s="1" t="s">
        <v>377</v>
      </c>
      <c r="B37" s="1" t="s">
        <v>681</v>
      </c>
      <c r="E37" s="1" t="s">
        <v>130</v>
      </c>
      <c r="F37" s="1">
        <v>2</v>
      </c>
      <c r="G37" s="1">
        <v>2030</v>
      </c>
      <c r="H37" s="1">
        <v>1</v>
      </c>
      <c r="I37" s="1">
        <v>0</v>
      </c>
      <c r="J37" s="1">
        <v>0</v>
      </c>
      <c r="K37" s="18"/>
      <c r="L37" s="18"/>
      <c r="M37" s="18"/>
      <c r="N37" s="18">
        <v>290</v>
      </c>
      <c r="O37" s="18">
        <v>173.92500000000001</v>
      </c>
      <c r="P37" s="18">
        <v>425.42500000000001</v>
      </c>
      <c r="Q37" s="18">
        <v>290</v>
      </c>
      <c r="R37" s="18">
        <v>135.27500000000001</v>
      </c>
      <c r="S37" s="18">
        <v>502.77499999999998</v>
      </c>
      <c r="T37" s="18">
        <v>290</v>
      </c>
      <c r="U37" s="18">
        <v>173.92500000000001</v>
      </c>
      <c r="V37" s="18">
        <v>425.42500000000001</v>
      </c>
      <c r="W37" s="18">
        <v>290</v>
      </c>
      <c r="X37" s="18">
        <v>135.27500000000001</v>
      </c>
      <c r="Y37" s="18">
        <v>502.77499999999998</v>
      </c>
      <c r="Z37" s="18">
        <v>290</v>
      </c>
      <c r="AA37" s="18">
        <v>173.92500000000001</v>
      </c>
      <c r="AB37" s="18">
        <v>425.42500000000001</v>
      </c>
      <c r="AC37" s="18">
        <v>290</v>
      </c>
      <c r="AD37" s="18">
        <v>135.27500000000001</v>
      </c>
      <c r="AE37" s="18">
        <v>502.77499999999998</v>
      </c>
      <c r="AF37" s="18">
        <v>290</v>
      </c>
      <c r="AG37" s="18">
        <v>173.92500000000001</v>
      </c>
      <c r="AH37" s="18">
        <v>425.42500000000001</v>
      </c>
      <c r="AI37" s="18">
        <v>290</v>
      </c>
      <c r="AJ37" s="18">
        <v>135.27500000000001</v>
      </c>
      <c r="AK37" s="18">
        <v>502.77499999999998</v>
      </c>
      <c r="AL37" s="18">
        <v>290</v>
      </c>
      <c r="AM37" s="18">
        <v>173.92500000000001</v>
      </c>
      <c r="AN37" s="18">
        <v>425.42500000000001</v>
      </c>
      <c r="AO37" s="18">
        <v>290</v>
      </c>
      <c r="AP37" s="18">
        <v>135.27500000000001</v>
      </c>
      <c r="AQ37" s="18">
        <v>502.77499999999998</v>
      </c>
      <c r="AR37" s="18">
        <v>290</v>
      </c>
      <c r="AS37" s="18">
        <v>173.92500000000001</v>
      </c>
      <c r="AT37" s="18">
        <v>425.42500000000001</v>
      </c>
      <c r="AU37" s="18">
        <v>290</v>
      </c>
      <c r="AV37" s="18">
        <v>135.27500000000001</v>
      </c>
      <c r="AW37" s="18">
        <v>502.77499999999998</v>
      </c>
      <c r="AX37" s="18">
        <v>290</v>
      </c>
      <c r="AY37" s="18">
        <v>173.92500000000001</v>
      </c>
      <c r="AZ37" s="18">
        <v>425.42500000000001</v>
      </c>
      <c r="BA37" s="18">
        <v>290</v>
      </c>
      <c r="BB37" s="18">
        <v>135.27500000000001</v>
      </c>
      <c r="BC37" s="18">
        <v>502.77499999999998</v>
      </c>
      <c r="BD37" s="18">
        <v>290</v>
      </c>
      <c r="BE37" s="18">
        <v>173.92500000000001</v>
      </c>
      <c r="BF37" s="18">
        <v>425.42500000000001</v>
      </c>
      <c r="BG37" s="18">
        <v>290</v>
      </c>
      <c r="BH37" s="18">
        <v>135.27500000000001</v>
      </c>
      <c r="BI37" s="18">
        <v>502.77499999999998</v>
      </c>
      <c r="BJ37" s="18">
        <v>290</v>
      </c>
      <c r="BK37" s="18">
        <v>173.92500000000001</v>
      </c>
      <c r="BL37" s="18">
        <v>425.42500000000001</v>
      </c>
      <c r="BM37" s="18">
        <v>290</v>
      </c>
      <c r="BN37" s="18">
        <v>135.27500000000001</v>
      </c>
      <c r="BO37" s="18">
        <v>502.77499999999998</v>
      </c>
      <c r="BP37" s="18"/>
      <c r="BQ37" s="18"/>
      <c r="BR37" s="18"/>
      <c r="BS37" s="18"/>
      <c r="BT37" s="10">
        <f>Tabelle58971121[[#This Row],[Mindestauslastung durch]]*Tabelle58971121[[#This Row],[installierte Leistung MW durch]]</f>
        <v>174</v>
      </c>
      <c r="BU37" s="10">
        <f>Tabelle58971121[[#This Row],[Mindestauslastung min]]*Tabelle58971121[[#This Row],[installierte Leistung MW min]]</f>
        <v>115.94999999999999</v>
      </c>
      <c r="BV37" s="10">
        <f>Tabelle58971121[[#This Row],[Mindestauslastung max]]*Tabelle58971121[[#This Row],[installierte Leistung MW max]]</f>
        <v>232.04999999999998</v>
      </c>
      <c r="BW37" s="8">
        <v>0.15</v>
      </c>
      <c r="BX37" s="8">
        <v>0.15</v>
      </c>
      <c r="BY37" s="8">
        <v>0.15</v>
      </c>
      <c r="BZ37" s="8"/>
      <c r="CA37" s="8">
        <v>0.25</v>
      </c>
      <c r="CB37" s="8">
        <v>0.22500000000000001</v>
      </c>
      <c r="CC37" s="8">
        <v>0.27500000000000002</v>
      </c>
      <c r="CD37" s="8">
        <v>0.25</v>
      </c>
      <c r="CE37" s="8">
        <v>0.22500000000000001</v>
      </c>
      <c r="CF37" s="8">
        <v>0.27500000000000002</v>
      </c>
      <c r="CG37" s="8">
        <v>0.25</v>
      </c>
      <c r="CH37" s="8">
        <v>0.22500000000000001</v>
      </c>
      <c r="CI37" s="8">
        <v>0.27500000000000002</v>
      </c>
      <c r="CJ37" s="8">
        <v>0.25</v>
      </c>
      <c r="CK37" s="8">
        <v>0.22500000000000001</v>
      </c>
      <c r="CL37" s="8">
        <v>0.27500000000000002</v>
      </c>
      <c r="CM37" s="8">
        <v>0.25</v>
      </c>
      <c r="CN37" s="8">
        <v>0.22500000000000001</v>
      </c>
      <c r="CO37" s="8">
        <v>0.27500000000000002</v>
      </c>
      <c r="CP37" s="8">
        <v>0.25</v>
      </c>
      <c r="CQ37" s="8">
        <v>0.22500000000000001</v>
      </c>
      <c r="CR37" s="8">
        <v>0.27500000000000002</v>
      </c>
      <c r="CS37" s="8">
        <v>0.25</v>
      </c>
      <c r="CT37" s="8">
        <v>0.22500000000000001</v>
      </c>
      <c r="CU37" s="8">
        <v>0.27500000000000002</v>
      </c>
      <c r="CV37" s="8">
        <v>0.25</v>
      </c>
      <c r="CW37" s="8">
        <v>0.22500000000000001</v>
      </c>
      <c r="CX37" s="8">
        <v>0.27500000000000002</v>
      </c>
      <c r="CY37" s="8">
        <v>0.25</v>
      </c>
      <c r="CZ37" s="8">
        <v>0.22500000000000001</v>
      </c>
      <c r="DA37" s="8">
        <v>0.27500000000000002</v>
      </c>
      <c r="DB37" s="8"/>
      <c r="DC37" s="8"/>
      <c r="DD37" s="8"/>
      <c r="DE37" s="48">
        <f>Tabelle58971121[[#This Row],[Durchschnittsauslastung min]]*Tabelle58971121[[#This Row],[installierte Leistung MW min]]</f>
        <v>0</v>
      </c>
      <c r="DF37" s="48">
        <f>Tabelle58971121[[#This Row],[Durchschnittsauslastung durch]]*Tabelle58971121[[#This Row],[installierte Leistung MW durch]]</f>
        <v>0</v>
      </c>
      <c r="DG37" s="48">
        <f>Tabelle58971121[[#This Row],[Durchschnittsauslastung max]]*Tabelle58971121[[#This Row],[installierte Leistung MW max]]</f>
        <v>0</v>
      </c>
      <c r="DH37" s="87">
        <f>Tabelle58971121[[#This Row],[Maximalauslastung durch]]*Tabelle58971121[[#This Row],[installierte Leistung MW min]]</f>
        <v>386.5</v>
      </c>
      <c r="DI37" s="48">
        <f>Tabelle58971121[[#This Row],[Maximalauslastung durch]]*Tabelle58971121[[#This Row],[installierte Leistung MW durch]]</f>
        <v>580</v>
      </c>
      <c r="DJ37" s="18">
        <f>Tabelle58971121[[#This Row],[Maximalauslastung max]]*Tabelle58971121[[#This Row],[installierte Leistung MW durch]]</f>
        <v>638</v>
      </c>
      <c r="DK37" s="8">
        <v>0.5</v>
      </c>
      <c r="DL37" s="8">
        <v>0.45</v>
      </c>
      <c r="DM37" s="8">
        <v>0.55000000000000004</v>
      </c>
      <c r="DN37" s="1">
        <v>1160</v>
      </c>
      <c r="DO37" s="1">
        <v>773</v>
      </c>
      <c r="DP37" s="1">
        <v>1547</v>
      </c>
      <c r="DQ37" s="18"/>
      <c r="DR37" s="18"/>
      <c r="DW37" s="1">
        <v>5</v>
      </c>
      <c r="DX37" s="1">
        <v>4.5</v>
      </c>
      <c r="DY37" s="1">
        <v>5.5</v>
      </c>
      <c r="DZ37" s="1">
        <v>5</v>
      </c>
      <c r="EA37" s="1">
        <v>4.5</v>
      </c>
      <c r="EB37" s="1">
        <v>5.5</v>
      </c>
      <c r="EC37" s="1">
        <v>24</v>
      </c>
      <c r="EF37" s="1">
        <v>10</v>
      </c>
      <c r="EG37" s="1">
        <v>9</v>
      </c>
      <c r="EH37" s="1">
        <v>11</v>
      </c>
      <c r="EL37" s="1">
        <v>365</v>
      </c>
      <c r="EM37" s="1">
        <v>328</v>
      </c>
      <c r="EN37" s="1">
        <v>402</v>
      </c>
      <c r="EO37" s="10"/>
      <c r="EP37" s="10"/>
      <c r="EQ37" s="10"/>
      <c r="ER37" s="1">
        <v>365</v>
      </c>
      <c r="ES37" s="1">
        <v>328</v>
      </c>
      <c r="ET37" s="1">
        <v>402</v>
      </c>
      <c r="EV37" s="18"/>
      <c r="EW37" s="18"/>
      <c r="EX37" s="18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 t="s">
        <v>1046</v>
      </c>
      <c r="FK37" s="7" t="s">
        <v>1046</v>
      </c>
      <c r="FL37" s="7" t="s">
        <v>1046</v>
      </c>
      <c r="FO37" s="1">
        <v>67</v>
      </c>
      <c r="FP37" s="1">
        <v>67</v>
      </c>
      <c r="FQ37" s="1">
        <v>67</v>
      </c>
      <c r="FR37" s="12" t="s">
        <v>743</v>
      </c>
      <c r="FS37" s="12" t="s">
        <v>743</v>
      </c>
      <c r="FT37" s="12" t="s">
        <v>743</v>
      </c>
      <c r="FU37" s="12"/>
      <c r="FV37" s="12" t="s">
        <v>743</v>
      </c>
      <c r="FW37" s="12" t="s">
        <v>743</v>
      </c>
      <c r="FX37" s="12" t="s">
        <v>743</v>
      </c>
      <c r="FY37" s="12" t="s">
        <v>743</v>
      </c>
      <c r="FZ37" s="12" t="s">
        <v>743</v>
      </c>
      <c r="GA37" s="12" t="s">
        <v>743</v>
      </c>
      <c r="GB37" s="12" t="s">
        <v>743</v>
      </c>
      <c r="GE37" s="12" t="s">
        <v>743</v>
      </c>
      <c r="GF37" s="12" t="s">
        <v>743</v>
      </c>
      <c r="GH37" s="12" t="s">
        <v>743</v>
      </c>
    </row>
    <row r="38" spans="1:190" ht="12.75" customHeight="1" x14ac:dyDescent="0.2">
      <c r="A38" s="1" t="s">
        <v>377</v>
      </c>
      <c r="B38" s="1" t="s">
        <v>681</v>
      </c>
      <c r="E38" s="1" t="s">
        <v>130</v>
      </c>
      <c r="F38" s="1">
        <v>2</v>
      </c>
      <c r="G38" s="1">
        <v>2035</v>
      </c>
      <c r="H38" s="1">
        <v>1</v>
      </c>
      <c r="I38" s="1">
        <v>0</v>
      </c>
      <c r="J38" s="1">
        <v>0</v>
      </c>
      <c r="K38" s="18"/>
      <c r="L38" s="18"/>
      <c r="M38" s="18"/>
      <c r="N38" s="18">
        <v>290</v>
      </c>
      <c r="O38" s="18">
        <v>173.92500000000001</v>
      </c>
      <c r="P38" s="18">
        <v>425.42500000000001</v>
      </c>
      <c r="Q38" s="18">
        <v>290</v>
      </c>
      <c r="R38" s="18">
        <v>135.27500000000001</v>
      </c>
      <c r="S38" s="18">
        <v>502.77499999999998</v>
      </c>
      <c r="T38" s="18">
        <v>290</v>
      </c>
      <c r="U38" s="18">
        <v>173.92500000000001</v>
      </c>
      <c r="V38" s="18">
        <v>425.42500000000001</v>
      </c>
      <c r="W38" s="18">
        <v>290</v>
      </c>
      <c r="X38" s="18">
        <v>135.27500000000001</v>
      </c>
      <c r="Y38" s="18">
        <v>502.77499999999998</v>
      </c>
      <c r="Z38" s="18">
        <v>290</v>
      </c>
      <c r="AA38" s="18">
        <v>173.92500000000001</v>
      </c>
      <c r="AB38" s="18">
        <v>425.42500000000001</v>
      </c>
      <c r="AC38" s="18">
        <v>290</v>
      </c>
      <c r="AD38" s="18">
        <v>135.27500000000001</v>
      </c>
      <c r="AE38" s="18">
        <v>502.77499999999998</v>
      </c>
      <c r="AF38" s="18">
        <v>290</v>
      </c>
      <c r="AG38" s="18">
        <v>173.92500000000001</v>
      </c>
      <c r="AH38" s="18">
        <v>425.42500000000001</v>
      </c>
      <c r="AI38" s="18">
        <v>290</v>
      </c>
      <c r="AJ38" s="18">
        <v>135.27500000000001</v>
      </c>
      <c r="AK38" s="18">
        <v>502.77499999999998</v>
      </c>
      <c r="AL38" s="18">
        <v>290</v>
      </c>
      <c r="AM38" s="18">
        <v>173.92500000000001</v>
      </c>
      <c r="AN38" s="18">
        <v>425.42500000000001</v>
      </c>
      <c r="AO38" s="18">
        <v>290</v>
      </c>
      <c r="AP38" s="18">
        <v>135.27500000000001</v>
      </c>
      <c r="AQ38" s="18">
        <v>502.77499999999998</v>
      </c>
      <c r="AR38" s="18">
        <v>290</v>
      </c>
      <c r="AS38" s="18">
        <v>173.92500000000001</v>
      </c>
      <c r="AT38" s="18">
        <v>425.42500000000001</v>
      </c>
      <c r="AU38" s="18">
        <v>290</v>
      </c>
      <c r="AV38" s="18">
        <v>135.27500000000001</v>
      </c>
      <c r="AW38" s="18">
        <v>502.77499999999998</v>
      </c>
      <c r="AX38" s="18">
        <v>290</v>
      </c>
      <c r="AY38" s="18">
        <v>173.92500000000001</v>
      </c>
      <c r="AZ38" s="18">
        <v>425.42500000000001</v>
      </c>
      <c r="BA38" s="18">
        <v>290</v>
      </c>
      <c r="BB38" s="18">
        <v>135.27500000000001</v>
      </c>
      <c r="BC38" s="18">
        <v>502.77499999999998</v>
      </c>
      <c r="BD38" s="18">
        <v>290</v>
      </c>
      <c r="BE38" s="18">
        <v>173.92500000000001</v>
      </c>
      <c r="BF38" s="18">
        <v>425.42500000000001</v>
      </c>
      <c r="BG38" s="18">
        <v>290</v>
      </c>
      <c r="BH38" s="18">
        <v>135.27500000000001</v>
      </c>
      <c r="BI38" s="18">
        <v>502.77499999999998</v>
      </c>
      <c r="BJ38" s="18">
        <v>290</v>
      </c>
      <c r="BK38" s="18">
        <v>173.92500000000001</v>
      </c>
      <c r="BL38" s="18">
        <v>425.42500000000001</v>
      </c>
      <c r="BM38" s="18">
        <v>290</v>
      </c>
      <c r="BN38" s="18">
        <v>135.27500000000001</v>
      </c>
      <c r="BO38" s="18">
        <v>502.77499999999998</v>
      </c>
      <c r="BP38" s="18"/>
      <c r="BQ38" s="18"/>
      <c r="BR38" s="18"/>
      <c r="BS38" s="18"/>
      <c r="BT38" s="10">
        <f>Tabelle58971121[[#This Row],[Mindestauslastung durch]]*Tabelle58971121[[#This Row],[installierte Leistung MW durch]]</f>
        <v>174</v>
      </c>
      <c r="BU38" s="10">
        <f>Tabelle58971121[[#This Row],[Mindestauslastung min]]*Tabelle58971121[[#This Row],[installierte Leistung MW min]]</f>
        <v>115.94999999999999</v>
      </c>
      <c r="BV38" s="10">
        <f>Tabelle58971121[[#This Row],[Mindestauslastung max]]*Tabelle58971121[[#This Row],[installierte Leistung MW max]]</f>
        <v>232.04999999999998</v>
      </c>
      <c r="BW38" s="8">
        <v>0.15</v>
      </c>
      <c r="BX38" s="8">
        <v>0.15</v>
      </c>
      <c r="BY38" s="8">
        <v>0.15</v>
      </c>
      <c r="BZ38" s="8"/>
      <c r="CA38" s="8">
        <v>0.25</v>
      </c>
      <c r="CB38" s="8">
        <v>0.22500000000000001</v>
      </c>
      <c r="CC38" s="8">
        <v>0.27500000000000002</v>
      </c>
      <c r="CD38" s="8">
        <v>0.25</v>
      </c>
      <c r="CE38" s="8">
        <v>0.22500000000000001</v>
      </c>
      <c r="CF38" s="8">
        <v>0.27500000000000002</v>
      </c>
      <c r="CG38" s="8">
        <v>0.25</v>
      </c>
      <c r="CH38" s="8">
        <v>0.22500000000000001</v>
      </c>
      <c r="CI38" s="8">
        <v>0.27500000000000002</v>
      </c>
      <c r="CJ38" s="8">
        <v>0.25</v>
      </c>
      <c r="CK38" s="8">
        <v>0.22500000000000001</v>
      </c>
      <c r="CL38" s="8">
        <v>0.27500000000000002</v>
      </c>
      <c r="CM38" s="8">
        <v>0.25</v>
      </c>
      <c r="CN38" s="8">
        <v>0.22500000000000001</v>
      </c>
      <c r="CO38" s="8">
        <v>0.27500000000000002</v>
      </c>
      <c r="CP38" s="8">
        <v>0.25</v>
      </c>
      <c r="CQ38" s="8">
        <v>0.22500000000000001</v>
      </c>
      <c r="CR38" s="8">
        <v>0.27500000000000002</v>
      </c>
      <c r="CS38" s="8">
        <v>0.25</v>
      </c>
      <c r="CT38" s="8">
        <v>0.22500000000000001</v>
      </c>
      <c r="CU38" s="8">
        <v>0.27500000000000002</v>
      </c>
      <c r="CV38" s="8">
        <v>0.25</v>
      </c>
      <c r="CW38" s="8">
        <v>0.22500000000000001</v>
      </c>
      <c r="CX38" s="8">
        <v>0.27500000000000002</v>
      </c>
      <c r="CY38" s="8">
        <v>0.25</v>
      </c>
      <c r="CZ38" s="8">
        <v>0.22500000000000001</v>
      </c>
      <c r="DA38" s="8">
        <v>0.27500000000000002</v>
      </c>
      <c r="DB38" s="8"/>
      <c r="DC38" s="8"/>
      <c r="DD38" s="8"/>
      <c r="DE38" s="48">
        <f>Tabelle58971121[[#This Row],[Durchschnittsauslastung min]]*Tabelle58971121[[#This Row],[installierte Leistung MW min]]</f>
        <v>0</v>
      </c>
      <c r="DF38" s="48">
        <f>Tabelle58971121[[#This Row],[Durchschnittsauslastung durch]]*Tabelle58971121[[#This Row],[installierte Leistung MW durch]]</f>
        <v>0</v>
      </c>
      <c r="DG38" s="48">
        <f>Tabelle58971121[[#This Row],[Durchschnittsauslastung max]]*Tabelle58971121[[#This Row],[installierte Leistung MW max]]</f>
        <v>0</v>
      </c>
      <c r="DH38" s="87">
        <f>Tabelle58971121[[#This Row],[Maximalauslastung durch]]*Tabelle58971121[[#This Row],[installierte Leistung MW min]]</f>
        <v>386.5</v>
      </c>
      <c r="DI38" s="48">
        <f>Tabelle58971121[[#This Row],[Maximalauslastung durch]]*Tabelle58971121[[#This Row],[installierte Leistung MW durch]]</f>
        <v>580</v>
      </c>
      <c r="DJ38" s="18">
        <f>Tabelle58971121[[#This Row],[Maximalauslastung max]]*Tabelle58971121[[#This Row],[installierte Leistung MW durch]]</f>
        <v>638</v>
      </c>
      <c r="DK38" s="8">
        <v>0.5</v>
      </c>
      <c r="DL38" s="8">
        <v>0.45</v>
      </c>
      <c r="DM38" s="8">
        <v>0.55000000000000004</v>
      </c>
      <c r="DN38" s="1">
        <v>1160</v>
      </c>
      <c r="DO38" s="1">
        <v>773</v>
      </c>
      <c r="DP38" s="1">
        <v>1547</v>
      </c>
      <c r="DQ38" s="18"/>
      <c r="DR38" s="18"/>
      <c r="DW38" s="1">
        <v>5</v>
      </c>
      <c r="DX38" s="1">
        <v>4.5</v>
      </c>
      <c r="DY38" s="1">
        <v>5.5</v>
      </c>
      <c r="DZ38" s="1">
        <v>5</v>
      </c>
      <c r="EA38" s="1">
        <v>4.5</v>
      </c>
      <c r="EB38" s="1">
        <v>5.5</v>
      </c>
      <c r="EC38" s="1">
        <v>24</v>
      </c>
      <c r="EF38" s="1">
        <v>10</v>
      </c>
      <c r="EG38" s="1">
        <v>9</v>
      </c>
      <c r="EH38" s="1">
        <v>11</v>
      </c>
      <c r="EL38" s="1">
        <v>365</v>
      </c>
      <c r="EM38" s="1">
        <v>328</v>
      </c>
      <c r="EN38" s="1">
        <v>402</v>
      </c>
      <c r="EO38" s="10"/>
      <c r="EP38" s="10"/>
      <c r="EQ38" s="10"/>
      <c r="ER38" s="1">
        <v>365</v>
      </c>
      <c r="ES38" s="1">
        <v>328</v>
      </c>
      <c r="ET38" s="1">
        <v>402</v>
      </c>
      <c r="EV38" s="18"/>
      <c r="EW38" s="18"/>
      <c r="EX38" s="18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 t="s">
        <v>1046</v>
      </c>
      <c r="FK38" s="7" t="s">
        <v>1046</v>
      </c>
      <c r="FL38" s="7" t="s">
        <v>1046</v>
      </c>
      <c r="FO38" s="1">
        <v>67</v>
      </c>
      <c r="FP38" s="1">
        <v>67</v>
      </c>
      <c r="FQ38" s="1">
        <v>67</v>
      </c>
      <c r="FR38" s="12" t="s">
        <v>743</v>
      </c>
      <c r="FS38" s="12" t="s">
        <v>743</v>
      </c>
      <c r="FT38" s="12" t="s">
        <v>743</v>
      </c>
      <c r="FU38" s="12"/>
      <c r="FV38" s="12" t="s">
        <v>743</v>
      </c>
      <c r="FW38" s="12" t="s">
        <v>743</v>
      </c>
      <c r="FX38" s="12" t="s">
        <v>743</v>
      </c>
      <c r="FY38" s="12" t="s">
        <v>743</v>
      </c>
      <c r="FZ38" s="12" t="s">
        <v>743</v>
      </c>
      <c r="GA38" s="12" t="s">
        <v>743</v>
      </c>
      <c r="GB38" s="12" t="s">
        <v>743</v>
      </c>
      <c r="GE38" s="12" t="s">
        <v>743</v>
      </c>
      <c r="GF38" s="12" t="s">
        <v>743</v>
      </c>
      <c r="GH38" s="12" t="s">
        <v>743</v>
      </c>
    </row>
    <row r="39" spans="1:190" ht="12.75" customHeight="1" x14ac:dyDescent="0.2">
      <c r="A39" s="1" t="s">
        <v>377</v>
      </c>
      <c r="B39" s="1" t="s">
        <v>681</v>
      </c>
      <c r="E39" s="1" t="s">
        <v>130</v>
      </c>
      <c r="F39" s="1">
        <v>2</v>
      </c>
      <c r="G39" s="1">
        <v>2040</v>
      </c>
      <c r="H39" s="1">
        <v>1</v>
      </c>
      <c r="I39" s="1">
        <v>0</v>
      </c>
      <c r="J39" s="1">
        <v>0</v>
      </c>
      <c r="K39" s="18"/>
      <c r="L39" s="18"/>
      <c r="M39" s="18"/>
      <c r="N39" s="18">
        <v>290</v>
      </c>
      <c r="O39" s="18">
        <v>173.92500000000001</v>
      </c>
      <c r="P39" s="18">
        <v>425.42500000000001</v>
      </c>
      <c r="Q39" s="18">
        <v>290</v>
      </c>
      <c r="R39" s="18">
        <v>135.27500000000001</v>
      </c>
      <c r="S39" s="18">
        <v>502.77499999999998</v>
      </c>
      <c r="T39" s="18">
        <v>290</v>
      </c>
      <c r="U39" s="18">
        <v>173.92500000000001</v>
      </c>
      <c r="V39" s="18">
        <v>425.42500000000001</v>
      </c>
      <c r="W39" s="18">
        <v>290</v>
      </c>
      <c r="X39" s="18">
        <v>135.27500000000001</v>
      </c>
      <c r="Y39" s="18">
        <v>502.77499999999998</v>
      </c>
      <c r="Z39" s="18">
        <v>290</v>
      </c>
      <c r="AA39" s="18">
        <v>173.92500000000001</v>
      </c>
      <c r="AB39" s="18">
        <v>425.42500000000001</v>
      </c>
      <c r="AC39" s="18">
        <v>290</v>
      </c>
      <c r="AD39" s="18">
        <v>135.27500000000001</v>
      </c>
      <c r="AE39" s="18">
        <v>502.77499999999998</v>
      </c>
      <c r="AF39" s="18">
        <v>290</v>
      </c>
      <c r="AG39" s="18">
        <v>173.92500000000001</v>
      </c>
      <c r="AH39" s="18">
        <v>425.42500000000001</v>
      </c>
      <c r="AI39" s="18">
        <v>290</v>
      </c>
      <c r="AJ39" s="18">
        <v>135.27500000000001</v>
      </c>
      <c r="AK39" s="18">
        <v>502.77499999999998</v>
      </c>
      <c r="AL39" s="18">
        <v>290</v>
      </c>
      <c r="AM39" s="18">
        <v>173.92500000000001</v>
      </c>
      <c r="AN39" s="18">
        <v>425.42500000000001</v>
      </c>
      <c r="AO39" s="18">
        <v>290</v>
      </c>
      <c r="AP39" s="18">
        <v>135.27500000000001</v>
      </c>
      <c r="AQ39" s="18">
        <v>502.77499999999998</v>
      </c>
      <c r="AR39" s="18">
        <v>290</v>
      </c>
      <c r="AS39" s="18">
        <v>173.92500000000001</v>
      </c>
      <c r="AT39" s="18">
        <v>425.42500000000001</v>
      </c>
      <c r="AU39" s="18">
        <v>290</v>
      </c>
      <c r="AV39" s="18">
        <v>135.27500000000001</v>
      </c>
      <c r="AW39" s="18">
        <v>502.77499999999998</v>
      </c>
      <c r="AX39" s="18">
        <v>290</v>
      </c>
      <c r="AY39" s="18">
        <v>173.92500000000001</v>
      </c>
      <c r="AZ39" s="18">
        <v>425.42500000000001</v>
      </c>
      <c r="BA39" s="18">
        <v>290</v>
      </c>
      <c r="BB39" s="18">
        <v>135.27500000000001</v>
      </c>
      <c r="BC39" s="18">
        <v>502.77499999999998</v>
      </c>
      <c r="BD39" s="18">
        <v>290</v>
      </c>
      <c r="BE39" s="18">
        <v>173.92500000000001</v>
      </c>
      <c r="BF39" s="18">
        <v>425.42500000000001</v>
      </c>
      <c r="BG39" s="18">
        <v>290</v>
      </c>
      <c r="BH39" s="18">
        <v>135.27500000000001</v>
      </c>
      <c r="BI39" s="18">
        <v>502.77499999999998</v>
      </c>
      <c r="BJ39" s="18">
        <v>290</v>
      </c>
      <c r="BK39" s="18">
        <v>173.92500000000001</v>
      </c>
      <c r="BL39" s="18">
        <v>425.42500000000001</v>
      </c>
      <c r="BM39" s="18">
        <v>290</v>
      </c>
      <c r="BN39" s="18">
        <v>135.27500000000001</v>
      </c>
      <c r="BO39" s="18">
        <v>502.77499999999998</v>
      </c>
      <c r="BP39" s="18"/>
      <c r="BQ39" s="18"/>
      <c r="BR39" s="18"/>
      <c r="BS39" s="18"/>
      <c r="BT39" s="10">
        <f>Tabelle58971121[[#This Row],[Mindestauslastung durch]]*Tabelle58971121[[#This Row],[installierte Leistung MW durch]]</f>
        <v>174</v>
      </c>
      <c r="BU39" s="10">
        <f>Tabelle58971121[[#This Row],[Mindestauslastung min]]*Tabelle58971121[[#This Row],[installierte Leistung MW min]]</f>
        <v>115.94999999999999</v>
      </c>
      <c r="BV39" s="10">
        <f>Tabelle58971121[[#This Row],[Mindestauslastung max]]*Tabelle58971121[[#This Row],[installierte Leistung MW max]]</f>
        <v>232.04999999999998</v>
      </c>
      <c r="BW39" s="8">
        <v>0.15</v>
      </c>
      <c r="BX39" s="8">
        <v>0.15</v>
      </c>
      <c r="BY39" s="8">
        <v>0.15</v>
      </c>
      <c r="BZ39" s="8"/>
      <c r="CA39" s="8">
        <v>0.25</v>
      </c>
      <c r="CB39" s="8">
        <v>0.22500000000000001</v>
      </c>
      <c r="CC39" s="8">
        <v>0.27500000000000002</v>
      </c>
      <c r="CD39" s="8">
        <v>0.25</v>
      </c>
      <c r="CE39" s="8">
        <v>0.22500000000000001</v>
      </c>
      <c r="CF39" s="8">
        <v>0.27500000000000002</v>
      </c>
      <c r="CG39" s="8">
        <v>0.25</v>
      </c>
      <c r="CH39" s="8">
        <v>0.22500000000000001</v>
      </c>
      <c r="CI39" s="8">
        <v>0.27500000000000002</v>
      </c>
      <c r="CJ39" s="8">
        <v>0.25</v>
      </c>
      <c r="CK39" s="8">
        <v>0.22500000000000001</v>
      </c>
      <c r="CL39" s="8">
        <v>0.27500000000000002</v>
      </c>
      <c r="CM39" s="8">
        <v>0.25</v>
      </c>
      <c r="CN39" s="8">
        <v>0.22500000000000001</v>
      </c>
      <c r="CO39" s="8">
        <v>0.27500000000000002</v>
      </c>
      <c r="CP39" s="8">
        <v>0.25</v>
      </c>
      <c r="CQ39" s="8">
        <v>0.22500000000000001</v>
      </c>
      <c r="CR39" s="8">
        <v>0.27500000000000002</v>
      </c>
      <c r="CS39" s="8">
        <v>0.25</v>
      </c>
      <c r="CT39" s="8">
        <v>0.22500000000000001</v>
      </c>
      <c r="CU39" s="8">
        <v>0.27500000000000002</v>
      </c>
      <c r="CV39" s="8">
        <v>0.25</v>
      </c>
      <c r="CW39" s="8">
        <v>0.22500000000000001</v>
      </c>
      <c r="CX39" s="8">
        <v>0.27500000000000002</v>
      </c>
      <c r="CY39" s="8">
        <v>0.25</v>
      </c>
      <c r="CZ39" s="8">
        <v>0.22500000000000001</v>
      </c>
      <c r="DA39" s="8">
        <v>0.27500000000000002</v>
      </c>
      <c r="DB39" s="8"/>
      <c r="DC39" s="8"/>
      <c r="DD39" s="8"/>
      <c r="DE39" s="48">
        <f>Tabelle58971121[[#This Row],[Durchschnittsauslastung min]]*Tabelle58971121[[#This Row],[installierte Leistung MW min]]</f>
        <v>0</v>
      </c>
      <c r="DF39" s="48">
        <f>Tabelle58971121[[#This Row],[Durchschnittsauslastung durch]]*Tabelle58971121[[#This Row],[installierte Leistung MW durch]]</f>
        <v>0</v>
      </c>
      <c r="DG39" s="48">
        <f>Tabelle58971121[[#This Row],[Durchschnittsauslastung max]]*Tabelle58971121[[#This Row],[installierte Leistung MW max]]</f>
        <v>0</v>
      </c>
      <c r="DH39" s="87">
        <f>Tabelle58971121[[#This Row],[Maximalauslastung durch]]*Tabelle58971121[[#This Row],[installierte Leistung MW min]]</f>
        <v>386.5</v>
      </c>
      <c r="DI39" s="48">
        <f>Tabelle58971121[[#This Row],[Maximalauslastung durch]]*Tabelle58971121[[#This Row],[installierte Leistung MW durch]]</f>
        <v>580</v>
      </c>
      <c r="DJ39" s="18">
        <f>Tabelle58971121[[#This Row],[Maximalauslastung max]]*Tabelle58971121[[#This Row],[installierte Leistung MW durch]]</f>
        <v>638</v>
      </c>
      <c r="DK39" s="8">
        <v>0.5</v>
      </c>
      <c r="DL39" s="8">
        <v>0.45</v>
      </c>
      <c r="DM39" s="8">
        <v>0.55000000000000004</v>
      </c>
      <c r="DN39" s="1">
        <v>1160</v>
      </c>
      <c r="DO39" s="1">
        <v>773</v>
      </c>
      <c r="DP39" s="1">
        <v>1547</v>
      </c>
      <c r="DQ39" s="18"/>
      <c r="DR39" s="18"/>
      <c r="DW39" s="1">
        <v>5</v>
      </c>
      <c r="DX39" s="1">
        <v>4.5</v>
      </c>
      <c r="DY39" s="1">
        <v>5.5</v>
      </c>
      <c r="DZ39" s="1">
        <v>5</v>
      </c>
      <c r="EA39" s="1">
        <v>4.5</v>
      </c>
      <c r="EB39" s="1">
        <v>5.5</v>
      </c>
      <c r="EC39" s="1">
        <v>24</v>
      </c>
      <c r="EF39" s="1">
        <v>10</v>
      </c>
      <c r="EG39" s="1">
        <v>9</v>
      </c>
      <c r="EH39" s="1">
        <v>11</v>
      </c>
      <c r="EL39" s="1">
        <v>365</v>
      </c>
      <c r="EM39" s="1">
        <v>328</v>
      </c>
      <c r="EN39" s="1">
        <v>402</v>
      </c>
      <c r="EO39" s="10"/>
      <c r="EP39" s="10"/>
      <c r="EQ39" s="10"/>
      <c r="ER39" s="1">
        <v>365</v>
      </c>
      <c r="ES39" s="1">
        <v>328</v>
      </c>
      <c r="ET39" s="1">
        <v>402</v>
      </c>
      <c r="EV39" s="18"/>
      <c r="EW39" s="18"/>
      <c r="EX39" s="18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 t="s">
        <v>1046</v>
      </c>
      <c r="FK39" s="7" t="s">
        <v>1046</v>
      </c>
      <c r="FL39" s="7" t="s">
        <v>1046</v>
      </c>
      <c r="FO39" s="1">
        <v>67</v>
      </c>
      <c r="FP39" s="1">
        <v>67</v>
      </c>
      <c r="FQ39" s="1">
        <v>67</v>
      </c>
      <c r="FR39" s="12" t="s">
        <v>743</v>
      </c>
      <c r="FS39" s="12" t="s">
        <v>743</v>
      </c>
      <c r="FT39" s="12" t="s">
        <v>743</v>
      </c>
      <c r="FU39" s="12"/>
      <c r="FV39" s="12" t="s">
        <v>743</v>
      </c>
      <c r="FW39" s="12" t="s">
        <v>743</v>
      </c>
      <c r="FX39" s="12" t="s">
        <v>743</v>
      </c>
      <c r="FY39" s="12" t="s">
        <v>743</v>
      </c>
      <c r="FZ39" s="12" t="s">
        <v>743</v>
      </c>
      <c r="GA39" s="12" t="s">
        <v>743</v>
      </c>
      <c r="GB39" s="12" t="s">
        <v>743</v>
      </c>
      <c r="GE39" s="12" t="s">
        <v>743</v>
      </c>
      <c r="GF39" s="12" t="s">
        <v>743</v>
      </c>
      <c r="GH39" s="12" t="s">
        <v>743</v>
      </c>
    </row>
    <row r="40" spans="1:190" ht="12.75" customHeight="1" x14ac:dyDescent="0.2">
      <c r="A40" s="1" t="s">
        <v>377</v>
      </c>
      <c r="B40" s="1" t="s">
        <v>681</v>
      </c>
      <c r="E40" s="1" t="s">
        <v>130</v>
      </c>
      <c r="F40" s="1">
        <v>2</v>
      </c>
      <c r="G40" s="1">
        <v>2045</v>
      </c>
      <c r="H40" s="1">
        <v>1</v>
      </c>
      <c r="I40" s="1">
        <v>0</v>
      </c>
      <c r="J40" s="1">
        <v>0</v>
      </c>
      <c r="K40" s="18"/>
      <c r="L40" s="18"/>
      <c r="M40" s="18"/>
      <c r="N40" s="18">
        <v>290</v>
      </c>
      <c r="O40" s="18">
        <v>173.92500000000001</v>
      </c>
      <c r="P40" s="18">
        <v>425.42500000000001</v>
      </c>
      <c r="Q40" s="18">
        <v>290</v>
      </c>
      <c r="R40" s="18">
        <v>135.27500000000001</v>
      </c>
      <c r="S40" s="18">
        <v>502.77499999999998</v>
      </c>
      <c r="T40" s="18">
        <v>290</v>
      </c>
      <c r="U40" s="18">
        <v>173.92500000000001</v>
      </c>
      <c r="V40" s="18">
        <v>425.42500000000001</v>
      </c>
      <c r="W40" s="18">
        <v>290</v>
      </c>
      <c r="X40" s="18">
        <v>135.27500000000001</v>
      </c>
      <c r="Y40" s="18">
        <v>502.77499999999998</v>
      </c>
      <c r="Z40" s="18">
        <v>290</v>
      </c>
      <c r="AA40" s="18">
        <v>173.92500000000001</v>
      </c>
      <c r="AB40" s="18">
        <v>425.42500000000001</v>
      </c>
      <c r="AC40" s="18">
        <v>290</v>
      </c>
      <c r="AD40" s="18">
        <v>135.27500000000001</v>
      </c>
      <c r="AE40" s="18">
        <v>502.77499999999998</v>
      </c>
      <c r="AF40" s="18">
        <v>290</v>
      </c>
      <c r="AG40" s="18">
        <v>173.92500000000001</v>
      </c>
      <c r="AH40" s="18">
        <v>425.42500000000001</v>
      </c>
      <c r="AI40" s="18">
        <v>290</v>
      </c>
      <c r="AJ40" s="18">
        <v>135.27500000000001</v>
      </c>
      <c r="AK40" s="18">
        <v>502.77499999999998</v>
      </c>
      <c r="AL40" s="18">
        <v>290</v>
      </c>
      <c r="AM40" s="18">
        <v>173.92500000000001</v>
      </c>
      <c r="AN40" s="18">
        <v>425.42500000000001</v>
      </c>
      <c r="AO40" s="18">
        <v>290</v>
      </c>
      <c r="AP40" s="18">
        <v>135.27500000000001</v>
      </c>
      <c r="AQ40" s="18">
        <v>502.77499999999998</v>
      </c>
      <c r="AR40" s="18">
        <v>290</v>
      </c>
      <c r="AS40" s="18">
        <v>173.92500000000001</v>
      </c>
      <c r="AT40" s="18">
        <v>425.42500000000001</v>
      </c>
      <c r="AU40" s="18">
        <v>290</v>
      </c>
      <c r="AV40" s="18">
        <v>135.27500000000001</v>
      </c>
      <c r="AW40" s="18">
        <v>502.77499999999998</v>
      </c>
      <c r="AX40" s="18">
        <v>290</v>
      </c>
      <c r="AY40" s="18">
        <v>173.92500000000001</v>
      </c>
      <c r="AZ40" s="18">
        <v>425.42500000000001</v>
      </c>
      <c r="BA40" s="18">
        <v>290</v>
      </c>
      <c r="BB40" s="18">
        <v>135.27500000000001</v>
      </c>
      <c r="BC40" s="18">
        <v>502.77499999999998</v>
      </c>
      <c r="BD40" s="18">
        <v>290</v>
      </c>
      <c r="BE40" s="18">
        <v>173.92500000000001</v>
      </c>
      <c r="BF40" s="18">
        <v>425.42500000000001</v>
      </c>
      <c r="BG40" s="18">
        <v>290</v>
      </c>
      <c r="BH40" s="18">
        <v>135.27500000000001</v>
      </c>
      <c r="BI40" s="18">
        <v>502.77499999999998</v>
      </c>
      <c r="BJ40" s="18">
        <v>290</v>
      </c>
      <c r="BK40" s="18">
        <v>173.92500000000001</v>
      </c>
      <c r="BL40" s="18">
        <v>425.42500000000001</v>
      </c>
      <c r="BM40" s="18">
        <v>290</v>
      </c>
      <c r="BN40" s="18">
        <v>135.27500000000001</v>
      </c>
      <c r="BO40" s="18">
        <v>502.77499999999998</v>
      </c>
      <c r="BP40" s="18"/>
      <c r="BQ40" s="18"/>
      <c r="BR40" s="18"/>
      <c r="BS40" s="18"/>
      <c r="BT40" s="10">
        <f>Tabelle58971121[[#This Row],[Mindestauslastung durch]]*Tabelle58971121[[#This Row],[installierte Leistung MW durch]]</f>
        <v>174</v>
      </c>
      <c r="BU40" s="10">
        <f>Tabelle58971121[[#This Row],[Mindestauslastung min]]*Tabelle58971121[[#This Row],[installierte Leistung MW min]]</f>
        <v>115.94999999999999</v>
      </c>
      <c r="BV40" s="10">
        <f>Tabelle58971121[[#This Row],[Mindestauslastung max]]*Tabelle58971121[[#This Row],[installierte Leistung MW max]]</f>
        <v>232.04999999999998</v>
      </c>
      <c r="BW40" s="8">
        <v>0.15</v>
      </c>
      <c r="BX40" s="8">
        <v>0.15</v>
      </c>
      <c r="BY40" s="8">
        <v>0.15</v>
      </c>
      <c r="BZ40" s="8"/>
      <c r="CA40" s="8">
        <v>0.25</v>
      </c>
      <c r="CB40" s="8">
        <v>0.22500000000000001</v>
      </c>
      <c r="CC40" s="8">
        <v>0.27500000000000002</v>
      </c>
      <c r="CD40" s="8">
        <v>0.25</v>
      </c>
      <c r="CE40" s="8">
        <v>0.22500000000000001</v>
      </c>
      <c r="CF40" s="8">
        <v>0.27500000000000002</v>
      </c>
      <c r="CG40" s="8">
        <v>0.25</v>
      </c>
      <c r="CH40" s="8">
        <v>0.22500000000000001</v>
      </c>
      <c r="CI40" s="8">
        <v>0.27500000000000002</v>
      </c>
      <c r="CJ40" s="8">
        <v>0.25</v>
      </c>
      <c r="CK40" s="8">
        <v>0.22500000000000001</v>
      </c>
      <c r="CL40" s="8">
        <v>0.27500000000000002</v>
      </c>
      <c r="CM40" s="8">
        <v>0.25</v>
      </c>
      <c r="CN40" s="8">
        <v>0.22500000000000001</v>
      </c>
      <c r="CO40" s="8">
        <v>0.27500000000000002</v>
      </c>
      <c r="CP40" s="8">
        <v>0.25</v>
      </c>
      <c r="CQ40" s="8">
        <v>0.22500000000000001</v>
      </c>
      <c r="CR40" s="8">
        <v>0.27500000000000002</v>
      </c>
      <c r="CS40" s="8">
        <v>0.25</v>
      </c>
      <c r="CT40" s="8">
        <v>0.22500000000000001</v>
      </c>
      <c r="CU40" s="8">
        <v>0.27500000000000002</v>
      </c>
      <c r="CV40" s="8">
        <v>0.25</v>
      </c>
      <c r="CW40" s="8">
        <v>0.22500000000000001</v>
      </c>
      <c r="CX40" s="8">
        <v>0.27500000000000002</v>
      </c>
      <c r="CY40" s="8">
        <v>0.25</v>
      </c>
      <c r="CZ40" s="8">
        <v>0.22500000000000001</v>
      </c>
      <c r="DA40" s="8">
        <v>0.27500000000000002</v>
      </c>
      <c r="DB40" s="8"/>
      <c r="DC40" s="8"/>
      <c r="DD40" s="8"/>
      <c r="DE40" s="48">
        <f>Tabelle58971121[[#This Row],[Durchschnittsauslastung min]]*Tabelle58971121[[#This Row],[installierte Leistung MW min]]</f>
        <v>0</v>
      </c>
      <c r="DF40" s="48">
        <f>Tabelle58971121[[#This Row],[Durchschnittsauslastung durch]]*Tabelle58971121[[#This Row],[installierte Leistung MW durch]]</f>
        <v>0</v>
      </c>
      <c r="DG40" s="48">
        <f>Tabelle58971121[[#This Row],[Durchschnittsauslastung max]]*Tabelle58971121[[#This Row],[installierte Leistung MW max]]</f>
        <v>0</v>
      </c>
      <c r="DH40" s="87">
        <f>Tabelle58971121[[#This Row],[Maximalauslastung durch]]*Tabelle58971121[[#This Row],[installierte Leistung MW min]]</f>
        <v>386.5</v>
      </c>
      <c r="DI40" s="48">
        <f>Tabelle58971121[[#This Row],[Maximalauslastung durch]]*Tabelle58971121[[#This Row],[installierte Leistung MW durch]]</f>
        <v>580</v>
      </c>
      <c r="DJ40" s="18">
        <f>Tabelle58971121[[#This Row],[Maximalauslastung max]]*Tabelle58971121[[#This Row],[installierte Leistung MW durch]]</f>
        <v>638</v>
      </c>
      <c r="DK40" s="8">
        <v>0.5</v>
      </c>
      <c r="DL40" s="8">
        <v>0.45</v>
      </c>
      <c r="DM40" s="8">
        <v>0.55000000000000004</v>
      </c>
      <c r="DN40" s="1">
        <v>1160</v>
      </c>
      <c r="DO40" s="1">
        <v>773</v>
      </c>
      <c r="DP40" s="1">
        <v>1547</v>
      </c>
      <c r="DQ40" s="18"/>
      <c r="DR40" s="18"/>
      <c r="DW40" s="1">
        <v>5</v>
      </c>
      <c r="DX40" s="1">
        <v>4.5</v>
      </c>
      <c r="DY40" s="1">
        <v>5.5</v>
      </c>
      <c r="DZ40" s="1">
        <v>5</v>
      </c>
      <c r="EA40" s="1">
        <v>4.5</v>
      </c>
      <c r="EB40" s="1">
        <v>5.5</v>
      </c>
      <c r="EC40" s="1">
        <v>24</v>
      </c>
      <c r="EF40" s="1">
        <v>10</v>
      </c>
      <c r="EG40" s="1">
        <v>9</v>
      </c>
      <c r="EH40" s="1">
        <v>11</v>
      </c>
      <c r="EL40" s="1">
        <v>365</v>
      </c>
      <c r="EM40" s="1">
        <v>328</v>
      </c>
      <c r="EN40" s="1">
        <v>402</v>
      </c>
      <c r="EO40" s="10"/>
      <c r="EP40" s="10"/>
      <c r="EQ40" s="10"/>
      <c r="ER40" s="1">
        <v>365</v>
      </c>
      <c r="ES40" s="1">
        <v>328</v>
      </c>
      <c r="ET40" s="1">
        <v>402</v>
      </c>
      <c r="EV40" s="18"/>
      <c r="EW40" s="18"/>
      <c r="EX40" s="18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 t="s">
        <v>1046</v>
      </c>
      <c r="FK40" s="7" t="s">
        <v>1046</v>
      </c>
      <c r="FL40" s="7" t="s">
        <v>1046</v>
      </c>
      <c r="FO40" s="1">
        <v>67</v>
      </c>
      <c r="FP40" s="1">
        <v>67</v>
      </c>
      <c r="FQ40" s="1">
        <v>67</v>
      </c>
      <c r="FR40" s="12" t="s">
        <v>743</v>
      </c>
      <c r="FS40" s="12" t="s">
        <v>743</v>
      </c>
      <c r="FT40" s="12" t="s">
        <v>743</v>
      </c>
      <c r="FU40" s="12"/>
      <c r="FV40" s="12" t="s">
        <v>743</v>
      </c>
      <c r="FW40" s="12" t="s">
        <v>743</v>
      </c>
      <c r="FX40" s="12" t="s">
        <v>743</v>
      </c>
      <c r="FY40" s="12" t="s">
        <v>743</v>
      </c>
      <c r="FZ40" s="12" t="s">
        <v>743</v>
      </c>
      <c r="GA40" s="12" t="s">
        <v>743</v>
      </c>
      <c r="GB40" s="12" t="s">
        <v>743</v>
      </c>
      <c r="GE40" s="12" t="s">
        <v>743</v>
      </c>
      <c r="GF40" s="12" t="s">
        <v>743</v>
      </c>
      <c r="GH40" s="12" t="s">
        <v>743</v>
      </c>
    </row>
    <row r="41" spans="1:190" ht="12.75" customHeight="1" x14ac:dyDescent="0.2">
      <c r="A41" s="1" t="s">
        <v>377</v>
      </c>
      <c r="B41" s="1" t="s">
        <v>681</v>
      </c>
      <c r="E41" s="1" t="s">
        <v>130</v>
      </c>
      <c r="F41" s="1">
        <v>2</v>
      </c>
      <c r="G41" s="1">
        <v>2050</v>
      </c>
      <c r="H41" s="1">
        <v>1</v>
      </c>
      <c r="I41" s="1">
        <v>0</v>
      </c>
      <c r="J41" s="1">
        <v>0</v>
      </c>
      <c r="K41" s="18"/>
      <c r="L41" s="18"/>
      <c r="M41" s="18"/>
      <c r="N41" s="18">
        <v>290</v>
      </c>
      <c r="O41" s="18">
        <v>173.92500000000001</v>
      </c>
      <c r="P41" s="18">
        <v>425.42500000000001</v>
      </c>
      <c r="Q41" s="18">
        <v>290</v>
      </c>
      <c r="R41" s="18">
        <v>135.27500000000001</v>
      </c>
      <c r="S41" s="18">
        <v>502.77499999999998</v>
      </c>
      <c r="T41" s="18">
        <v>290</v>
      </c>
      <c r="U41" s="18">
        <v>173.92500000000001</v>
      </c>
      <c r="V41" s="18">
        <v>425.42500000000001</v>
      </c>
      <c r="W41" s="18">
        <v>290</v>
      </c>
      <c r="X41" s="18">
        <v>135.27500000000001</v>
      </c>
      <c r="Y41" s="18">
        <v>502.77499999999998</v>
      </c>
      <c r="Z41" s="18">
        <v>290</v>
      </c>
      <c r="AA41" s="18">
        <v>173.92500000000001</v>
      </c>
      <c r="AB41" s="18">
        <v>425.42500000000001</v>
      </c>
      <c r="AC41" s="18">
        <v>290</v>
      </c>
      <c r="AD41" s="18">
        <v>135.27500000000001</v>
      </c>
      <c r="AE41" s="18">
        <v>502.77499999999998</v>
      </c>
      <c r="AF41" s="18">
        <v>290</v>
      </c>
      <c r="AG41" s="18">
        <v>173.92500000000001</v>
      </c>
      <c r="AH41" s="18">
        <v>425.42500000000001</v>
      </c>
      <c r="AI41" s="18">
        <v>290</v>
      </c>
      <c r="AJ41" s="18">
        <v>135.27500000000001</v>
      </c>
      <c r="AK41" s="18">
        <v>502.77499999999998</v>
      </c>
      <c r="AL41" s="18">
        <v>290</v>
      </c>
      <c r="AM41" s="18">
        <v>173.92500000000001</v>
      </c>
      <c r="AN41" s="18">
        <v>425.42500000000001</v>
      </c>
      <c r="AO41" s="18">
        <v>290</v>
      </c>
      <c r="AP41" s="18">
        <v>135.27500000000001</v>
      </c>
      <c r="AQ41" s="18">
        <v>502.77499999999998</v>
      </c>
      <c r="AR41" s="18">
        <v>290</v>
      </c>
      <c r="AS41" s="18">
        <v>173.92500000000001</v>
      </c>
      <c r="AT41" s="18">
        <v>425.42500000000001</v>
      </c>
      <c r="AU41" s="18">
        <v>290</v>
      </c>
      <c r="AV41" s="18">
        <v>135.27500000000001</v>
      </c>
      <c r="AW41" s="18">
        <v>502.77499999999998</v>
      </c>
      <c r="AX41" s="18">
        <v>290</v>
      </c>
      <c r="AY41" s="18">
        <v>173.92500000000001</v>
      </c>
      <c r="AZ41" s="18">
        <v>425.42500000000001</v>
      </c>
      <c r="BA41" s="18">
        <v>290</v>
      </c>
      <c r="BB41" s="18">
        <v>135.27500000000001</v>
      </c>
      <c r="BC41" s="18">
        <v>502.77499999999998</v>
      </c>
      <c r="BD41" s="18">
        <v>290</v>
      </c>
      <c r="BE41" s="18">
        <v>173.92500000000001</v>
      </c>
      <c r="BF41" s="18">
        <v>425.42500000000001</v>
      </c>
      <c r="BG41" s="18">
        <v>290</v>
      </c>
      <c r="BH41" s="18">
        <v>135.27500000000001</v>
      </c>
      <c r="BI41" s="18">
        <v>502.77499999999998</v>
      </c>
      <c r="BJ41" s="18">
        <v>290</v>
      </c>
      <c r="BK41" s="18">
        <v>173.92500000000001</v>
      </c>
      <c r="BL41" s="18">
        <v>425.42500000000001</v>
      </c>
      <c r="BM41" s="18">
        <v>290</v>
      </c>
      <c r="BN41" s="18">
        <v>135.27500000000001</v>
      </c>
      <c r="BO41" s="18">
        <v>502.77499999999998</v>
      </c>
      <c r="BP41" s="18"/>
      <c r="BQ41" s="18"/>
      <c r="BR41" s="18"/>
      <c r="BS41" s="18"/>
      <c r="BT41" s="10">
        <f>Tabelle58971121[[#This Row],[Mindestauslastung durch]]*Tabelle58971121[[#This Row],[installierte Leistung MW durch]]</f>
        <v>174</v>
      </c>
      <c r="BU41" s="10">
        <f>Tabelle58971121[[#This Row],[Mindestauslastung min]]*Tabelle58971121[[#This Row],[installierte Leistung MW min]]</f>
        <v>115.94999999999999</v>
      </c>
      <c r="BV41" s="10">
        <f>Tabelle58971121[[#This Row],[Mindestauslastung max]]*Tabelle58971121[[#This Row],[installierte Leistung MW max]]</f>
        <v>232.04999999999998</v>
      </c>
      <c r="BW41" s="8">
        <v>0.15</v>
      </c>
      <c r="BX41" s="8">
        <v>0.15</v>
      </c>
      <c r="BY41" s="8">
        <v>0.15</v>
      </c>
      <c r="BZ41" s="8"/>
      <c r="CA41" s="8">
        <v>0.25</v>
      </c>
      <c r="CB41" s="8">
        <v>0.22500000000000001</v>
      </c>
      <c r="CC41" s="8">
        <v>0.27500000000000002</v>
      </c>
      <c r="CD41" s="8">
        <v>0.25</v>
      </c>
      <c r="CE41" s="8">
        <v>0.22500000000000001</v>
      </c>
      <c r="CF41" s="8">
        <v>0.27500000000000002</v>
      </c>
      <c r="CG41" s="8">
        <v>0.25</v>
      </c>
      <c r="CH41" s="8">
        <v>0.22500000000000001</v>
      </c>
      <c r="CI41" s="8">
        <v>0.27500000000000002</v>
      </c>
      <c r="CJ41" s="8">
        <v>0.25</v>
      </c>
      <c r="CK41" s="8">
        <v>0.22500000000000001</v>
      </c>
      <c r="CL41" s="8">
        <v>0.27500000000000002</v>
      </c>
      <c r="CM41" s="8">
        <v>0.25</v>
      </c>
      <c r="CN41" s="8">
        <v>0.22500000000000001</v>
      </c>
      <c r="CO41" s="8">
        <v>0.27500000000000002</v>
      </c>
      <c r="CP41" s="8">
        <v>0.25</v>
      </c>
      <c r="CQ41" s="8">
        <v>0.22500000000000001</v>
      </c>
      <c r="CR41" s="8">
        <v>0.27500000000000002</v>
      </c>
      <c r="CS41" s="8">
        <v>0.25</v>
      </c>
      <c r="CT41" s="8">
        <v>0.22500000000000001</v>
      </c>
      <c r="CU41" s="8">
        <v>0.27500000000000002</v>
      </c>
      <c r="CV41" s="8">
        <v>0.25</v>
      </c>
      <c r="CW41" s="8">
        <v>0.22500000000000001</v>
      </c>
      <c r="CX41" s="8">
        <v>0.27500000000000002</v>
      </c>
      <c r="CY41" s="8">
        <v>0.25</v>
      </c>
      <c r="CZ41" s="8">
        <v>0.22500000000000001</v>
      </c>
      <c r="DA41" s="8">
        <v>0.27500000000000002</v>
      </c>
      <c r="DB41" s="8"/>
      <c r="DC41" s="8"/>
      <c r="DD41" s="8"/>
      <c r="DE41" s="48">
        <f>Tabelle58971121[[#This Row],[Durchschnittsauslastung min]]*Tabelle58971121[[#This Row],[installierte Leistung MW min]]</f>
        <v>0</v>
      </c>
      <c r="DF41" s="48">
        <f>Tabelle58971121[[#This Row],[Durchschnittsauslastung durch]]*Tabelle58971121[[#This Row],[installierte Leistung MW durch]]</f>
        <v>0</v>
      </c>
      <c r="DG41" s="48">
        <f>Tabelle58971121[[#This Row],[Durchschnittsauslastung max]]*Tabelle58971121[[#This Row],[installierte Leistung MW max]]</f>
        <v>0</v>
      </c>
      <c r="DH41" s="87">
        <f>Tabelle58971121[[#This Row],[Maximalauslastung durch]]*Tabelle58971121[[#This Row],[installierte Leistung MW min]]</f>
        <v>386.5</v>
      </c>
      <c r="DI41" s="48">
        <f>Tabelle58971121[[#This Row],[Maximalauslastung durch]]*Tabelle58971121[[#This Row],[installierte Leistung MW durch]]</f>
        <v>580</v>
      </c>
      <c r="DJ41" s="18">
        <f>Tabelle58971121[[#This Row],[Maximalauslastung max]]*Tabelle58971121[[#This Row],[installierte Leistung MW durch]]</f>
        <v>638</v>
      </c>
      <c r="DK41" s="8">
        <v>0.5</v>
      </c>
      <c r="DL41" s="8">
        <v>0.45</v>
      </c>
      <c r="DM41" s="8">
        <v>0.55000000000000004</v>
      </c>
      <c r="DN41" s="1">
        <v>1160</v>
      </c>
      <c r="DO41" s="1">
        <v>773</v>
      </c>
      <c r="DP41" s="1">
        <v>1547</v>
      </c>
      <c r="DQ41" s="18"/>
      <c r="DR41" s="18"/>
      <c r="DW41" s="1">
        <v>5</v>
      </c>
      <c r="DX41" s="1">
        <v>4.5</v>
      </c>
      <c r="DY41" s="1">
        <v>5.5</v>
      </c>
      <c r="DZ41" s="1">
        <v>5</v>
      </c>
      <c r="EA41" s="1">
        <v>4.5</v>
      </c>
      <c r="EB41" s="1">
        <v>5.5</v>
      </c>
      <c r="EC41" s="1">
        <v>24</v>
      </c>
      <c r="EF41" s="1">
        <v>10</v>
      </c>
      <c r="EG41" s="1">
        <v>9</v>
      </c>
      <c r="EH41" s="1">
        <v>11</v>
      </c>
      <c r="EL41" s="1">
        <v>365</v>
      </c>
      <c r="EM41" s="1">
        <v>328</v>
      </c>
      <c r="EN41" s="1">
        <v>402</v>
      </c>
      <c r="EO41" s="10"/>
      <c r="EP41" s="10"/>
      <c r="EQ41" s="10"/>
      <c r="ER41" s="1">
        <v>365</v>
      </c>
      <c r="ES41" s="1">
        <v>328</v>
      </c>
      <c r="ET41" s="1">
        <v>402</v>
      </c>
      <c r="EV41" s="18"/>
      <c r="EW41" s="18"/>
      <c r="EX41" s="18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 t="s">
        <v>1046</v>
      </c>
      <c r="FK41" s="7" t="s">
        <v>1046</v>
      </c>
      <c r="FL41" s="7" t="s">
        <v>1046</v>
      </c>
      <c r="FO41" s="1">
        <v>67</v>
      </c>
      <c r="FP41" s="1">
        <v>67</v>
      </c>
      <c r="FQ41" s="1">
        <v>67</v>
      </c>
      <c r="FR41" s="12" t="s">
        <v>743</v>
      </c>
      <c r="FS41" s="12" t="s">
        <v>743</v>
      </c>
      <c r="FT41" s="12" t="s">
        <v>743</v>
      </c>
      <c r="FU41" s="12"/>
      <c r="FV41" s="12" t="s">
        <v>743</v>
      </c>
      <c r="FW41" s="12" t="s">
        <v>743</v>
      </c>
      <c r="FX41" s="12" t="s">
        <v>743</v>
      </c>
      <c r="FY41" s="12" t="s">
        <v>743</v>
      </c>
      <c r="FZ41" s="12" t="s">
        <v>743</v>
      </c>
      <c r="GA41" s="12" t="s">
        <v>743</v>
      </c>
      <c r="GB41" s="12" t="s">
        <v>743</v>
      </c>
      <c r="GE41" s="12" t="s">
        <v>743</v>
      </c>
      <c r="GF41" s="12" t="s">
        <v>743</v>
      </c>
      <c r="GH41" s="12" t="s">
        <v>743</v>
      </c>
    </row>
    <row r="42" spans="1:190" ht="12.75" customHeight="1" x14ac:dyDescent="0.2">
      <c r="A42" s="1" t="s">
        <v>649</v>
      </c>
      <c r="B42" s="1" t="s">
        <v>649</v>
      </c>
      <c r="E42" s="1" t="s">
        <v>130</v>
      </c>
      <c r="F42" s="1">
        <v>2</v>
      </c>
      <c r="G42" s="1">
        <v>2015</v>
      </c>
      <c r="H42" s="1">
        <v>1</v>
      </c>
      <c r="I42" s="1">
        <v>0</v>
      </c>
      <c r="J42" s="1">
        <v>0</v>
      </c>
      <c r="K42" s="18"/>
      <c r="L42" s="18"/>
      <c r="M42" s="18"/>
      <c r="N42" s="18">
        <v>32.299999999999997</v>
      </c>
      <c r="O42" s="18">
        <v>21.6</v>
      </c>
      <c r="P42" s="18">
        <v>44.1</v>
      </c>
      <c r="Q42" s="18">
        <v>5.7</v>
      </c>
      <c r="R42" s="18">
        <v>2.7</v>
      </c>
      <c r="S42" s="18">
        <v>9.8000000000000007</v>
      </c>
      <c r="T42" s="18">
        <v>24.32</v>
      </c>
      <c r="U42" s="18">
        <v>15.93</v>
      </c>
      <c r="V42" s="18">
        <v>33.81</v>
      </c>
      <c r="W42" s="18">
        <v>13.68</v>
      </c>
      <c r="X42" s="18">
        <v>8.3699999999999992</v>
      </c>
      <c r="Y42" s="18">
        <v>20.09</v>
      </c>
      <c r="Z42" s="18">
        <v>14.44</v>
      </c>
      <c r="AA42" s="18">
        <v>8.91</v>
      </c>
      <c r="AB42" s="18">
        <v>21.07</v>
      </c>
      <c r="AC42" s="18">
        <v>23.56</v>
      </c>
      <c r="AD42" s="18">
        <v>15.39</v>
      </c>
      <c r="AE42" s="18">
        <v>32.83</v>
      </c>
      <c r="AF42" s="18">
        <v>32.299999999999997</v>
      </c>
      <c r="AG42" s="18">
        <v>21.6</v>
      </c>
      <c r="AH42" s="18">
        <v>44.1</v>
      </c>
      <c r="AI42" s="18">
        <v>5.7</v>
      </c>
      <c r="AJ42" s="18">
        <v>2.7</v>
      </c>
      <c r="AK42" s="18">
        <v>9.8000000000000007</v>
      </c>
      <c r="AL42" s="18">
        <v>24.32</v>
      </c>
      <c r="AM42" s="18">
        <v>15.93</v>
      </c>
      <c r="AN42" s="18">
        <v>33.81</v>
      </c>
      <c r="AO42" s="18">
        <v>13.68</v>
      </c>
      <c r="AP42" s="18">
        <v>8.3699999999999992</v>
      </c>
      <c r="AQ42" s="18">
        <v>20.09</v>
      </c>
      <c r="AR42" s="18">
        <v>14.44</v>
      </c>
      <c r="AS42" s="18">
        <v>8.91</v>
      </c>
      <c r="AT42" s="18">
        <v>21.07</v>
      </c>
      <c r="AU42" s="18">
        <v>23.56</v>
      </c>
      <c r="AV42" s="18">
        <v>15.39</v>
      </c>
      <c r="AW42" s="18">
        <v>32.83</v>
      </c>
      <c r="AX42" s="18">
        <v>32.299999999999997</v>
      </c>
      <c r="AY42" s="18">
        <v>21.6</v>
      </c>
      <c r="AZ42" s="18">
        <v>44.1</v>
      </c>
      <c r="BA42" s="18">
        <v>5.7</v>
      </c>
      <c r="BB42" s="18">
        <v>2.7</v>
      </c>
      <c r="BC42" s="18">
        <v>9.8000000000000007</v>
      </c>
      <c r="BD42" s="18">
        <v>24.32</v>
      </c>
      <c r="BE42" s="18">
        <v>15.93</v>
      </c>
      <c r="BF42" s="18">
        <v>33.81</v>
      </c>
      <c r="BG42" s="18">
        <v>13.68</v>
      </c>
      <c r="BH42" s="18">
        <v>8.3699999999999992</v>
      </c>
      <c r="BI42" s="18">
        <v>20.09</v>
      </c>
      <c r="BJ42" s="18">
        <v>14.44</v>
      </c>
      <c r="BK42" s="18">
        <v>8.91</v>
      </c>
      <c r="BL42" s="18">
        <v>21.07</v>
      </c>
      <c r="BM42" s="18">
        <v>23.56</v>
      </c>
      <c r="BN42" s="18">
        <v>15.39</v>
      </c>
      <c r="BO42" s="18">
        <v>32.83</v>
      </c>
      <c r="BP42" s="18"/>
      <c r="BQ42" s="18"/>
      <c r="BR42" s="18"/>
      <c r="BS42" s="18"/>
      <c r="BT42" s="10">
        <f>Tabelle58971121[[#This Row],[Mindestauslastung durch]]*Tabelle58971121[[#This Row],[installierte Leistung MW durch]]</f>
        <v>5.7</v>
      </c>
      <c r="BU42" s="10">
        <f>Tabelle58971121[[#This Row],[Mindestauslastung min]]*Tabelle58971121[[#This Row],[installierte Leistung MW min]]</f>
        <v>4.05</v>
      </c>
      <c r="BV42" s="10">
        <f>Tabelle58971121[[#This Row],[Mindestauslastung max]]*Tabelle58971121[[#This Row],[installierte Leistung MW max]]</f>
        <v>7.35</v>
      </c>
      <c r="BW42" s="8">
        <v>0.15</v>
      </c>
      <c r="BX42" s="8">
        <v>0.15</v>
      </c>
      <c r="BY42" s="8">
        <v>0.15</v>
      </c>
      <c r="BZ42" s="8"/>
      <c r="CA42" s="8">
        <v>0.85</v>
      </c>
      <c r="CB42" s="8">
        <v>0.8</v>
      </c>
      <c r="CC42" s="8">
        <v>0.9</v>
      </c>
      <c r="CD42" s="8">
        <v>0.64</v>
      </c>
      <c r="CE42" s="8">
        <v>0.59</v>
      </c>
      <c r="CF42" s="8">
        <v>0.69</v>
      </c>
      <c r="CG42" s="8">
        <v>0.38</v>
      </c>
      <c r="CH42" s="8">
        <v>0.33</v>
      </c>
      <c r="CI42" s="8">
        <v>0.43</v>
      </c>
      <c r="CJ42" s="8">
        <v>0.85</v>
      </c>
      <c r="CK42" s="8">
        <v>0.8</v>
      </c>
      <c r="CL42" s="8">
        <v>0.9</v>
      </c>
      <c r="CM42" s="8">
        <v>0.64</v>
      </c>
      <c r="CN42" s="8">
        <v>0.59</v>
      </c>
      <c r="CO42" s="8">
        <v>0.69</v>
      </c>
      <c r="CP42" s="8">
        <v>0.38</v>
      </c>
      <c r="CQ42" s="8">
        <v>0.33</v>
      </c>
      <c r="CR42" s="8">
        <v>0.43</v>
      </c>
      <c r="CS42" s="8">
        <v>0.85</v>
      </c>
      <c r="CT42" s="8">
        <v>0.8</v>
      </c>
      <c r="CU42" s="8">
        <v>0.9</v>
      </c>
      <c r="CV42" s="8">
        <v>0.64</v>
      </c>
      <c r="CW42" s="8">
        <v>0.59</v>
      </c>
      <c r="CX42" s="8">
        <v>0.69</v>
      </c>
      <c r="CY42" s="8">
        <v>0.38</v>
      </c>
      <c r="CZ42" s="8">
        <v>0.33</v>
      </c>
      <c r="DA42" s="8">
        <v>0.43</v>
      </c>
      <c r="DB42" s="8"/>
      <c r="DC42" s="8"/>
      <c r="DD42" s="8"/>
      <c r="DE42" s="48">
        <f>Tabelle58971121[[#This Row],[Durchschnittsauslastung min]]*Tabelle58971121[[#This Row],[installierte Leistung MW min]]</f>
        <v>0</v>
      </c>
      <c r="DF42" s="48">
        <f>Tabelle58971121[[#This Row],[Durchschnittsauslastung durch]]*Tabelle58971121[[#This Row],[installierte Leistung MW durch]]</f>
        <v>0</v>
      </c>
      <c r="DG42" s="48">
        <f>Tabelle58971121[[#This Row],[Durchschnittsauslastung max]]*Tabelle58971121[[#This Row],[installierte Leistung MW max]]</f>
        <v>0</v>
      </c>
      <c r="DH42" s="87">
        <f>Tabelle58971121[[#This Row],[Maximalauslastung durch]]*Tabelle58971121[[#This Row],[installierte Leistung MW min]]</f>
        <v>27</v>
      </c>
      <c r="DI42" s="48">
        <f>Tabelle58971121[[#This Row],[Maximalauslastung durch]]*Tabelle58971121[[#This Row],[installierte Leistung MW durch]]</f>
        <v>38</v>
      </c>
      <c r="DJ42" s="18">
        <f>Tabelle58971121[[#This Row],[Maximalauslastung max]]*Tabelle58971121[[#This Row],[installierte Leistung MW durch]]</f>
        <v>38</v>
      </c>
      <c r="DK42" s="8">
        <v>1</v>
      </c>
      <c r="DL42" s="8">
        <v>1</v>
      </c>
      <c r="DM42" s="8">
        <v>1</v>
      </c>
      <c r="DN42" s="1">
        <v>38</v>
      </c>
      <c r="DO42" s="1">
        <v>27</v>
      </c>
      <c r="DP42" s="1">
        <v>49</v>
      </c>
      <c r="DQ42" s="18"/>
      <c r="DR42" s="18"/>
      <c r="DW42" s="1">
        <v>4</v>
      </c>
      <c r="DX42" s="1">
        <v>3.2</v>
      </c>
      <c r="DY42" s="1">
        <v>4.8</v>
      </c>
      <c r="DZ42" s="1">
        <v>4</v>
      </c>
      <c r="EA42" s="1">
        <v>3.2</v>
      </c>
      <c r="EB42" s="1">
        <v>4.8</v>
      </c>
      <c r="EC42" s="1">
        <v>24</v>
      </c>
      <c r="EF42" s="1">
        <v>7.2</v>
      </c>
      <c r="EG42" s="1">
        <v>4.5999999999999996</v>
      </c>
      <c r="EH42" s="1">
        <v>9.8000000000000007</v>
      </c>
      <c r="EL42" s="1">
        <v>365</v>
      </c>
      <c r="EM42" s="1">
        <v>328</v>
      </c>
      <c r="EN42" s="1">
        <v>402</v>
      </c>
      <c r="EO42" s="10"/>
      <c r="EP42" s="10"/>
      <c r="EQ42" s="10"/>
      <c r="ER42" s="1">
        <v>365</v>
      </c>
      <c r="ES42" s="1">
        <v>328</v>
      </c>
      <c r="ET42" s="1">
        <v>402</v>
      </c>
      <c r="EV42" s="18"/>
      <c r="EW42" s="18"/>
      <c r="EX42" s="18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 t="s">
        <v>1046</v>
      </c>
      <c r="FK42" s="7" t="s">
        <v>1046</v>
      </c>
      <c r="FL42" s="7" t="s">
        <v>1046</v>
      </c>
      <c r="FO42" s="1">
        <v>67</v>
      </c>
      <c r="FP42" s="1">
        <v>67</v>
      </c>
      <c r="FQ42" s="1">
        <v>67</v>
      </c>
      <c r="FR42" s="12" t="s">
        <v>743</v>
      </c>
      <c r="FS42" s="12" t="s">
        <v>743</v>
      </c>
      <c r="FT42" s="12" t="s">
        <v>743</v>
      </c>
      <c r="FU42" s="12"/>
      <c r="FV42" s="12" t="s">
        <v>743</v>
      </c>
      <c r="FW42" s="12" t="s">
        <v>743</v>
      </c>
      <c r="FX42" s="12" t="s">
        <v>743</v>
      </c>
      <c r="FY42" s="12" t="s">
        <v>743</v>
      </c>
      <c r="FZ42" s="12" t="s">
        <v>743</v>
      </c>
      <c r="GA42" s="12" t="s">
        <v>743</v>
      </c>
      <c r="GB42" s="12" t="s">
        <v>743</v>
      </c>
      <c r="GE42" s="12" t="s">
        <v>743</v>
      </c>
      <c r="GF42" s="12" t="s">
        <v>743</v>
      </c>
      <c r="GH42" s="12" t="s">
        <v>743</v>
      </c>
    </row>
    <row r="43" spans="1:190" ht="12.75" customHeight="1" x14ac:dyDescent="0.2">
      <c r="A43" s="1" t="s">
        <v>649</v>
      </c>
      <c r="B43" s="1" t="s">
        <v>649</v>
      </c>
      <c r="E43" s="1" t="s">
        <v>130</v>
      </c>
      <c r="F43" s="1">
        <v>2</v>
      </c>
      <c r="G43" s="1">
        <v>2020</v>
      </c>
      <c r="H43" s="1">
        <v>1</v>
      </c>
      <c r="I43" s="1">
        <v>0</v>
      </c>
      <c r="J43" s="1">
        <v>0</v>
      </c>
      <c r="K43" s="18"/>
      <c r="L43" s="18"/>
      <c r="M43" s="18"/>
      <c r="N43" s="18">
        <v>32.299999999999997</v>
      </c>
      <c r="O43" s="18">
        <v>21.6</v>
      </c>
      <c r="P43" s="18">
        <v>44.1</v>
      </c>
      <c r="Q43" s="18">
        <v>5.7</v>
      </c>
      <c r="R43" s="18">
        <v>2.7</v>
      </c>
      <c r="S43" s="18">
        <v>9.8000000000000007</v>
      </c>
      <c r="T43" s="18">
        <v>24.32</v>
      </c>
      <c r="U43" s="18">
        <v>15.93</v>
      </c>
      <c r="V43" s="18">
        <v>33.81</v>
      </c>
      <c r="W43" s="18">
        <v>13.68</v>
      </c>
      <c r="X43" s="18">
        <v>8.3699999999999992</v>
      </c>
      <c r="Y43" s="18">
        <v>20.09</v>
      </c>
      <c r="Z43" s="18">
        <v>14.44</v>
      </c>
      <c r="AA43" s="18">
        <v>8.91</v>
      </c>
      <c r="AB43" s="18">
        <v>21.07</v>
      </c>
      <c r="AC43" s="18">
        <v>23.56</v>
      </c>
      <c r="AD43" s="18">
        <v>15.39</v>
      </c>
      <c r="AE43" s="18">
        <v>32.83</v>
      </c>
      <c r="AF43" s="18">
        <v>32.299999999999997</v>
      </c>
      <c r="AG43" s="18">
        <v>21.6</v>
      </c>
      <c r="AH43" s="18">
        <v>44.1</v>
      </c>
      <c r="AI43" s="18">
        <v>5.7</v>
      </c>
      <c r="AJ43" s="18">
        <v>2.7</v>
      </c>
      <c r="AK43" s="18">
        <v>9.8000000000000007</v>
      </c>
      <c r="AL43" s="18">
        <v>24.32</v>
      </c>
      <c r="AM43" s="18">
        <v>15.93</v>
      </c>
      <c r="AN43" s="18">
        <v>33.81</v>
      </c>
      <c r="AO43" s="18">
        <v>13.68</v>
      </c>
      <c r="AP43" s="18">
        <v>8.3699999999999992</v>
      </c>
      <c r="AQ43" s="18">
        <v>20.09</v>
      </c>
      <c r="AR43" s="18">
        <v>14.44</v>
      </c>
      <c r="AS43" s="18">
        <v>8.91</v>
      </c>
      <c r="AT43" s="18">
        <v>21.07</v>
      </c>
      <c r="AU43" s="18">
        <v>23.56</v>
      </c>
      <c r="AV43" s="18">
        <v>15.39</v>
      </c>
      <c r="AW43" s="18">
        <v>32.83</v>
      </c>
      <c r="AX43" s="18">
        <v>32.299999999999997</v>
      </c>
      <c r="AY43" s="18">
        <v>21.6</v>
      </c>
      <c r="AZ43" s="18">
        <v>44.1</v>
      </c>
      <c r="BA43" s="18">
        <v>5.7</v>
      </c>
      <c r="BB43" s="18">
        <v>2.7</v>
      </c>
      <c r="BC43" s="18">
        <v>9.8000000000000007</v>
      </c>
      <c r="BD43" s="18">
        <v>24.32</v>
      </c>
      <c r="BE43" s="18">
        <v>15.93</v>
      </c>
      <c r="BF43" s="18">
        <v>33.81</v>
      </c>
      <c r="BG43" s="18">
        <v>13.68</v>
      </c>
      <c r="BH43" s="18">
        <v>8.3699999999999992</v>
      </c>
      <c r="BI43" s="18">
        <v>20.09</v>
      </c>
      <c r="BJ43" s="18">
        <v>14.44</v>
      </c>
      <c r="BK43" s="18">
        <v>8.91</v>
      </c>
      <c r="BL43" s="18">
        <v>21.07</v>
      </c>
      <c r="BM43" s="18">
        <v>23.56</v>
      </c>
      <c r="BN43" s="18">
        <v>15.39</v>
      </c>
      <c r="BO43" s="18">
        <v>32.83</v>
      </c>
      <c r="BP43" s="18"/>
      <c r="BQ43" s="18"/>
      <c r="BR43" s="18"/>
      <c r="BS43" s="18"/>
      <c r="BT43" s="10">
        <f>Tabelle58971121[[#This Row],[Mindestauslastung durch]]*Tabelle58971121[[#This Row],[installierte Leistung MW durch]]</f>
        <v>5.7</v>
      </c>
      <c r="BU43" s="10">
        <f>Tabelle58971121[[#This Row],[Mindestauslastung min]]*Tabelle58971121[[#This Row],[installierte Leistung MW min]]</f>
        <v>4.05</v>
      </c>
      <c r="BV43" s="10">
        <f>Tabelle58971121[[#This Row],[Mindestauslastung max]]*Tabelle58971121[[#This Row],[installierte Leistung MW max]]</f>
        <v>7.35</v>
      </c>
      <c r="BW43" s="8">
        <v>0.15</v>
      </c>
      <c r="BX43" s="8">
        <v>0.15</v>
      </c>
      <c r="BY43" s="8">
        <v>0.15</v>
      </c>
      <c r="BZ43" s="8"/>
      <c r="CA43" s="8">
        <v>0.85</v>
      </c>
      <c r="CB43" s="8">
        <v>0.8</v>
      </c>
      <c r="CC43" s="8">
        <v>0.9</v>
      </c>
      <c r="CD43" s="8">
        <v>0.64</v>
      </c>
      <c r="CE43" s="8">
        <v>0.59</v>
      </c>
      <c r="CF43" s="8">
        <v>0.69</v>
      </c>
      <c r="CG43" s="8">
        <v>0.38</v>
      </c>
      <c r="CH43" s="8">
        <v>0.33</v>
      </c>
      <c r="CI43" s="8">
        <v>0.43</v>
      </c>
      <c r="CJ43" s="8">
        <v>0.85</v>
      </c>
      <c r="CK43" s="8">
        <v>0.8</v>
      </c>
      <c r="CL43" s="8">
        <v>0.9</v>
      </c>
      <c r="CM43" s="8">
        <v>0.64</v>
      </c>
      <c r="CN43" s="8">
        <v>0.59</v>
      </c>
      <c r="CO43" s="8">
        <v>0.69</v>
      </c>
      <c r="CP43" s="8">
        <v>0.38</v>
      </c>
      <c r="CQ43" s="8">
        <v>0.33</v>
      </c>
      <c r="CR43" s="8">
        <v>0.43</v>
      </c>
      <c r="CS43" s="8">
        <v>0.85</v>
      </c>
      <c r="CT43" s="8">
        <v>0.8</v>
      </c>
      <c r="CU43" s="8">
        <v>0.9</v>
      </c>
      <c r="CV43" s="8">
        <v>0.64</v>
      </c>
      <c r="CW43" s="8">
        <v>0.59</v>
      </c>
      <c r="CX43" s="8">
        <v>0.69</v>
      </c>
      <c r="CY43" s="8">
        <v>0.38</v>
      </c>
      <c r="CZ43" s="8">
        <v>0.33</v>
      </c>
      <c r="DA43" s="8">
        <v>0.43</v>
      </c>
      <c r="DB43" s="8"/>
      <c r="DC43" s="8"/>
      <c r="DD43" s="8"/>
      <c r="DE43" s="48">
        <f>Tabelle58971121[[#This Row],[Durchschnittsauslastung min]]*Tabelle58971121[[#This Row],[installierte Leistung MW min]]</f>
        <v>0</v>
      </c>
      <c r="DF43" s="48">
        <f>Tabelle58971121[[#This Row],[Durchschnittsauslastung durch]]*Tabelle58971121[[#This Row],[installierte Leistung MW durch]]</f>
        <v>0</v>
      </c>
      <c r="DG43" s="48">
        <f>Tabelle58971121[[#This Row],[Durchschnittsauslastung max]]*Tabelle58971121[[#This Row],[installierte Leistung MW max]]</f>
        <v>0</v>
      </c>
      <c r="DH43" s="87">
        <f>Tabelle58971121[[#This Row],[Maximalauslastung durch]]*Tabelle58971121[[#This Row],[installierte Leistung MW min]]</f>
        <v>27</v>
      </c>
      <c r="DI43" s="48">
        <f>Tabelle58971121[[#This Row],[Maximalauslastung durch]]*Tabelle58971121[[#This Row],[installierte Leistung MW durch]]</f>
        <v>38</v>
      </c>
      <c r="DJ43" s="18">
        <f>Tabelle58971121[[#This Row],[Maximalauslastung max]]*Tabelle58971121[[#This Row],[installierte Leistung MW durch]]</f>
        <v>38</v>
      </c>
      <c r="DK43" s="8">
        <v>1</v>
      </c>
      <c r="DL43" s="8">
        <v>1</v>
      </c>
      <c r="DM43" s="8">
        <v>1</v>
      </c>
      <c r="DN43" s="1">
        <v>38</v>
      </c>
      <c r="DO43" s="1">
        <v>27</v>
      </c>
      <c r="DP43" s="1">
        <v>49</v>
      </c>
      <c r="DQ43" s="18"/>
      <c r="DR43" s="18"/>
      <c r="DW43" s="1">
        <v>4</v>
      </c>
      <c r="DX43" s="1">
        <v>3.2</v>
      </c>
      <c r="DY43" s="1">
        <v>4.8</v>
      </c>
      <c r="DZ43" s="1">
        <v>4</v>
      </c>
      <c r="EA43" s="1">
        <v>3.2</v>
      </c>
      <c r="EB43" s="1">
        <v>4.8</v>
      </c>
      <c r="EC43" s="1">
        <v>24</v>
      </c>
      <c r="EF43" s="1">
        <v>7.2</v>
      </c>
      <c r="EG43" s="1">
        <v>4.5999999999999996</v>
      </c>
      <c r="EH43" s="1">
        <v>9.8000000000000007</v>
      </c>
      <c r="EL43" s="1">
        <v>365</v>
      </c>
      <c r="EM43" s="1">
        <v>328</v>
      </c>
      <c r="EN43" s="1">
        <v>402</v>
      </c>
      <c r="EO43" s="10"/>
      <c r="EP43" s="10"/>
      <c r="EQ43" s="10"/>
      <c r="ER43" s="1">
        <v>365</v>
      </c>
      <c r="ES43" s="1">
        <v>328</v>
      </c>
      <c r="ET43" s="1">
        <v>402</v>
      </c>
      <c r="EV43" s="18"/>
      <c r="EW43" s="18"/>
      <c r="EX43" s="18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 t="s">
        <v>1046</v>
      </c>
      <c r="FK43" s="7" t="s">
        <v>1046</v>
      </c>
      <c r="FL43" s="7" t="s">
        <v>1046</v>
      </c>
      <c r="FO43" s="1">
        <v>67</v>
      </c>
      <c r="FP43" s="1">
        <v>67</v>
      </c>
      <c r="FQ43" s="1">
        <v>67</v>
      </c>
      <c r="FR43" s="12" t="s">
        <v>743</v>
      </c>
      <c r="FS43" s="12" t="s">
        <v>743</v>
      </c>
      <c r="FT43" s="12" t="s">
        <v>743</v>
      </c>
      <c r="FU43" s="12"/>
      <c r="FV43" s="12" t="s">
        <v>743</v>
      </c>
      <c r="FW43" s="12" t="s">
        <v>743</v>
      </c>
      <c r="FX43" s="12" t="s">
        <v>743</v>
      </c>
      <c r="FY43" s="12" t="s">
        <v>743</v>
      </c>
      <c r="FZ43" s="12" t="s">
        <v>743</v>
      </c>
      <c r="GA43" s="12" t="s">
        <v>743</v>
      </c>
      <c r="GB43" s="12" t="s">
        <v>743</v>
      </c>
      <c r="GE43" s="12" t="s">
        <v>743</v>
      </c>
      <c r="GF43" s="12" t="s">
        <v>743</v>
      </c>
      <c r="GH43" s="12" t="s">
        <v>743</v>
      </c>
    </row>
    <row r="44" spans="1:190" ht="12.75" customHeight="1" x14ac:dyDescent="0.2">
      <c r="A44" s="1" t="s">
        <v>649</v>
      </c>
      <c r="B44" s="1" t="s">
        <v>649</v>
      </c>
      <c r="E44" s="1" t="s">
        <v>130</v>
      </c>
      <c r="F44" s="1">
        <v>2</v>
      </c>
      <c r="G44" s="1">
        <v>2025</v>
      </c>
      <c r="H44" s="1">
        <v>1</v>
      </c>
      <c r="I44" s="1">
        <v>0</v>
      </c>
      <c r="J44" s="1">
        <v>0</v>
      </c>
      <c r="K44" s="18"/>
      <c r="L44" s="18"/>
      <c r="M44" s="18"/>
      <c r="N44" s="18">
        <v>32.299999999999997</v>
      </c>
      <c r="O44" s="18">
        <v>21.6</v>
      </c>
      <c r="P44" s="18">
        <v>44.1</v>
      </c>
      <c r="Q44" s="18">
        <v>5.7</v>
      </c>
      <c r="R44" s="18">
        <v>2.7</v>
      </c>
      <c r="S44" s="18">
        <v>9.8000000000000007</v>
      </c>
      <c r="T44" s="18">
        <v>24.32</v>
      </c>
      <c r="U44" s="18">
        <v>15.93</v>
      </c>
      <c r="V44" s="18">
        <v>33.81</v>
      </c>
      <c r="W44" s="18">
        <v>13.68</v>
      </c>
      <c r="X44" s="18">
        <v>8.3699999999999992</v>
      </c>
      <c r="Y44" s="18">
        <v>20.09</v>
      </c>
      <c r="Z44" s="18">
        <v>14.44</v>
      </c>
      <c r="AA44" s="18">
        <v>8.91</v>
      </c>
      <c r="AB44" s="18">
        <v>21.07</v>
      </c>
      <c r="AC44" s="18">
        <v>23.56</v>
      </c>
      <c r="AD44" s="18">
        <v>15.39</v>
      </c>
      <c r="AE44" s="18">
        <v>32.83</v>
      </c>
      <c r="AF44" s="18">
        <v>32.299999999999997</v>
      </c>
      <c r="AG44" s="18">
        <v>21.6</v>
      </c>
      <c r="AH44" s="18">
        <v>44.1</v>
      </c>
      <c r="AI44" s="18">
        <v>5.7</v>
      </c>
      <c r="AJ44" s="18">
        <v>2.7</v>
      </c>
      <c r="AK44" s="18">
        <v>9.8000000000000007</v>
      </c>
      <c r="AL44" s="18">
        <v>24.32</v>
      </c>
      <c r="AM44" s="18">
        <v>15.93</v>
      </c>
      <c r="AN44" s="18">
        <v>33.81</v>
      </c>
      <c r="AO44" s="18">
        <v>13.68</v>
      </c>
      <c r="AP44" s="18">
        <v>8.3699999999999992</v>
      </c>
      <c r="AQ44" s="18">
        <v>20.09</v>
      </c>
      <c r="AR44" s="18">
        <v>14.44</v>
      </c>
      <c r="AS44" s="18">
        <v>8.91</v>
      </c>
      <c r="AT44" s="18">
        <v>21.07</v>
      </c>
      <c r="AU44" s="18">
        <v>23.56</v>
      </c>
      <c r="AV44" s="18">
        <v>15.39</v>
      </c>
      <c r="AW44" s="18">
        <v>32.83</v>
      </c>
      <c r="AX44" s="18">
        <v>32.299999999999997</v>
      </c>
      <c r="AY44" s="18">
        <v>21.6</v>
      </c>
      <c r="AZ44" s="18">
        <v>44.1</v>
      </c>
      <c r="BA44" s="18">
        <v>5.7</v>
      </c>
      <c r="BB44" s="18">
        <v>2.7</v>
      </c>
      <c r="BC44" s="18">
        <v>9.8000000000000007</v>
      </c>
      <c r="BD44" s="18">
        <v>24.32</v>
      </c>
      <c r="BE44" s="18">
        <v>15.93</v>
      </c>
      <c r="BF44" s="18">
        <v>33.81</v>
      </c>
      <c r="BG44" s="18">
        <v>13.68</v>
      </c>
      <c r="BH44" s="18">
        <v>8.3699999999999992</v>
      </c>
      <c r="BI44" s="18">
        <v>20.09</v>
      </c>
      <c r="BJ44" s="18">
        <v>14.44</v>
      </c>
      <c r="BK44" s="18">
        <v>8.91</v>
      </c>
      <c r="BL44" s="18">
        <v>21.07</v>
      </c>
      <c r="BM44" s="18">
        <v>23.56</v>
      </c>
      <c r="BN44" s="18">
        <v>15.39</v>
      </c>
      <c r="BO44" s="18">
        <v>32.83</v>
      </c>
      <c r="BP44" s="18"/>
      <c r="BQ44" s="18"/>
      <c r="BR44" s="18"/>
      <c r="BS44" s="18"/>
      <c r="BT44" s="10">
        <f>Tabelle58971121[[#This Row],[Mindestauslastung durch]]*Tabelle58971121[[#This Row],[installierte Leistung MW durch]]</f>
        <v>5.7</v>
      </c>
      <c r="BU44" s="10">
        <f>Tabelle58971121[[#This Row],[Mindestauslastung min]]*Tabelle58971121[[#This Row],[installierte Leistung MW min]]</f>
        <v>4.05</v>
      </c>
      <c r="BV44" s="10">
        <f>Tabelle58971121[[#This Row],[Mindestauslastung max]]*Tabelle58971121[[#This Row],[installierte Leistung MW max]]</f>
        <v>7.35</v>
      </c>
      <c r="BW44" s="8">
        <v>0.15</v>
      </c>
      <c r="BX44" s="8">
        <v>0.15</v>
      </c>
      <c r="BY44" s="8">
        <v>0.15</v>
      </c>
      <c r="BZ44" s="8"/>
      <c r="CA44" s="8">
        <v>0.85</v>
      </c>
      <c r="CB44" s="8">
        <v>0.8</v>
      </c>
      <c r="CC44" s="8">
        <v>0.9</v>
      </c>
      <c r="CD44" s="8">
        <v>0.64</v>
      </c>
      <c r="CE44" s="8">
        <v>0.59</v>
      </c>
      <c r="CF44" s="8">
        <v>0.69</v>
      </c>
      <c r="CG44" s="8">
        <v>0.38</v>
      </c>
      <c r="CH44" s="8">
        <v>0.33</v>
      </c>
      <c r="CI44" s="8">
        <v>0.43</v>
      </c>
      <c r="CJ44" s="8">
        <v>0.85</v>
      </c>
      <c r="CK44" s="8">
        <v>0.8</v>
      </c>
      <c r="CL44" s="8">
        <v>0.9</v>
      </c>
      <c r="CM44" s="8">
        <v>0.64</v>
      </c>
      <c r="CN44" s="8">
        <v>0.59</v>
      </c>
      <c r="CO44" s="8">
        <v>0.69</v>
      </c>
      <c r="CP44" s="8">
        <v>0.38</v>
      </c>
      <c r="CQ44" s="8">
        <v>0.33</v>
      </c>
      <c r="CR44" s="8">
        <v>0.43</v>
      </c>
      <c r="CS44" s="8">
        <v>0.85</v>
      </c>
      <c r="CT44" s="8">
        <v>0.8</v>
      </c>
      <c r="CU44" s="8">
        <v>0.9</v>
      </c>
      <c r="CV44" s="8">
        <v>0.64</v>
      </c>
      <c r="CW44" s="8">
        <v>0.59</v>
      </c>
      <c r="CX44" s="8">
        <v>0.69</v>
      </c>
      <c r="CY44" s="8">
        <v>0.38</v>
      </c>
      <c r="CZ44" s="8">
        <v>0.33</v>
      </c>
      <c r="DA44" s="8">
        <v>0.43</v>
      </c>
      <c r="DB44" s="8"/>
      <c r="DC44" s="8"/>
      <c r="DD44" s="8"/>
      <c r="DE44" s="48">
        <f>Tabelle58971121[[#This Row],[Durchschnittsauslastung min]]*Tabelle58971121[[#This Row],[installierte Leistung MW min]]</f>
        <v>0</v>
      </c>
      <c r="DF44" s="48">
        <f>Tabelle58971121[[#This Row],[Durchschnittsauslastung durch]]*Tabelle58971121[[#This Row],[installierte Leistung MW durch]]</f>
        <v>0</v>
      </c>
      <c r="DG44" s="48">
        <f>Tabelle58971121[[#This Row],[Durchschnittsauslastung max]]*Tabelle58971121[[#This Row],[installierte Leistung MW max]]</f>
        <v>0</v>
      </c>
      <c r="DH44" s="87">
        <f>Tabelle58971121[[#This Row],[Maximalauslastung durch]]*Tabelle58971121[[#This Row],[installierte Leistung MW min]]</f>
        <v>27</v>
      </c>
      <c r="DI44" s="48">
        <f>Tabelle58971121[[#This Row],[Maximalauslastung durch]]*Tabelle58971121[[#This Row],[installierte Leistung MW durch]]</f>
        <v>38</v>
      </c>
      <c r="DJ44" s="18">
        <f>Tabelle58971121[[#This Row],[Maximalauslastung max]]*Tabelle58971121[[#This Row],[installierte Leistung MW durch]]</f>
        <v>38</v>
      </c>
      <c r="DK44" s="8">
        <v>1</v>
      </c>
      <c r="DL44" s="8">
        <v>1</v>
      </c>
      <c r="DM44" s="8">
        <v>1</v>
      </c>
      <c r="DN44" s="1">
        <v>38</v>
      </c>
      <c r="DO44" s="1">
        <v>27</v>
      </c>
      <c r="DP44" s="1">
        <v>49</v>
      </c>
      <c r="DQ44" s="18"/>
      <c r="DR44" s="18"/>
      <c r="DW44" s="1">
        <v>4</v>
      </c>
      <c r="DX44" s="1">
        <v>3.2</v>
      </c>
      <c r="DY44" s="1">
        <v>4.8</v>
      </c>
      <c r="DZ44" s="1">
        <v>4</v>
      </c>
      <c r="EA44" s="1">
        <v>3.2</v>
      </c>
      <c r="EB44" s="1">
        <v>4.8</v>
      </c>
      <c r="EC44" s="1">
        <v>24</v>
      </c>
      <c r="EF44" s="1">
        <v>7.2</v>
      </c>
      <c r="EG44" s="1">
        <v>4.5999999999999996</v>
      </c>
      <c r="EH44" s="1">
        <v>9.8000000000000007</v>
      </c>
      <c r="EL44" s="1">
        <v>365</v>
      </c>
      <c r="EM44" s="1">
        <v>328</v>
      </c>
      <c r="EN44" s="1">
        <v>402</v>
      </c>
      <c r="EO44" s="10"/>
      <c r="EP44" s="10"/>
      <c r="EQ44" s="10"/>
      <c r="ER44" s="1">
        <v>365</v>
      </c>
      <c r="ES44" s="1">
        <v>328</v>
      </c>
      <c r="ET44" s="1">
        <v>402</v>
      </c>
      <c r="EV44" s="18"/>
      <c r="EW44" s="18"/>
      <c r="EX44" s="18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 t="s">
        <v>1046</v>
      </c>
      <c r="FK44" s="7" t="s">
        <v>1046</v>
      </c>
      <c r="FL44" s="7" t="s">
        <v>1046</v>
      </c>
      <c r="FO44" s="1">
        <v>67</v>
      </c>
      <c r="FP44" s="1">
        <v>67</v>
      </c>
      <c r="FQ44" s="1">
        <v>67</v>
      </c>
      <c r="FR44" s="12" t="s">
        <v>743</v>
      </c>
      <c r="FS44" s="12" t="s">
        <v>743</v>
      </c>
      <c r="FT44" s="12" t="s">
        <v>743</v>
      </c>
      <c r="FU44" s="12"/>
      <c r="FV44" s="12" t="s">
        <v>743</v>
      </c>
      <c r="FW44" s="12" t="s">
        <v>743</v>
      </c>
      <c r="FX44" s="12" t="s">
        <v>743</v>
      </c>
      <c r="FY44" s="12" t="s">
        <v>743</v>
      </c>
      <c r="FZ44" s="12" t="s">
        <v>743</v>
      </c>
      <c r="GA44" s="12" t="s">
        <v>743</v>
      </c>
      <c r="GB44" s="12" t="s">
        <v>743</v>
      </c>
      <c r="GE44" s="12" t="s">
        <v>743</v>
      </c>
      <c r="GF44" s="12" t="s">
        <v>743</v>
      </c>
      <c r="GH44" s="12" t="s">
        <v>743</v>
      </c>
    </row>
    <row r="45" spans="1:190" ht="12.75" customHeight="1" x14ac:dyDescent="0.2">
      <c r="A45" s="1" t="s">
        <v>649</v>
      </c>
      <c r="B45" s="1" t="s">
        <v>649</v>
      </c>
      <c r="E45" s="1" t="s">
        <v>130</v>
      </c>
      <c r="F45" s="1">
        <v>2</v>
      </c>
      <c r="G45" s="1">
        <v>2030</v>
      </c>
      <c r="H45" s="1">
        <v>1</v>
      </c>
      <c r="I45" s="1">
        <v>0</v>
      </c>
      <c r="J45" s="1">
        <v>0</v>
      </c>
      <c r="K45" s="18"/>
      <c r="L45" s="18"/>
      <c r="M45" s="18"/>
      <c r="N45" s="18">
        <v>32.299999999999997</v>
      </c>
      <c r="O45" s="18">
        <v>21.6</v>
      </c>
      <c r="P45" s="18">
        <v>44.1</v>
      </c>
      <c r="Q45" s="18">
        <v>5.7</v>
      </c>
      <c r="R45" s="18">
        <v>2.7</v>
      </c>
      <c r="S45" s="18">
        <v>9.8000000000000007</v>
      </c>
      <c r="T45" s="18">
        <v>24.32</v>
      </c>
      <c r="U45" s="18">
        <v>15.93</v>
      </c>
      <c r="V45" s="18">
        <v>33.81</v>
      </c>
      <c r="W45" s="18">
        <v>13.68</v>
      </c>
      <c r="X45" s="18">
        <v>8.3699999999999992</v>
      </c>
      <c r="Y45" s="18">
        <v>20.09</v>
      </c>
      <c r="Z45" s="18">
        <v>14.44</v>
      </c>
      <c r="AA45" s="18">
        <v>8.91</v>
      </c>
      <c r="AB45" s="18">
        <v>21.07</v>
      </c>
      <c r="AC45" s="18">
        <v>23.56</v>
      </c>
      <c r="AD45" s="18">
        <v>15.39</v>
      </c>
      <c r="AE45" s="18">
        <v>32.83</v>
      </c>
      <c r="AF45" s="18">
        <v>32.299999999999997</v>
      </c>
      <c r="AG45" s="18">
        <v>21.6</v>
      </c>
      <c r="AH45" s="18">
        <v>44.1</v>
      </c>
      <c r="AI45" s="18">
        <v>5.7</v>
      </c>
      <c r="AJ45" s="18">
        <v>2.7</v>
      </c>
      <c r="AK45" s="18">
        <v>9.8000000000000007</v>
      </c>
      <c r="AL45" s="18">
        <v>24.32</v>
      </c>
      <c r="AM45" s="18">
        <v>15.93</v>
      </c>
      <c r="AN45" s="18">
        <v>33.81</v>
      </c>
      <c r="AO45" s="18">
        <v>13.68</v>
      </c>
      <c r="AP45" s="18">
        <v>8.3699999999999992</v>
      </c>
      <c r="AQ45" s="18">
        <v>20.09</v>
      </c>
      <c r="AR45" s="18">
        <v>14.44</v>
      </c>
      <c r="AS45" s="18">
        <v>8.91</v>
      </c>
      <c r="AT45" s="18">
        <v>21.07</v>
      </c>
      <c r="AU45" s="18">
        <v>23.56</v>
      </c>
      <c r="AV45" s="18">
        <v>15.39</v>
      </c>
      <c r="AW45" s="18">
        <v>32.83</v>
      </c>
      <c r="AX45" s="18">
        <v>32.299999999999997</v>
      </c>
      <c r="AY45" s="18">
        <v>21.6</v>
      </c>
      <c r="AZ45" s="18">
        <v>44.1</v>
      </c>
      <c r="BA45" s="18">
        <v>5.7</v>
      </c>
      <c r="BB45" s="18">
        <v>2.7</v>
      </c>
      <c r="BC45" s="18">
        <v>9.8000000000000007</v>
      </c>
      <c r="BD45" s="18">
        <v>24.32</v>
      </c>
      <c r="BE45" s="18">
        <v>15.93</v>
      </c>
      <c r="BF45" s="18">
        <v>33.81</v>
      </c>
      <c r="BG45" s="18">
        <v>13.68</v>
      </c>
      <c r="BH45" s="18">
        <v>8.3699999999999992</v>
      </c>
      <c r="BI45" s="18">
        <v>20.09</v>
      </c>
      <c r="BJ45" s="18">
        <v>14.44</v>
      </c>
      <c r="BK45" s="18">
        <v>8.91</v>
      </c>
      <c r="BL45" s="18">
        <v>21.07</v>
      </c>
      <c r="BM45" s="18">
        <v>23.56</v>
      </c>
      <c r="BN45" s="18">
        <v>15.39</v>
      </c>
      <c r="BO45" s="18">
        <v>32.83</v>
      </c>
      <c r="BP45" s="18"/>
      <c r="BQ45" s="18"/>
      <c r="BR45" s="18"/>
      <c r="BS45" s="18"/>
      <c r="BT45" s="10">
        <f>Tabelle58971121[[#This Row],[Mindestauslastung durch]]*Tabelle58971121[[#This Row],[installierte Leistung MW durch]]</f>
        <v>5.7</v>
      </c>
      <c r="BU45" s="10">
        <f>Tabelle58971121[[#This Row],[Mindestauslastung min]]*Tabelle58971121[[#This Row],[installierte Leistung MW min]]</f>
        <v>4.05</v>
      </c>
      <c r="BV45" s="10">
        <f>Tabelle58971121[[#This Row],[Mindestauslastung max]]*Tabelle58971121[[#This Row],[installierte Leistung MW max]]</f>
        <v>7.35</v>
      </c>
      <c r="BW45" s="8">
        <v>0.15</v>
      </c>
      <c r="BX45" s="8">
        <v>0.15</v>
      </c>
      <c r="BY45" s="8">
        <v>0.15</v>
      </c>
      <c r="BZ45" s="8"/>
      <c r="CA45" s="8">
        <v>0.85</v>
      </c>
      <c r="CB45" s="8">
        <v>0.8</v>
      </c>
      <c r="CC45" s="8">
        <v>0.9</v>
      </c>
      <c r="CD45" s="8">
        <v>0.64</v>
      </c>
      <c r="CE45" s="8">
        <v>0.59</v>
      </c>
      <c r="CF45" s="8">
        <v>0.69</v>
      </c>
      <c r="CG45" s="8">
        <v>0.38</v>
      </c>
      <c r="CH45" s="8">
        <v>0.33</v>
      </c>
      <c r="CI45" s="8">
        <v>0.43</v>
      </c>
      <c r="CJ45" s="8">
        <v>0.85</v>
      </c>
      <c r="CK45" s="8">
        <v>0.8</v>
      </c>
      <c r="CL45" s="8">
        <v>0.9</v>
      </c>
      <c r="CM45" s="8">
        <v>0.64</v>
      </c>
      <c r="CN45" s="8">
        <v>0.59</v>
      </c>
      <c r="CO45" s="8">
        <v>0.69</v>
      </c>
      <c r="CP45" s="8">
        <v>0.38</v>
      </c>
      <c r="CQ45" s="8">
        <v>0.33</v>
      </c>
      <c r="CR45" s="8">
        <v>0.43</v>
      </c>
      <c r="CS45" s="8">
        <v>0.85</v>
      </c>
      <c r="CT45" s="8">
        <v>0.8</v>
      </c>
      <c r="CU45" s="8">
        <v>0.9</v>
      </c>
      <c r="CV45" s="8">
        <v>0.64</v>
      </c>
      <c r="CW45" s="8">
        <v>0.59</v>
      </c>
      <c r="CX45" s="8">
        <v>0.69</v>
      </c>
      <c r="CY45" s="8">
        <v>0.38</v>
      </c>
      <c r="CZ45" s="8">
        <v>0.33</v>
      </c>
      <c r="DA45" s="8">
        <v>0.43</v>
      </c>
      <c r="DB45" s="8"/>
      <c r="DC45" s="8"/>
      <c r="DD45" s="8"/>
      <c r="DE45" s="48">
        <f>Tabelle58971121[[#This Row],[Durchschnittsauslastung min]]*Tabelle58971121[[#This Row],[installierte Leistung MW min]]</f>
        <v>0</v>
      </c>
      <c r="DF45" s="48">
        <f>Tabelle58971121[[#This Row],[Durchschnittsauslastung durch]]*Tabelle58971121[[#This Row],[installierte Leistung MW durch]]</f>
        <v>0</v>
      </c>
      <c r="DG45" s="48">
        <f>Tabelle58971121[[#This Row],[Durchschnittsauslastung max]]*Tabelle58971121[[#This Row],[installierte Leistung MW max]]</f>
        <v>0</v>
      </c>
      <c r="DH45" s="87">
        <f>Tabelle58971121[[#This Row],[Maximalauslastung durch]]*Tabelle58971121[[#This Row],[installierte Leistung MW min]]</f>
        <v>27</v>
      </c>
      <c r="DI45" s="48">
        <f>Tabelle58971121[[#This Row],[Maximalauslastung durch]]*Tabelle58971121[[#This Row],[installierte Leistung MW durch]]</f>
        <v>38</v>
      </c>
      <c r="DJ45" s="18">
        <f>Tabelle58971121[[#This Row],[Maximalauslastung max]]*Tabelle58971121[[#This Row],[installierte Leistung MW durch]]</f>
        <v>38</v>
      </c>
      <c r="DK45" s="8">
        <v>1</v>
      </c>
      <c r="DL45" s="8">
        <v>1</v>
      </c>
      <c r="DM45" s="8">
        <v>1</v>
      </c>
      <c r="DN45" s="1">
        <v>38</v>
      </c>
      <c r="DO45" s="1">
        <v>27</v>
      </c>
      <c r="DP45" s="1">
        <v>49</v>
      </c>
      <c r="DQ45" s="18"/>
      <c r="DR45" s="18"/>
      <c r="DW45" s="1">
        <v>4</v>
      </c>
      <c r="DX45" s="1">
        <v>3.2</v>
      </c>
      <c r="DY45" s="1">
        <v>4.8</v>
      </c>
      <c r="DZ45" s="1">
        <v>4</v>
      </c>
      <c r="EA45" s="1">
        <v>3.2</v>
      </c>
      <c r="EB45" s="1">
        <v>4.8</v>
      </c>
      <c r="EC45" s="1">
        <v>24</v>
      </c>
      <c r="EF45" s="1">
        <v>7.2</v>
      </c>
      <c r="EG45" s="1">
        <v>4.5999999999999996</v>
      </c>
      <c r="EH45" s="1">
        <v>9.8000000000000007</v>
      </c>
      <c r="EL45" s="1">
        <v>365</v>
      </c>
      <c r="EM45" s="1">
        <v>328</v>
      </c>
      <c r="EN45" s="1">
        <v>402</v>
      </c>
      <c r="EO45" s="10"/>
      <c r="EP45" s="10"/>
      <c r="EQ45" s="10"/>
      <c r="ER45" s="1">
        <v>365</v>
      </c>
      <c r="ES45" s="1">
        <v>328</v>
      </c>
      <c r="ET45" s="1">
        <v>402</v>
      </c>
      <c r="EV45" s="18"/>
      <c r="EW45" s="18"/>
      <c r="EX45" s="18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 t="s">
        <v>1046</v>
      </c>
      <c r="FK45" s="7" t="s">
        <v>1046</v>
      </c>
      <c r="FL45" s="7" t="s">
        <v>1046</v>
      </c>
      <c r="FO45" s="1">
        <v>67</v>
      </c>
      <c r="FP45" s="1">
        <v>67</v>
      </c>
      <c r="FQ45" s="1">
        <v>67</v>
      </c>
      <c r="FR45" s="12" t="s">
        <v>743</v>
      </c>
      <c r="FS45" s="12" t="s">
        <v>743</v>
      </c>
      <c r="FT45" s="12" t="s">
        <v>743</v>
      </c>
      <c r="FU45" s="12"/>
      <c r="FV45" s="12" t="s">
        <v>743</v>
      </c>
      <c r="FW45" s="12" t="s">
        <v>743</v>
      </c>
      <c r="FX45" s="12" t="s">
        <v>743</v>
      </c>
      <c r="FY45" s="12" t="s">
        <v>743</v>
      </c>
      <c r="FZ45" s="12" t="s">
        <v>743</v>
      </c>
      <c r="GA45" s="12" t="s">
        <v>743</v>
      </c>
      <c r="GB45" s="12" t="s">
        <v>743</v>
      </c>
      <c r="GE45" s="12" t="s">
        <v>743</v>
      </c>
      <c r="GF45" s="12" t="s">
        <v>743</v>
      </c>
      <c r="GH45" s="12" t="s">
        <v>743</v>
      </c>
    </row>
    <row r="46" spans="1:190" ht="12.75" customHeight="1" x14ac:dyDescent="0.2">
      <c r="A46" s="1" t="s">
        <v>649</v>
      </c>
      <c r="B46" s="1" t="s">
        <v>649</v>
      </c>
      <c r="E46" s="1" t="s">
        <v>130</v>
      </c>
      <c r="F46" s="1">
        <v>2</v>
      </c>
      <c r="G46" s="1">
        <v>2035</v>
      </c>
      <c r="H46" s="1">
        <v>1</v>
      </c>
      <c r="I46" s="1">
        <v>0</v>
      </c>
      <c r="J46" s="1">
        <v>0</v>
      </c>
      <c r="K46" s="18"/>
      <c r="L46" s="18"/>
      <c r="M46" s="18"/>
      <c r="N46" s="18">
        <v>32.299999999999997</v>
      </c>
      <c r="O46" s="18">
        <v>21.6</v>
      </c>
      <c r="P46" s="18">
        <v>44.1</v>
      </c>
      <c r="Q46" s="18">
        <v>5.7</v>
      </c>
      <c r="R46" s="18">
        <v>2.7</v>
      </c>
      <c r="S46" s="18">
        <v>9.8000000000000007</v>
      </c>
      <c r="T46" s="18">
        <v>24.32</v>
      </c>
      <c r="U46" s="18">
        <v>15.93</v>
      </c>
      <c r="V46" s="18">
        <v>33.81</v>
      </c>
      <c r="W46" s="18">
        <v>13.68</v>
      </c>
      <c r="X46" s="18">
        <v>8.3699999999999992</v>
      </c>
      <c r="Y46" s="18">
        <v>20.09</v>
      </c>
      <c r="Z46" s="18">
        <v>14.44</v>
      </c>
      <c r="AA46" s="18">
        <v>8.91</v>
      </c>
      <c r="AB46" s="18">
        <v>21.07</v>
      </c>
      <c r="AC46" s="18">
        <v>23.56</v>
      </c>
      <c r="AD46" s="18">
        <v>15.39</v>
      </c>
      <c r="AE46" s="18">
        <v>32.83</v>
      </c>
      <c r="AF46" s="18">
        <v>32.299999999999997</v>
      </c>
      <c r="AG46" s="18">
        <v>21.6</v>
      </c>
      <c r="AH46" s="18">
        <v>44.1</v>
      </c>
      <c r="AI46" s="18">
        <v>5.7</v>
      </c>
      <c r="AJ46" s="18">
        <v>2.7</v>
      </c>
      <c r="AK46" s="18">
        <v>9.8000000000000007</v>
      </c>
      <c r="AL46" s="18">
        <v>24.32</v>
      </c>
      <c r="AM46" s="18">
        <v>15.93</v>
      </c>
      <c r="AN46" s="18">
        <v>33.81</v>
      </c>
      <c r="AO46" s="18">
        <v>13.68</v>
      </c>
      <c r="AP46" s="18">
        <v>8.3699999999999992</v>
      </c>
      <c r="AQ46" s="18">
        <v>20.09</v>
      </c>
      <c r="AR46" s="18">
        <v>14.44</v>
      </c>
      <c r="AS46" s="18">
        <v>8.91</v>
      </c>
      <c r="AT46" s="18">
        <v>21.07</v>
      </c>
      <c r="AU46" s="18">
        <v>23.56</v>
      </c>
      <c r="AV46" s="18">
        <v>15.39</v>
      </c>
      <c r="AW46" s="18">
        <v>32.83</v>
      </c>
      <c r="AX46" s="18">
        <v>32.299999999999997</v>
      </c>
      <c r="AY46" s="18">
        <v>21.6</v>
      </c>
      <c r="AZ46" s="18">
        <v>44.1</v>
      </c>
      <c r="BA46" s="18">
        <v>5.7</v>
      </c>
      <c r="BB46" s="18">
        <v>2.7</v>
      </c>
      <c r="BC46" s="18">
        <v>9.8000000000000007</v>
      </c>
      <c r="BD46" s="18">
        <v>24.32</v>
      </c>
      <c r="BE46" s="18">
        <v>15.93</v>
      </c>
      <c r="BF46" s="18">
        <v>33.81</v>
      </c>
      <c r="BG46" s="18">
        <v>13.68</v>
      </c>
      <c r="BH46" s="18">
        <v>8.3699999999999992</v>
      </c>
      <c r="BI46" s="18">
        <v>20.09</v>
      </c>
      <c r="BJ46" s="18">
        <v>14.44</v>
      </c>
      <c r="BK46" s="18">
        <v>8.91</v>
      </c>
      <c r="BL46" s="18">
        <v>21.07</v>
      </c>
      <c r="BM46" s="18">
        <v>23.56</v>
      </c>
      <c r="BN46" s="18">
        <v>15.39</v>
      </c>
      <c r="BO46" s="18">
        <v>32.83</v>
      </c>
      <c r="BP46" s="18"/>
      <c r="BQ46" s="18"/>
      <c r="BR46" s="18"/>
      <c r="BS46" s="18"/>
      <c r="BT46" s="10">
        <f>Tabelle58971121[[#This Row],[Mindestauslastung durch]]*Tabelle58971121[[#This Row],[installierte Leistung MW durch]]</f>
        <v>5.7</v>
      </c>
      <c r="BU46" s="10">
        <f>Tabelle58971121[[#This Row],[Mindestauslastung min]]*Tabelle58971121[[#This Row],[installierte Leistung MW min]]</f>
        <v>4.05</v>
      </c>
      <c r="BV46" s="10">
        <f>Tabelle58971121[[#This Row],[Mindestauslastung max]]*Tabelle58971121[[#This Row],[installierte Leistung MW max]]</f>
        <v>7.35</v>
      </c>
      <c r="BW46" s="8">
        <v>0.15</v>
      </c>
      <c r="BX46" s="8">
        <v>0.15</v>
      </c>
      <c r="BY46" s="8">
        <v>0.15</v>
      </c>
      <c r="BZ46" s="8"/>
      <c r="CA46" s="8">
        <v>0.85</v>
      </c>
      <c r="CB46" s="8">
        <v>0.8</v>
      </c>
      <c r="CC46" s="8">
        <v>0.9</v>
      </c>
      <c r="CD46" s="8">
        <v>0.64</v>
      </c>
      <c r="CE46" s="8">
        <v>0.59</v>
      </c>
      <c r="CF46" s="8">
        <v>0.69</v>
      </c>
      <c r="CG46" s="8">
        <v>0.38</v>
      </c>
      <c r="CH46" s="8">
        <v>0.33</v>
      </c>
      <c r="CI46" s="8">
        <v>0.43</v>
      </c>
      <c r="CJ46" s="8">
        <v>0.85</v>
      </c>
      <c r="CK46" s="8">
        <v>0.8</v>
      </c>
      <c r="CL46" s="8">
        <v>0.9</v>
      </c>
      <c r="CM46" s="8">
        <v>0.64</v>
      </c>
      <c r="CN46" s="8">
        <v>0.59</v>
      </c>
      <c r="CO46" s="8">
        <v>0.69</v>
      </c>
      <c r="CP46" s="8">
        <v>0.38</v>
      </c>
      <c r="CQ46" s="8">
        <v>0.33</v>
      </c>
      <c r="CR46" s="8">
        <v>0.43</v>
      </c>
      <c r="CS46" s="8">
        <v>0.85</v>
      </c>
      <c r="CT46" s="8">
        <v>0.8</v>
      </c>
      <c r="CU46" s="8">
        <v>0.9</v>
      </c>
      <c r="CV46" s="8">
        <v>0.64</v>
      </c>
      <c r="CW46" s="8">
        <v>0.59</v>
      </c>
      <c r="CX46" s="8">
        <v>0.69</v>
      </c>
      <c r="CY46" s="8">
        <v>0.38</v>
      </c>
      <c r="CZ46" s="8">
        <v>0.33</v>
      </c>
      <c r="DA46" s="8">
        <v>0.43</v>
      </c>
      <c r="DB46" s="8"/>
      <c r="DC46" s="8"/>
      <c r="DD46" s="8"/>
      <c r="DE46" s="48">
        <f>Tabelle58971121[[#This Row],[Durchschnittsauslastung min]]*Tabelle58971121[[#This Row],[installierte Leistung MW min]]</f>
        <v>0</v>
      </c>
      <c r="DF46" s="48">
        <f>Tabelle58971121[[#This Row],[Durchschnittsauslastung durch]]*Tabelle58971121[[#This Row],[installierte Leistung MW durch]]</f>
        <v>0</v>
      </c>
      <c r="DG46" s="48">
        <f>Tabelle58971121[[#This Row],[Durchschnittsauslastung max]]*Tabelle58971121[[#This Row],[installierte Leistung MW max]]</f>
        <v>0</v>
      </c>
      <c r="DH46" s="87">
        <f>Tabelle58971121[[#This Row],[Maximalauslastung durch]]*Tabelle58971121[[#This Row],[installierte Leistung MW min]]</f>
        <v>27</v>
      </c>
      <c r="DI46" s="48">
        <f>Tabelle58971121[[#This Row],[Maximalauslastung durch]]*Tabelle58971121[[#This Row],[installierte Leistung MW durch]]</f>
        <v>38</v>
      </c>
      <c r="DJ46" s="18">
        <f>Tabelle58971121[[#This Row],[Maximalauslastung max]]*Tabelle58971121[[#This Row],[installierte Leistung MW durch]]</f>
        <v>38</v>
      </c>
      <c r="DK46" s="8">
        <v>1</v>
      </c>
      <c r="DL46" s="8">
        <v>1</v>
      </c>
      <c r="DM46" s="8">
        <v>1</v>
      </c>
      <c r="DN46" s="1">
        <v>38</v>
      </c>
      <c r="DO46" s="1">
        <v>27</v>
      </c>
      <c r="DP46" s="1">
        <v>49</v>
      </c>
      <c r="DQ46" s="18"/>
      <c r="DR46" s="18"/>
      <c r="DW46" s="1">
        <v>4</v>
      </c>
      <c r="DX46" s="1">
        <v>3.2</v>
      </c>
      <c r="DY46" s="1">
        <v>4.8</v>
      </c>
      <c r="DZ46" s="1">
        <v>4</v>
      </c>
      <c r="EA46" s="1">
        <v>3.2</v>
      </c>
      <c r="EB46" s="1">
        <v>4.8</v>
      </c>
      <c r="EC46" s="1">
        <v>24</v>
      </c>
      <c r="EF46" s="1">
        <v>7.2</v>
      </c>
      <c r="EG46" s="1">
        <v>4.5999999999999996</v>
      </c>
      <c r="EH46" s="1">
        <v>9.8000000000000007</v>
      </c>
      <c r="EL46" s="1">
        <v>365</v>
      </c>
      <c r="EM46" s="1">
        <v>328</v>
      </c>
      <c r="EN46" s="1">
        <v>402</v>
      </c>
      <c r="EO46" s="10"/>
      <c r="EP46" s="10"/>
      <c r="EQ46" s="10"/>
      <c r="ER46" s="1">
        <v>365</v>
      </c>
      <c r="ES46" s="1">
        <v>328</v>
      </c>
      <c r="ET46" s="1">
        <v>402</v>
      </c>
      <c r="EV46" s="18"/>
      <c r="EW46" s="18"/>
      <c r="EX46" s="18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 t="s">
        <v>1046</v>
      </c>
      <c r="FK46" s="7" t="s">
        <v>1046</v>
      </c>
      <c r="FL46" s="7" t="s">
        <v>1046</v>
      </c>
      <c r="FO46" s="1">
        <v>67</v>
      </c>
      <c r="FP46" s="1">
        <v>67</v>
      </c>
      <c r="FQ46" s="1">
        <v>67</v>
      </c>
      <c r="FR46" s="12" t="s">
        <v>743</v>
      </c>
      <c r="FS46" s="12" t="s">
        <v>743</v>
      </c>
      <c r="FT46" s="12" t="s">
        <v>743</v>
      </c>
      <c r="FU46" s="12"/>
      <c r="FV46" s="12" t="s">
        <v>743</v>
      </c>
      <c r="FW46" s="12" t="s">
        <v>743</v>
      </c>
      <c r="FX46" s="12" t="s">
        <v>743</v>
      </c>
      <c r="FY46" s="12" t="s">
        <v>743</v>
      </c>
      <c r="FZ46" s="12" t="s">
        <v>743</v>
      </c>
      <c r="GA46" s="12" t="s">
        <v>743</v>
      </c>
      <c r="GB46" s="12" t="s">
        <v>743</v>
      </c>
      <c r="GE46" s="12" t="s">
        <v>743</v>
      </c>
      <c r="GF46" s="12" t="s">
        <v>743</v>
      </c>
      <c r="GH46" s="12" t="s">
        <v>743</v>
      </c>
    </row>
    <row r="47" spans="1:190" ht="12.75" customHeight="1" x14ac:dyDescent="0.2">
      <c r="A47" s="1" t="s">
        <v>649</v>
      </c>
      <c r="B47" s="1" t="s">
        <v>649</v>
      </c>
      <c r="E47" s="1" t="s">
        <v>130</v>
      </c>
      <c r="F47" s="1">
        <v>2</v>
      </c>
      <c r="G47" s="1">
        <v>2040</v>
      </c>
      <c r="H47" s="1">
        <v>1</v>
      </c>
      <c r="I47" s="1">
        <v>0</v>
      </c>
      <c r="J47" s="1">
        <v>0</v>
      </c>
      <c r="K47" s="18"/>
      <c r="L47" s="18"/>
      <c r="M47" s="18"/>
      <c r="N47" s="18">
        <v>32.299999999999997</v>
      </c>
      <c r="O47" s="18">
        <v>21.6</v>
      </c>
      <c r="P47" s="18">
        <v>44.1</v>
      </c>
      <c r="Q47" s="18">
        <v>5.7</v>
      </c>
      <c r="R47" s="18">
        <v>2.7</v>
      </c>
      <c r="S47" s="18">
        <v>9.8000000000000007</v>
      </c>
      <c r="T47" s="18">
        <v>24.32</v>
      </c>
      <c r="U47" s="18">
        <v>15.93</v>
      </c>
      <c r="V47" s="18">
        <v>33.81</v>
      </c>
      <c r="W47" s="18">
        <v>13.68</v>
      </c>
      <c r="X47" s="18">
        <v>8.3699999999999992</v>
      </c>
      <c r="Y47" s="18">
        <v>20.09</v>
      </c>
      <c r="Z47" s="18">
        <v>14.44</v>
      </c>
      <c r="AA47" s="18">
        <v>8.91</v>
      </c>
      <c r="AB47" s="18">
        <v>21.07</v>
      </c>
      <c r="AC47" s="18">
        <v>23.56</v>
      </c>
      <c r="AD47" s="18">
        <v>15.39</v>
      </c>
      <c r="AE47" s="18">
        <v>32.83</v>
      </c>
      <c r="AF47" s="18">
        <v>32.299999999999997</v>
      </c>
      <c r="AG47" s="18">
        <v>21.6</v>
      </c>
      <c r="AH47" s="18">
        <v>44.1</v>
      </c>
      <c r="AI47" s="18">
        <v>5.7</v>
      </c>
      <c r="AJ47" s="18">
        <v>2.7</v>
      </c>
      <c r="AK47" s="18">
        <v>9.8000000000000007</v>
      </c>
      <c r="AL47" s="18">
        <v>24.32</v>
      </c>
      <c r="AM47" s="18">
        <v>15.93</v>
      </c>
      <c r="AN47" s="18">
        <v>33.81</v>
      </c>
      <c r="AO47" s="18">
        <v>13.68</v>
      </c>
      <c r="AP47" s="18">
        <v>8.3699999999999992</v>
      </c>
      <c r="AQ47" s="18">
        <v>20.09</v>
      </c>
      <c r="AR47" s="18">
        <v>14.44</v>
      </c>
      <c r="AS47" s="18">
        <v>8.91</v>
      </c>
      <c r="AT47" s="18">
        <v>21.07</v>
      </c>
      <c r="AU47" s="18">
        <v>23.56</v>
      </c>
      <c r="AV47" s="18">
        <v>15.39</v>
      </c>
      <c r="AW47" s="18">
        <v>32.83</v>
      </c>
      <c r="AX47" s="18">
        <v>32.299999999999997</v>
      </c>
      <c r="AY47" s="18">
        <v>21.6</v>
      </c>
      <c r="AZ47" s="18">
        <v>44.1</v>
      </c>
      <c r="BA47" s="18">
        <v>5.7</v>
      </c>
      <c r="BB47" s="18">
        <v>2.7</v>
      </c>
      <c r="BC47" s="18">
        <v>9.8000000000000007</v>
      </c>
      <c r="BD47" s="18">
        <v>24.32</v>
      </c>
      <c r="BE47" s="18">
        <v>15.93</v>
      </c>
      <c r="BF47" s="18">
        <v>33.81</v>
      </c>
      <c r="BG47" s="18">
        <v>13.68</v>
      </c>
      <c r="BH47" s="18">
        <v>8.3699999999999992</v>
      </c>
      <c r="BI47" s="18">
        <v>20.09</v>
      </c>
      <c r="BJ47" s="18">
        <v>14.44</v>
      </c>
      <c r="BK47" s="18">
        <v>8.91</v>
      </c>
      <c r="BL47" s="18">
        <v>21.07</v>
      </c>
      <c r="BM47" s="18">
        <v>23.56</v>
      </c>
      <c r="BN47" s="18">
        <v>15.39</v>
      </c>
      <c r="BO47" s="18">
        <v>32.83</v>
      </c>
      <c r="BP47" s="18"/>
      <c r="BQ47" s="18"/>
      <c r="BR47" s="18"/>
      <c r="BS47" s="18"/>
      <c r="BT47" s="10">
        <f>Tabelle58971121[[#This Row],[Mindestauslastung durch]]*Tabelle58971121[[#This Row],[installierte Leistung MW durch]]</f>
        <v>5.7</v>
      </c>
      <c r="BU47" s="10">
        <f>Tabelle58971121[[#This Row],[Mindestauslastung min]]*Tabelle58971121[[#This Row],[installierte Leistung MW min]]</f>
        <v>4.05</v>
      </c>
      <c r="BV47" s="10">
        <f>Tabelle58971121[[#This Row],[Mindestauslastung max]]*Tabelle58971121[[#This Row],[installierte Leistung MW max]]</f>
        <v>7.35</v>
      </c>
      <c r="BW47" s="8">
        <v>0.15</v>
      </c>
      <c r="BX47" s="8">
        <v>0.15</v>
      </c>
      <c r="BY47" s="8">
        <v>0.15</v>
      </c>
      <c r="BZ47" s="8"/>
      <c r="CA47" s="8">
        <v>0.85</v>
      </c>
      <c r="CB47" s="8">
        <v>0.8</v>
      </c>
      <c r="CC47" s="8">
        <v>0.9</v>
      </c>
      <c r="CD47" s="8">
        <v>0.64</v>
      </c>
      <c r="CE47" s="8">
        <v>0.59</v>
      </c>
      <c r="CF47" s="8">
        <v>0.69</v>
      </c>
      <c r="CG47" s="8">
        <v>0.38</v>
      </c>
      <c r="CH47" s="8">
        <v>0.33</v>
      </c>
      <c r="CI47" s="8">
        <v>0.43</v>
      </c>
      <c r="CJ47" s="8">
        <v>0.85</v>
      </c>
      <c r="CK47" s="8">
        <v>0.8</v>
      </c>
      <c r="CL47" s="8">
        <v>0.9</v>
      </c>
      <c r="CM47" s="8">
        <v>0.64</v>
      </c>
      <c r="CN47" s="8">
        <v>0.59</v>
      </c>
      <c r="CO47" s="8">
        <v>0.69</v>
      </c>
      <c r="CP47" s="8">
        <v>0.38</v>
      </c>
      <c r="CQ47" s="8">
        <v>0.33</v>
      </c>
      <c r="CR47" s="8">
        <v>0.43</v>
      </c>
      <c r="CS47" s="8">
        <v>0.85</v>
      </c>
      <c r="CT47" s="8">
        <v>0.8</v>
      </c>
      <c r="CU47" s="8">
        <v>0.9</v>
      </c>
      <c r="CV47" s="8">
        <v>0.64</v>
      </c>
      <c r="CW47" s="8">
        <v>0.59</v>
      </c>
      <c r="CX47" s="8">
        <v>0.69</v>
      </c>
      <c r="CY47" s="8">
        <v>0.38</v>
      </c>
      <c r="CZ47" s="8">
        <v>0.33</v>
      </c>
      <c r="DA47" s="8">
        <v>0.43</v>
      </c>
      <c r="DB47" s="8"/>
      <c r="DC47" s="8"/>
      <c r="DD47" s="8"/>
      <c r="DE47" s="48">
        <f>Tabelle58971121[[#This Row],[Durchschnittsauslastung min]]*Tabelle58971121[[#This Row],[installierte Leistung MW min]]</f>
        <v>0</v>
      </c>
      <c r="DF47" s="48">
        <f>Tabelle58971121[[#This Row],[Durchschnittsauslastung durch]]*Tabelle58971121[[#This Row],[installierte Leistung MW durch]]</f>
        <v>0</v>
      </c>
      <c r="DG47" s="48">
        <f>Tabelle58971121[[#This Row],[Durchschnittsauslastung max]]*Tabelle58971121[[#This Row],[installierte Leistung MW max]]</f>
        <v>0</v>
      </c>
      <c r="DH47" s="87">
        <f>Tabelle58971121[[#This Row],[Maximalauslastung durch]]*Tabelle58971121[[#This Row],[installierte Leistung MW min]]</f>
        <v>27</v>
      </c>
      <c r="DI47" s="48">
        <f>Tabelle58971121[[#This Row],[Maximalauslastung durch]]*Tabelle58971121[[#This Row],[installierte Leistung MW durch]]</f>
        <v>38</v>
      </c>
      <c r="DJ47" s="18">
        <f>Tabelle58971121[[#This Row],[Maximalauslastung max]]*Tabelle58971121[[#This Row],[installierte Leistung MW durch]]</f>
        <v>38</v>
      </c>
      <c r="DK47" s="8">
        <v>1</v>
      </c>
      <c r="DL47" s="8">
        <v>1</v>
      </c>
      <c r="DM47" s="8">
        <v>1</v>
      </c>
      <c r="DN47" s="1">
        <v>38</v>
      </c>
      <c r="DO47" s="1">
        <v>27</v>
      </c>
      <c r="DP47" s="1">
        <v>49</v>
      </c>
      <c r="DQ47" s="18"/>
      <c r="DR47" s="18"/>
      <c r="DW47" s="1">
        <v>4</v>
      </c>
      <c r="DX47" s="1">
        <v>3.2</v>
      </c>
      <c r="DY47" s="1">
        <v>4.8</v>
      </c>
      <c r="DZ47" s="1">
        <v>4</v>
      </c>
      <c r="EA47" s="1">
        <v>3.2</v>
      </c>
      <c r="EB47" s="1">
        <v>4.8</v>
      </c>
      <c r="EC47" s="1">
        <v>24</v>
      </c>
      <c r="EF47" s="1">
        <v>7.2</v>
      </c>
      <c r="EG47" s="1">
        <v>4.5999999999999996</v>
      </c>
      <c r="EH47" s="1">
        <v>9.8000000000000007</v>
      </c>
      <c r="EL47" s="1">
        <v>365</v>
      </c>
      <c r="EM47" s="1">
        <v>328</v>
      </c>
      <c r="EN47" s="1">
        <v>402</v>
      </c>
      <c r="EO47" s="10"/>
      <c r="EP47" s="10"/>
      <c r="EQ47" s="10"/>
      <c r="ER47" s="1">
        <v>365</v>
      </c>
      <c r="ES47" s="1">
        <v>328</v>
      </c>
      <c r="ET47" s="1">
        <v>402</v>
      </c>
      <c r="EV47" s="18"/>
      <c r="EW47" s="18"/>
      <c r="EX47" s="18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 t="s">
        <v>1046</v>
      </c>
      <c r="FK47" s="7" t="s">
        <v>1046</v>
      </c>
      <c r="FL47" s="7" t="s">
        <v>1046</v>
      </c>
      <c r="FO47" s="1">
        <v>67</v>
      </c>
      <c r="FP47" s="1">
        <v>67</v>
      </c>
      <c r="FQ47" s="1">
        <v>67</v>
      </c>
      <c r="FR47" s="12" t="s">
        <v>743</v>
      </c>
      <c r="FS47" s="12" t="s">
        <v>743</v>
      </c>
      <c r="FT47" s="12" t="s">
        <v>743</v>
      </c>
      <c r="FU47" s="12"/>
      <c r="FV47" s="12" t="s">
        <v>743</v>
      </c>
      <c r="FW47" s="12" t="s">
        <v>743</v>
      </c>
      <c r="FX47" s="12" t="s">
        <v>743</v>
      </c>
      <c r="FY47" s="12" t="s">
        <v>743</v>
      </c>
      <c r="FZ47" s="12" t="s">
        <v>743</v>
      </c>
      <c r="GA47" s="12" t="s">
        <v>743</v>
      </c>
      <c r="GB47" s="12" t="s">
        <v>743</v>
      </c>
      <c r="GE47" s="12" t="s">
        <v>743</v>
      </c>
      <c r="GF47" s="12" t="s">
        <v>743</v>
      </c>
      <c r="GH47" s="12" t="s">
        <v>743</v>
      </c>
    </row>
    <row r="48" spans="1:190" ht="12.75" customHeight="1" x14ac:dyDescent="0.2">
      <c r="A48" s="1" t="s">
        <v>649</v>
      </c>
      <c r="B48" s="1" t="s">
        <v>649</v>
      </c>
      <c r="E48" s="1" t="s">
        <v>130</v>
      </c>
      <c r="F48" s="1">
        <v>2</v>
      </c>
      <c r="G48" s="1">
        <v>2045</v>
      </c>
      <c r="H48" s="1">
        <v>1</v>
      </c>
      <c r="I48" s="1">
        <v>0</v>
      </c>
      <c r="J48" s="1">
        <v>0</v>
      </c>
      <c r="K48" s="18"/>
      <c r="L48" s="18"/>
      <c r="M48" s="18"/>
      <c r="N48" s="18">
        <v>32.299999999999997</v>
      </c>
      <c r="O48" s="18">
        <v>21.6</v>
      </c>
      <c r="P48" s="18">
        <v>44.1</v>
      </c>
      <c r="Q48" s="18">
        <v>5.7</v>
      </c>
      <c r="R48" s="18">
        <v>2.7</v>
      </c>
      <c r="S48" s="18">
        <v>9.8000000000000007</v>
      </c>
      <c r="T48" s="18">
        <v>24.32</v>
      </c>
      <c r="U48" s="18">
        <v>15.93</v>
      </c>
      <c r="V48" s="18">
        <v>33.81</v>
      </c>
      <c r="W48" s="18">
        <v>13.68</v>
      </c>
      <c r="X48" s="18">
        <v>8.3699999999999992</v>
      </c>
      <c r="Y48" s="18">
        <v>20.09</v>
      </c>
      <c r="Z48" s="18">
        <v>14.44</v>
      </c>
      <c r="AA48" s="18">
        <v>8.91</v>
      </c>
      <c r="AB48" s="18">
        <v>21.07</v>
      </c>
      <c r="AC48" s="18">
        <v>23.56</v>
      </c>
      <c r="AD48" s="18">
        <v>15.39</v>
      </c>
      <c r="AE48" s="18">
        <v>32.83</v>
      </c>
      <c r="AF48" s="18">
        <v>32.299999999999997</v>
      </c>
      <c r="AG48" s="18">
        <v>21.6</v>
      </c>
      <c r="AH48" s="18">
        <v>44.1</v>
      </c>
      <c r="AI48" s="18">
        <v>5.7</v>
      </c>
      <c r="AJ48" s="18">
        <v>2.7</v>
      </c>
      <c r="AK48" s="18">
        <v>9.8000000000000007</v>
      </c>
      <c r="AL48" s="18">
        <v>24.32</v>
      </c>
      <c r="AM48" s="18">
        <v>15.93</v>
      </c>
      <c r="AN48" s="18">
        <v>33.81</v>
      </c>
      <c r="AO48" s="18">
        <v>13.68</v>
      </c>
      <c r="AP48" s="18">
        <v>8.3699999999999992</v>
      </c>
      <c r="AQ48" s="18">
        <v>20.09</v>
      </c>
      <c r="AR48" s="18">
        <v>14.44</v>
      </c>
      <c r="AS48" s="18">
        <v>8.91</v>
      </c>
      <c r="AT48" s="18">
        <v>21.07</v>
      </c>
      <c r="AU48" s="18">
        <v>23.56</v>
      </c>
      <c r="AV48" s="18">
        <v>15.39</v>
      </c>
      <c r="AW48" s="18">
        <v>32.83</v>
      </c>
      <c r="AX48" s="18">
        <v>32.299999999999997</v>
      </c>
      <c r="AY48" s="18">
        <v>21.6</v>
      </c>
      <c r="AZ48" s="18">
        <v>44.1</v>
      </c>
      <c r="BA48" s="18">
        <v>5.7</v>
      </c>
      <c r="BB48" s="18">
        <v>2.7</v>
      </c>
      <c r="BC48" s="18">
        <v>9.8000000000000007</v>
      </c>
      <c r="BD48" s="18">
        <v>24.32</v>
      </c>
      <c r="BE48" s="18">
        <v>15.93</v>
      </c>
      <c r="BF48" s="18">
        <v>33.81</v>
      </c>
      <c r="BG48" s="18">
        <v>13.68</v>
      </c>
      <c r="BH48" s="18">
        <v>8.3699999999999992</v>
      </c>
      <c r="BI48" s="18">
        <v>20.09</v>
      </c>
      <c r="BJ48" s="18">
        <v>14.44</v>
      </c>
      <c r="BK48" s="18">
        <v>8.91</v>
      </c>
      <c r="BL48" s="18">
        <v>21.07</v>
      </c>
      <c r="BM48" s="18">
        <v>23.56</v>
      </c>
      <c r="BN48" s="18">
        <v>15.39</v>
      </c>
      <c r="BO48" s="18">
        <v>32.83</v>
      </c>
      <c r="BP48" s="18"/>
      <c r="BQ48" s="18"/>
      <c r="BR48" s="18"/>
      <c r="BS48" s="18"/>
      <c r="BT48" s="10">
        <f>Tabelle58971121[[#This Row],[Mindestauslastung durch]]*Tabelle58971121[[#This Row],[installierte Leistung MW durch]]</f>
        <v>5.7</v>
      </c>
      <c r="BU48" s="10">
        <f>Tabelle58971121[[#This Row],[Mindestauslastung min]]*Tabelle58971121[[#This Row],[installierte Leistung MW min]]</f>
        <v>4.05</v>
      </c>
      <c r="BV48" s="10">
        <f>Tabelle58971121[[#This Row],[Mindestauslastung max]]*Tabelle58971121[[#This Row],[installierte Leistung MW max]]</f>
        <v>7.35</v>
      </c>
      <c r="BW48" s="8">
        <v>0.15</v>
      </c>
      <c r="BX48" s="8">
        <v>0.15</v>
      </c>
      <c r="BY48" s="8">
        <v>0.15</v>
      </c>
      <c r="BZ48" s="8"/>
      <c r="CA48" s="8">
        <v>0.85</v>
      </c>
      <c r="CB48" s="8">
        <v>0.8</v>
      </c>
      <c r="CC48" s="8">
        <v>0.9</v>
      </c>
      <c r="CD48" s="8">
        <v>0.64</v>
      </c>
      <c r="CE48" s="8">
        <v>0.59</v>
      </c>
      <c r="CF48" s="8">
        <v>0.69</v>
      </c>
      <c r="CG48" s="8">
        <v>0.38</v>
      </c>
      <c r="CH48" s="8">
        <v>0.33</v>
      </c>
      <c r="CI48" s="8">
        <v>0.43</v>
      </c>
      <c r="CJ48" s="8">
        <v>0.85</v>
      </c>
      <c r="CK48" s="8">
        <v>0.8</v>
      </c>
      <c r="CL48" s="8">
        <v>0.9</v>
      </c>
      <c r="CM48" s="8">
        <v>0.64</v>
      </c>
      <c r="CN48" s="8">
        <v>0.59</v>
      </c>
      <c r="CO48" s="8">
        <v>0.69</v>
      </c>
      <c r="CP48" s="8">
        <v>0.38</v>
      </c>
      <c r="CQ48" s="8">
        <v>0.33</v>
      </c>
      <c r="CR48" s="8">
        <v>0.43</v>
      </c>
      <c r="CS48" s="8">
        <v>0.85</v>
      </c>
      <c r="CT48" s="8">
        <v>0.8</v>
      </c>
      <c r="CU48" s="8">
        <v>0.9</v>
      </c>
      <c r="CV48" s="8">
        <v>0.64</v>
      </c>
      <c r="CW48" s="8">
        <v>0.59</v>
      </c>
      <c r="CX48" s="8">
        <v>0.69</v>
      </c>
      <c r="CY48" s="8">
        <v>0.38</v>
      </c>
      <c r="CZ48" s="8">
        <v>0.33</v>
      </c>
      <c r="DA48" s="8">
        <v>0.43</v>
      </c>
      <c r="DB48" s="8"/>
      <c r="DC48" s="8"/>
      <c r="DD48" s="8"/>
      <c r="DE48" s="48">
        <f>Tabelle58971121[[#This Row],[Durchschnittsauslastung min]]*Tabelle58971121[[#This Row],[installierte Leistung MW min]]</f>
        <v>0</v>
      </c>
      <c r="DF48" s="48">
        <f>Tabelle58971121[[#This Row],[Durchschnittsauslastung durch]]*Tabelle58971121[[#This Row],[installierte Leistung MW durch]]</f>
        <v>0</v>
      </c>
      <c r="DG48" s="48">
        <f>Tabelle58971121[[#This Row],[Durchschnittsauslastung max]]*Tabelle58971121[[#This Row],[installierte Leistung MW max]]</f>
        <v>0</v>
      </c>
      <c r="DH48" s="87">
        <f>Tabelle58971121[[#This Row],[Maximalauslastung durch]]*Tabelle58971121[[#This Row],[installierte Leistung MW min]]</f>
        <v>27</v>
      </c>
      <c r="DI48" s="48">
        <f>Tabelle58971121[[#This Row],[Maximalauslastung durch]]*Tabelle58971121[[#This Row],[installierte Leistung MW durch]]</f>
        <v>38</v>
      </c>
      <c r="DJ48" s="18">
        <f>Tabelle58971121[[#This Row],[Maximalauslastung max]]*Tabelle58971121[[#This Row],[installierte Leistung MW durch]]</f>
        <v>38</v>
      </c>
      <c r="DK48" s="8">
        <v>1</v>
      </c>
      <c r="DL48" s="8">
        <v>1</v>
      </c>
      <c r="DM48" s="8">
        <v>1</v>
      </c>
      <c r="DN48" s="1">
        <v>38</v>
      </c>
      <c r="DO48" s="1">
        <v>27</v>
      </c>
      <c r="DP48" s="1">
        <v>49</v>
      </c>
      <c r="DQ48" s="18"/>
      <c r="DR48" s="18"/>
      <c r="DW48" s="1">
        <v>4</v>
      </c>
      <c r="DX48" s="1">
        <v>3.2</v>
      </c>
      <c r="DY48" s="1">
        <v>4.8</v>
      </c>
      <c r="DZ48" s="1">
        <v>4</v>
      </c>
      <c r="EA48" s="1">
        <v>3.2</v>
      </c>
      <c r="EB48" s="1">
        <v>4.8</v>
      </c>
      <c r="EC48" s="1">
        <v>24</v>
      </c>
      <c r="EF48" s="1">
        <v>7.2</v>
      </c>
      <c r="EG48" s="1">
        <v>4.5999999999999996</v>
      </c>
      <c r="EH48" s="1">
        <v>9.8000000000000007</v>
      </c>
      <c r="EL48" s="1">
        <v>365</v>
      </c>
      <c r="EM48" s="1">
        <v>328</v>
      </c>
      <c r="EN48" s="1">
        <v>402</v>
      </c>
      <c r="EO48" s="10"/>
      <c r="EP48" s="10"/>
      <c r="EQ48" s="10"/>
      <c r="ER48" s="1">
        <v>365</v>
      </c>
      <c r="ES48" s="1">
        <v>328</v>
      </c>
      <c r="ET48" s="1">
        <v>402</v>
      </c>
      <c r="EV48" s="18"/>
      <c r="EW48" s="18"/>
      <c r="EX48" s="18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 t="s">
        <v>1046</v>
      </c>
      <c r="FK48" s="7" t="s">
        <v>1046</v>
      </c>
      <c r="FL48" s="7" t="s">
        <v>1046</v>
      </c>
      <c r="FO48" s="1">
        <v>67</v>
      </c>
      <c r="FP48" s="1">
        <v>67</v>
      </c>
      <c r="FQ48" s="1">
        <v>67</v>
      </c>
      <c r="FR48" s="12" t="s">
        <v>743</v>
      </c>
      <c r="FS48" s="12" t="s">
        <v>743</v>
      </c>
      <c r="FT48" s="12" t="s">
        <v>743</v>
      </c>
      <c r="FU48" s="12"/>
      <c r="FV48" s="12" t="s">
        <v>743</v>
      </c>
      <c r="FW48" s="12" t="s">
        <v>743</v>
      </c>
      <c r="FX48" s="12" t="s">
        <v>743</v>
      </c>
      <c r="FY48" s="12" t="s">
        <v>743</v>
      </c>
      <c r="FZ48" s="12" t="s">
        <v>743</v>
      </c>
      <c r="GA48" s="12" t="s">
        <v>743</v>
      </c>
      <c r="GB48" s="12" t="s">
        <v>743</v>
      </c>
      <c r="GE48" s="12" t="s">
        <v>743</v>
      </c>
      <c r="GF48" s="12" t="s">
        <v>743</v>
      </c>
      <c r="GH48" s="12" t="s">
        <v>743</v>
      </c>
    </row>
    <row r="49" spans="1:190" ht="12.75" customHeight="1" x14ac:dyDescent="0.2">
      <c r="A49" s="1" t="s">
        <v>649</v>
      </c>
      <c r="B49" s="1" t="s">
        <v>649</v>
      </c>
      <c r="E49" s="1" t="s">
        <v>130</v>
      </c>
      <c r="F49" s="1">
        <v>2</v>
      </c>
      <c r="G49" s="1">
        <v>2050</v>
      </c>
      <c r="H49" s="1">
        <v>1</v>
      </c>
      <c r="I49" s="1">
        <v>0</v>
      </c>
      <c r="J49" s="1">
        <v>0</v>
      </c>
      <c r="K49" s="18"/>
      <c r="L49" s="18"/>
      <c r="M49" s="18"/>
      <c r="N49" s="18">
        <v>32.299999999999997</v>
      </c>
      <c r="O49" s="18">
        <v>21.6</v>
      </c>
      <c r="P49" s="18">
        <v>44.1</v>
      </c>
      <c r="Q49" s="18">
        <v>5.7</v>
      </c>
      <c r="R49" s="18">
        <v>2.7</v>
      </c>
      <c r="S49" s="18">
        <v>9.8000000000000007</v>
      </c>
      <c r="T49" s="18">
        <v>24.32</v>
      </c>
      <c r="U49" s="18">
        <v>15.93</v>
      </c>
      <c r="V49" s="18">
        <v>33.81</v>
      </c>
      <c r="W49" s="18">
        <v>13.68</v>
      </c>
      <c r="X49" s="18">
        <v>8.3699999999999992</v>
      </c>
      <c r="Y49" s="18">
        <v>20.09</v>
      </c>
      <c r="Z49" s="18">
        <v>14.44</v>
      </c>
      <c r="AA49" s="18">
        <v>8.91</v>
      </c>
      <c r="AB49" s="18">
        <v>21.07</v>
      </c>
      <c r="AC49" s="18">
        <v>23.56</v>
      </c>
      <c r="AD49" s="18">
        <v>15.39</v>
      </c>
      <c r="AE49" s="18">
        <v>32.83</v>
      </c>
      <c r="AF49" s="18">
        <v>32.299999999999997</v>
      </c>
      <c r="AG49" s="18">
        <v>21.6</v>
      </c>
      <c r="AH49" s="18">
        <v>44.1</v>
      </c>
      <c r="AI49" s="18">
        <v>5.7</v>
      </c>
      <c r="AJ49" s="18">
        <v>2.7</v>
      </c>
      <c r="AK49" s="18">
        <v>9.8000000000000007</v>
      </c>
      <c r="AL49" s="18">
        <v>24.32</v>
      </c>
      <c r="AM49" s="18">
        <v>15.93</v>
      </c>
      <c r="AN49" s="18">
        <v>33.81</v>
      </c>
      <c r="AO49" s="18">
        <v>13.68</v>
      </c>
      <c r="AP49" s="18">
        <v>8.3699999999999992</v>
      </c>
      <c r="AQ49" s="18">
        <v>20.09</v>
      </c>
      <c r="AR49" s="18">
        <v>14.44</v>
      </c>
      <c r="AS49" s="18">
        <v>8.91</v>
      </c>
      <c r="AT49" s="18">
        <v>21.07</v>
      </c>
      <c r="AU49" s="18">
        <v>23.56</v>
      </c>
      <c r="AV49" s="18">
        <v>15.39</v>
      </c>
      <c r="AW49" s="18">
        <v>32.83</v>
      </c>
      <c r="AX49" s="18">
        <v>32.299999999999997</v>
      </c>
      <c r="AY49" s="18">
        <v>21.6</v>
      </c>
      <c r="AZ49" s="18">
        <v>44.1</v>
      </c>
      <c r="BA49" s="18">
        <v>5.7</v>
      </c>
      <c r="BB49" s="18">
        <v>2.7</v>
      </c>
      <c r="BC49" s="18">
        <v>9.8000000000000007</v>
      </c>
      <c r="BD49" s="18">
        <v>24.32</v>
      </c>
      <c r="BE49" s="18">
        <v>15.93</v>
      </c>
      <c r="BF49" s="18">
        <v>33.81</v>
      </c>
      <c r="BG49" s="18">
        <v>13.68</v>
      </c>
      <c r="BH49" s="18">
        <v>8.3699999999999992</v>
      </c>
      <c r="BI49" s="18">
        <v>20.09</v>
      </c>
      <c r="BJ49" s="18">
        <v>14.44</v>
      </c>
      <c r="BK49" s="18">
        <v>8.91</v>
      </c>
      <c r="BL49" s="18">
        <v>21.07</v>
      </c>
      <c r="BM49" s="18">
        <v>23.56</v>
      </c>
      <c r="BN49" s="18">
        <v>15.39</v>
      </c>
      <c r="BO49" s="18">
        <v>32.83</v>
      </c>
      <c r="BP49" s="18"/>
      <c r="BQ49" s="18"/>
      <c r="BR49" s="18"/>
      <c r="BS49" s="18"/>
      <c r="BT49" s="10">
        <f>Tabelle58971121[[#This Row],[Mindestauslastung durch]]*Tabelle58971121[[#This Row],[installierte Leistung MW durch]]</f>
        <v>5.7</v>
      </c>
      <c r="BU49" s="10">
        <f>Tabelle58971121[[#This Row],[Mindestauslastung min]]*Tabelle58971121[[#This Row],[installierte Leistung MW min]]</f>
        <v>4.05</v>
      </c>
      <c r="BV49" s="10">
        <f>Tabelle58971121[[#This Row],[Mindestauslastung max]]*Tabelle58971121[[#This Row],[installierte Leistung MW max]]</f>
        <v>7.35</v>
      </c>
      <c r="BW49" s="8">
        <v>0.15</v>
      </c>
      <c r="BX49" s="8">
        <v>0.15</v>
      </c>
      <c r="BY49" s="8">
        <v>0.15</v>
      </c>
      <c r="BZ49" s="8"/>
      <c r="CA49" s="8">
        <v>0.85</v>
      </c>
      <c r="CB49" s="8">
        <v>0.8</v>
      </c>
      <c r="CC49" s="8">
        <v>0.9</v>
      </c>
      <c r="CD49" s="8">
        <v>0.64</v>
      </c>
      <c r="CE49" s="8">
        <v>0.59</v>
      </c>
      <c r="CF49" s="8">
        <v>0.69</v>
      </c>
      <c r="CG49" s="8">
        <v>0.38</v>
      </c>
      <c r="CH49" s="8">
        <v>0.33</v>
      </c>
      <c r="CI49" s="8">
        <v>0.43</v>
      </c>
      <c r="CJ49" s="8">
        <v>0.85</v>
      </c>
      <c r="CK49" s="8">
        <v>0.8</v>
      </c>
      <c r="CL49" s="8">
        <v>0.9</v>
      </c>
      <c r="CM49" s="8">
        <v>0.64</v>
      </c>
      <c r="CN49" s="8">
        <v>0.59</v>
      </c>
      <c r="CO49" s="8">
        <v>0.69</v>
      </c>
      <c r="CP49" s="8">
        <v>0.38</v>
      </c>
      <c r="CQ49" s="8">
        <v>0.33</v>
      </c>
      <c r="CR49" s="8">
        <v>0.43</v>
      </c>
      <c r="CS49" s="8">
        <v>0.85</v>
      </c>
      <c r="CT49" s="8">
        <v>0.8</v>
      </c>
      <c r="CU49" s="8">
        <v>0.9</v>
      </c>
      <c r="CV49" s="8">
        <v>0.64</v>
      </c>
      <c r="CW49" s="8">
        <v>0.59</v>
      </c>
      <c r="CX49" s="8">
        <v>0.69</v>
      </c>
      <c r="CY49" s="8">
        <v>0.38</v>
      </c>
      <c r="CZ49" s="8">
        <v>0.33</v>
      </c>
      <c r="DA49" s="8">
        <v>0.43</v>
      </c>
      <c r="DB49" s="8"/>
      <c r="DC49" s="8"/>
      <c r="DD49" s="8"/>
      <c r="DE49" s="48">
        <f>Tabelle58971121[[#This Row],[Durchschnittsauslastung min]]*Tabelle58971121[[#This Row],[installierte Leistung MW min]]</f>
        <v>0</v>
      </c>
      <c r="DF49" s="48">
        <f>Tabelle58971121[[#This Row],[Durchschnittsauslastung durch]]*Tabelle58971121[[#This Row],[installierte Leistung MW durch]]</f>
        <v>0</v>
      </c>
      <c r="DG49" s="48">
        <f>Tabelle58971121[[#This Row],[Durchschnittsauslastung max]]*Tabelle58971121[[#This Row],[installierte Leistung MW max]]</f>
        <v>0</v>
      </c>
      <c r="DH49" s="87">
        <f>Tabelle58971121[[#This Row],[Maximalauslastung durch]]*Tabelle58971121[[#This Row],[installierte Leistung MW min]]</f>
        <v>27</v>
      </c>
      <c r="DI49" s="48">
        <f>Tabelle58971121[[#This Row],[Maximalauslastung durch]]*Tabelle58971121[[#This Row],[installierte Leistung MW durch]]</f>
        <v>38</v>
      </c>
      <c r="DJ49" s="18">
        <f>Tabelle58971121[[#This Row],[Maximalauslastung max]]*Tabelle58971121[[#This Row],[installierte Leistung MW durch]]</f>
        <v>38</v>
      </c>
      <c r="DK49" s="8">
        <v>1</v>
      </c>
      <c r="DL49" s="8">
        <v>1</v>
      </c>
      <c r="DM49" s="8">
        <v>1</v>
      </c>
      <c r="DN49" s="1">
        <v>38</v>
      </c>
      <c r="DO49" s="1">
        <v>27</v>
      </c>
      <c r="DP49" s="1">
        <v>49</v>
      </c>
      <c r="DQ49" s="18"/>
      <c r="DR49" s="18"/>
      <c r="DW49" s="1">
        <v>4</v>
      </c>
      <c r="DX49" s="1">
        <v>3.2</v>
      </c>
      <c r="DY49" s="1">
        <v>4.8</v>
      </c>
      <c r="DZ49" s="1">
        <v>4</v>
      </c>
      <c r="EA49" s="1">
        <v>3.2</v>
      </c>
      <c r="EB49" s="1">
        <v>4.8</v>
      </c>
      <c r="EC49" s="1">
        <v>24</v>
      </c>
      <c r="EF49" s="1">
        <v>7.2</v>
      </c>
      <c r="EG49" s="1">
        <v>4.5999999999999996</v>
      </c>
      <c r="EH49" s="1">
        <v>9.8000000000000007</v>
      </c>
      <c r="EL49" s="1">
        <v>365</v>
      </c>
      <c r="EM49" s="1">
        <v>328</v>
      </c>
      <c r="EN49" s="1">
        <v>402</v>
      </c>
      <c r="EO49" s="10"/>
      <c r="EP49" s="10"/>
      <c r="EQ49" s="10"/>
      <c r="ER49" s="1">
        <v>365</v>
      </c>
      <c r="ES49" s="1">
        <v>328</v>
      </c>
      <c r="ET49" s="1">
        <v>402</v>
      </c>
      <c r="EV49" s="18"/>
      <c r="EW49" s="18"/>
      <c r="EX49" s="18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 t="s">
        <v>1046</v>
      </c>
      <c r="FK49" s="7" t="s">
        <v>1046</v>
      </c>
      <c r="FL49" s="7" t="s">
        <v>1046</v>
      </c>
      <c r="FO49" s="1">
        <v>67</v>
      </c>
      <c r="FP49" s="1">
        <v>67</v>
      </c>
      <c r="FQ49" s="1">
        <v>67</v>
      </c>
      <c r="FR49" s="12" t="s">
        <v>743</v>
      </c>
      <c r="FS49" s="12" t="s">
        <v>743</v>
      </c>
      <c r="FT49" s="12" t="s">
        <v>743</v>
      </c>
      <c r="FU49" s="12"/>
      <c r="FV49" s="12" t="s">
        <v>743</v>
      </c>
      <c r="FW49" s="12" t="s">
        <v>743</v>
      </c>
      <c r="FX49" s="12" t="s">
        <v>743</v>
      </c>
      <c r="FY49" s="12" t="s">
        <v>743</v>
      </c>
      <c r="FZ49" s="12" t="s">
        <v>743</v>
      </c>
      <c r="GA49" s="12" t="s">
        <v>743</v>
      </c>
      <c r="GB49" s="12" t="s">
        <v>743</v>
      </c>
      <c r="GE49" s="12" t="s">
        <v>743</v>
      </c>
      <c r="GF49" s="12" t="s">
        <v>743</v>
      </c>
      <c r="GH49" s="12" t="s">
        <v>743</v>
      </c>
    </row>
    <row r="50" spans="1:190" ht="12.75" customHeight="1" x14ac:dyDescent="0.2">
      <c r="A50" s="1" t="s">
        <v>141</v>
      </c>
      <c r="B50" s="1" t="s">
        <v>682</v>
      </c>
      <c r="E50" s="1" t="s">
        <v>142</v>
      </c>
      <c r="F50" s="1">
        <v>2</v>
      </c>
      <c r="G50" s="1">
        <v>2015</v>
      </c>
      <c r="H50" s="1">
        <v>1</v>
      </c>
      <c r="I50" s="1">
        <v>0</v>
      </c>
      <c r="J50" s="1">
        <v>0</v>
      </c>
      <c r="K50" s="18"/>
      <c r="L50" s="18"/>
      <c r="M50" s="18"/>
      <c r="N50" s="18">
        <v>1283.333333333333</v>
      </c>
      <c r="O50" s="18">
        <v>0</v>
      </c>
      <c r="P50" s="18">
        <v>4308</v>
      </c>
      <c r="Q50" s="18">
        <v>0</v>
      </c>
      <c r="R50" s="18">
        <v>0</v>
      </c>
      <c r="S50" s="18">
        <v>0</v>
      </c>
      <c r="T50" s="18">
        <v>1283.333333333333</v>
      </c>
      <c r="U50" s="18">
        <v>0</v>
      </c>
      <c r="V50" s="18">
        <v>4308</v>
      </c>
      <c r="W50" s="18">
        <v>0</v>
      </c>
      <c r="X50" s="18">
        <v>0</v>
      </c>
      <c r="Y50" s="18">
        <v>0</v>
      </c>
      <c r="Z50" s="18">
        <v>1283.333333333333</v>
      </c>
      <c r="AA50" s="18">
        <v>0</v>
      </c>
      <c r="AB50" s="18">
        <v>4308</v>
      </c>
      <c r="AC50" s="18">
        <v>0</v>
      </c>
      <c r="AD50" s="18">
        <v>0</v>
      </c>
      <c r="AE50" s="18">
        <v>0</v>
      </c>
      <c r="AF50" s="18">
        <v>3704.166666666667</v>
      </c>
      <c r="AG50" s="18">
        <v>170.5</v>
      </c>
      <c r="AH50" s="18">
        <v>9513.5</v>
      </c>
      <c r="AI50" s="18">
        <v>0</v>
      </c>
      <c r="AJ50" s="18">
        <v>0</v>
      </c>
      <c r="AK50" s="18">
        <v>0</v>
      </c>
      <c r="AL50" s="18">
        <v>3704.166666666667</v>
      </c>
      <c r="AM50" s="18">
        <v>170.5</v>
      </c>
      <c r="AN50" s="18">
        <v>9513.5</v>
      </c>
      <c r="AO50" s="18">
        <v>0</v>
      </c>
      <c r="AP50" s="18">
        <v>0</v>
      </c>
      <c r="AQ50" s="18">
        <v>0</v>
      </c>
      <c r="AR50" s="18">
        <v>3704.166666666667</v>
      </c>
      <c r="AS50" s="18">
        <v>170.5</v>
      </c>
      <c r="AT50" s="18">
        <v>9513.5</v>
      </c>
      <c r="AU50" s="18">
        <v>0</v>
      </c>
      <c r="AV50" s="18">
        <v>0</v>
      </c>
      <c r="AW50" s="18">
        <v>0</v>
      </c>
      <c r="AX50" s="18">
        <v>5607.2916666666661</v>
      </c>
      <c r="AY50" s="18">
        <v>170.5</v>
      </c>
      <c r="AZ50" s="18">
        <v>14360</v>
      </c>
      <c r="BA50" s="18">
        <v>0</v>
      </c>
      <c r="BB50" s="18">
        <v>0</v>
      </c>
      <c r="BC50" s="18">
        <v>0</v>
      </c>
      <c r="BD50" s="18">
        <v>5607.2916666666661</v>
      </c>
      <c r="BE50" s="18">
        <v>170.5</v>
      </c>
      <c r="BF50" s="18">
        <v>14360</v>
      </c>
      <c r="BG50" s="18">
        <v>0</v>
      </c>
      <c r="BH50" s="18">
        <v>0</v>
      </c>
      <c r="BI50" s="18">
        <v>0</v>
      </c>
      <c r="BJ50" s="18">
        <v>5607.2916666666661</v>
      </c>
      <c r="BK50" s="18">
        <v>170.5</v>
      </c>
      <c r="BL50" s="18">
        <v>14360</v>
      </c>
      <c r="BM50" s="18">
        <v>0</v>
      </c>
      <c r="BN50" s="18">
        <v>0</v>
      </c>
      <c r="BO50" s="18">
        <v>0</v>
      </c>
      <c r="BP50" s="18"/>
      <c r="BQ50" s="18"/>
      <c r="BR50" s="18"/>
      <c r="BS50" s="18"/>
      <c r="BT50" s="10">
        <f>Tabelle58971121[[#This Row],[Mindestauslastung durch]]*Tabelle58971121[[#This Row],[installierte Leistung MW durch]]</f>
        <v>2625</v>
      </c>
      <c r="BU50" s="10">
        <f>Tabelle58971121[[#This Row],[Mindestauslastung min]]*Tabelle58971121[[#This Row],[installierte Leistung MW min]]</f>
        <v>2557.5</v>
      </c>
      <c r="BV50" s="10">
        <f>Tabelle58971121[[#This Row],[Mindestauslastung max]]*Tabelle58971121[[#This Row],[installierte Leistung MW max]]</f>
        <v>2692.5</v>
      </c>
      <c r="BW50" s="8">
        <v>0.15</v>
      </c>
      <c r="BX50" s="8">
        <v>0.15</v>
      </c>
      <c r="BY50" s="8">
        <v>0.15</v>
      </c>
      <c r="BZ50" s="8"/>
      <c r="CA50" s="8">
        <v>7.3333333333333334E-2</v>
      </c>
      <c r="CB50" s="8">
        <v>0</v>
      </c>
      <c r="CC50" s="8">
        <v>0.24</v>
      </c>
      <c r="CD50" s="8">
        <v>7.3333333333333334E-2</v>
      </c>
      <c r="CE50" s="8">
        <v>0</v>
      </c>
      <c r="CF50" s="8">
        <v>0.24</v>
      </c>
      <c r="CG50" s="8">
        <v>7.3333333333333334E-2</v>
      </c>
      <c r="CH50" s="8">
        <v>0</v>
      </c>
      <c r="CI50" s="8">
        <v>0.24</v>
      </c>
      <c r="CJ50" s="8">
        <v>0.2116666666666667</v>
      </c>
      <c r="CK50" s="8">
        <v>0.01</v>
      </c>
      <c r="CL50" s="8">
        <v>0.53</v>
      </c>
      <c r="CM50" s="8">
        <v>0.2116666666666667</v>
      </c>
      <c r="CN50" s="8">
        <v>0.01</v>
      </c>
      <c r="CO50" s="8">
        <v>0.53</v>
      </c>
      <c r="CP50" s="8">
        <v>0.2116666666666667</v>
      </c>
      <c r="CQ50" s="8">
        <v>0.01</v>
      </c>
      <c r="CR50" s="8">
        <v>0.53</v>
      </c>
      <c r="CS50" s="8">
        <v>0.32041666666666663</v>
      </c>
      <c r="CT50" s="8">
        <v>0.01</v>
      </c>
      <c r="CU50" s="8">
        <v>0.8</v>
      </c>
      <c r="CV50" s="8">
        <v>0.32041666666666663</v>
      </c>
      <c r="CW50" s="8">
        <v>0.01</v>
      </c>
      <c r="CX50" s="8">
        <v>0.8</v>
      </c>
      <c r="CY50" s="8">
        <v>0.32041666666666663</v>
      </c>
      <c r="CZ50" s="8">
        <v>0.01</v>
      </c>
      <c r="DA50" s="8">
        <v>0.8</v>
      </c>
      <c r="DB50" s="8"/>
      <c r="DC50" s="8"/>
      <c r="DD50" s="8"/>
      <c r="DE50" s="48">
        <f>Tabelle58971121[[#This Row],[Durchschnittsauslastung min]]*Tabelle58971121[[#This Row],[installierte Leistung MW min]]</f>
        <v>0</v>
      </c>
      <c r="DF50" s="48">
        <f>Tabelle58971121[[#This Row],[Durchschnittsauslastung durch]]*Tabelle58971121[[#This Row],[installierte Leistung MW durch]]</f>
        <v>0</v>
      </c>
      <c r="DG50" s="48">
        <f>Tabelle58971121[[#This Row],[Durchschnittsauslastung max]]*Tabelle58971121[[#This Row],[installierte Leistung MW max]]</f>
        <v>0</v>
      </c>
      <c r="DH50" s="87">
        <f>Tabelle58971121[[#This Row],[Maximalauslastung durch]]*Tabelle58971121[[#This Row],[installierte Leistung MW min]]</f>
        <v>12787.5</v>
      </c>
      <c r="DI50" s="48">
        <f>Tabelle58971121[[#This Row],[Maximalauslastung durch]]*Tabelle58971121[[#This Row],[installierte Leistung MW durch]]</f>
        <v>13125</v>
      </c>
      <c r="DJ50" s="18">
        <f>Tabelle58971121[[#This Row],[Maximalauslastung max]]*Tabelle58971121[[#This Row],[installierte Leistung MW durch]]</f>
        <v>14175.000000000002</v>
      </c>
      <c r="DK50" s="8">
        <v>0.75</v>
      </c>
      <c r="DL50" s="8">
        <v>0.69</v>
      </c>
      <c r="DM50" s="8">
        <v>0.81</v>
      </c>
      <c r="DN50" s="1">
        <v>17500</v>
      </c>
      <c r="DO50" s="1">
        <v>17050</v>
      </c>
      <c r="DP50" s="1">
        <v>17950</v>
      </c>
      <c r="DQ50" s="18"/>
      <c r="DR50" s="18"/>
      <c r="DW50" s="1">
        <v>4</v>
      </c>
      <c r="DX50" s="1">
        <v>3.1</v>
      </c>
      <c r="DY50" s="1">
        <v>4.9000000000000004</v>
      </c>
      <c r="DZ50" s="1">
        <v>9</v>
      </c>
      <c r="EA50" s="1">
        <v>7.2</v>
      </c>
      <c r="EB50" s="1">
        <v>10.8</v>
      </c>
      <c r="EC50" s="1">
        <v>24</v>
      </c>
      <c r="ED50" s="1">
        <v>24</v>
      </c>
      <c r="EE50" s="1">
        <v>24</v>
      </c>
      <c r="EF50" s="1">
        <v>7.4</v>
      </c>
      <c r="EG50" s="1">
        <v>4.6000000000000014</v>
      </c>
      <c r="EH50" s="1">
        <v>10.199999999999999</v>
      </c>
      <c r="EL50" s="1">
        <v>160</v>
      </c>
      <c r="EM50" s="1">
        <v>144</v>
      </c>
      <c r="EN50" s="1">
        <v>176</v>
      </c>
      <c r="EO50" s="10"/>
      <c r="EP50" s="10"/>
      <c r="EQ50" s="10"/>
      <c r="ER50" s="1">
        <v>160</v>
      </c>
      <c r="ES50" s="1">
        <v>144</v>
      </c>
      <c r="ET50" s="1">
        <v>176</v>
      </c>
      <c r="EU50" s="1">
        <v>25.848235294117643</v>
      </c>
      <c r="EV50" s="18">
        <v>23.30411764705882</v>
      </c>
      <c r="EW50" s="18">
        <v>28.392352941176469</v>
      </c>
      <c r="EX50" s="18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>
        <v>38.670588235294112</v>
      </c>
      <c r="FK50" s="7">
        <v>34.803529411764707</v>
      </c>
      <c r="FL50" s="7">
        <v>42.537647058823524</v>
      </c>
      <c r="FO50" s="1">
        <v>67</v>
      </c>
      <c r="FP50" s="1">
        <v>67</v>
      </c>
      <c r="FQ50" s="1">
        <v>67</v>
      </c>
      <c r="FR50" s="12" t="s">
        <v>743</v>
      </c>
      <c r="FS50" s="12" t="s">
        <v>743</v>
      </c>
      <c r="FT50" s="12" t="s">
        <v>743</v>
      </c>
      <c r="FU50" s="12"/>
      <c r="FV50" s="12" t="s">
        <v>743</v>
      </c>
      <c r="FW50" s="12" t="s">
        <v>743</v>
      </c>
      <c r="FX50" s="12" t="s">
        <v>743</v>
      </c>
      <c r="FY50" s="12" t="s">
        <v>743</v>
      </c>
      <c r="FZ50" s="12" t="s">
        <v>743</v>
      </c>
      <c r="GA50" s="12" t="s">
        <v>743</v>
      </c>
      <c r="GB50" s="12" t="s">
        <v>743</v>
      </c>
      <c r="GE50" s="12" t="s">
        <v>743</v>
      </c>
      <c r="GF50" s="12" t="s">
        <v>743</v>
      </c>
      <c r="GH50" s="12" t="s">
        <v>743</v>
      </c>
    </row>
    <row r="51" spans="1:190" ht="12.75" customHeight="1" x14ac:dyDescent="0.2">
      <c r="A51" s="1" t="s">
        <v>141</v>
      </c>
      <c r="B51" s="1" t="s">
        <v>682</v>
      </c>
      <c r="E51" s="1" t="s">
        <v>142</v>
      </c>
      <c r="F51" s="1">
        <v>2</v>
      </c>
      <c r="G51" s="1">
        <v>2020</v>
      </c>
      <c r="H51" s="1">
        <v>1</v>
      </c>
      <c r="I51" s="1">
        <v>0</v>
      </c>
      <c r="J51" s="1">
        <v>0</v>
      </c>
      <c r="K51" s="18"/>
      <c r="L51" s="18"/>
      <c r="M51" s="18"/>
      <c r="N51" s="18">
        <v>1039.4999999999998</v>
      </c>
      <c r="O51" s="18">
        <v>0</v>
      </c>
      <c r="P51" s="18">
        <v>3489.48</v>
      </c>
      <c r="Q51" s="18">
        <v>0</v>
      </c>
      <c r="R51" s="18">
        <v>0</v>
      </c>
      <c r="S51" s="18">
        <v>0</v>
      </c>
      <c r="T51" s="18">
        <v>1039.4999999999998</v>
      </c>
      <c r="U51" s="18">
        <v>0</v>
      </c>
      <c r="V51" s="18">
        <v>3489.48</v>
      </c>
      <c r="W51" s="18">
        <v>0</v>
      </c>
      <c r="X51" s="18">
        <v>0</v>
      </c>
      <c r="Y51" s="18">
        <v>0</v>
      </c>
      <c r="Z51" s="18">
        <v>1039.4999999999998</v>
      </c>
      <c r="AA51" s="18">
        <v>0</v>
      </c>
      <c r="AB51" s="18">
        <v>3489.48</v>
      </c>
      <c r="AC51" s="18">
        <v>0</v>
      </c>
      <c r="AD51" s="18">
        <v>0</v>
      </c>
      <c r="AE51" s="18">
        <v>0</v>
      </c>
      <c r="AF51" s="18">
        <v>3000.3750000000005</v>
      </c>
      <c r="AG51" s="18">
        <v>138.10500000000002</v>
      </c>
      <c r="AH51" s="18">
        <v>7705.9350000000004</v>
      </c>
      <c r="AI51" s="18">
        <v>0</v>
      </c>
      <c r="AJ51" s="18">
        <v>0</v>
      </c>
      <c r="AK51" s="18">
        <v>0</v>
      </c>
      <c r="AL51" s="18">
        <v>3000.3750000000005</v>
      </c>
      <c r="AM51" s="18">
        <v>138.10500000000002</v>
      </c>
      <c r="AN51" s="18">
        <v>7705.9350000000004</v>
      </c>
      <c r="AO51" s="18">
        <v>0</v>
      </c>
      <c r="AP51" s="18">
        <v>0</v>
      </c>
      <c r="AQ51" s="18">
        <v>0</v>
      </c>
      <c r="AR51" s="18">
        <v>3000.3750000000005</v>
      </c>
      <c r="AS51" s="18">
        <v>138.10500000000002</v>
      </c>
      <c r="AT51" s="18">
        <v>7705.9350000000004</v>
      </c>
      <c r="AU51" s="18">
        <v>0</v>
      </c>
      <c r="AV51" s="18">
        <v>0</v>
      </c>
      <c r="AW51" s="18">
        <v>0</v>
      </c>
      <c r="AX51" s="18">
        <v>4541.90625</v>
      </c>
      <c r="AY51" s="18">
        <v>138.10500000000002</v>
      </c>
      <c r="AZ51" s="18">
        <v>11631.6</v>
      </c>
      <c r="BA51" s="18">
        <v>0</v>
      </c>
      <c r="BB51" s="18">
        <v>0</v>
      </c>
      <c r="BC51" s="18">
        <v>0</v>
      </c>
      <c r="BD51" s="18">
        <v>4541.90625</v>
      </c>
      <c r="BE51" s="18">
        <v>138.10500000000002</v>
      </c>
      <c r="BF51" s="18">
        <v>11631.6</v>
      </c>
      <c r="BG51" s="18">
        <v>0</v>
      </c>
      <c r="BH51" s="18">
        <v>0</v>
      </c>
      <c r="BI51" s="18">
        <v>0</v>
      </c>
      <c r="BJ51" s="18">
        <v>4541.90625</v>
      </c>
      <c r="BK51" s="18">
        <v>138.10500000000002</v>
      </c>
      <c r="BL51" s="18">
        <v>11631.6</v>
      </c>
      <c r="BM51" s="18">
        <v>0</v>
      </c>
      <c r="BN51" s="18">
        <v>0</v>
      </c>
      <c r="BO51" s="18">
        <v>0</v>
      </c>
      <c r="BP51" s="18"/>
      <c r="BQ51" s="18"/>
      <c r="BR51" s="18"/>
      <c r="BS51" s="18"/>
      <c r="BT51" s="10">
        <f>Tabelle58971121[[#This Row],[Mindestauslastung durch]]*Tabelle58971121[[#This Row],[installierte Leistung MW durch]]</f>
        <v>2126.25</v>
      </c>
      <c r="BU51" s="10">
        <f>Tabelle58971121[[#This Row],[Mindestauslastung min]]*Tabelle58971121[[#This Row],[installierte Leistung MW min]]</f>
        <v>2071.5749999999998</v>
      </c>
      <c r="BV51" s="10">
        <f>Tabelle58971121[[#This Row],[Mindestauslastung max]]*Tabelle58971121[[#This Row],[installierte Leistung MW max]]</f>
        <v>2180.9249999999997</v>
      </c>
      <c r="BW51" s="8">
        <v>0.15</v>
      </c>
      <c r="BX51" s="8">
        <v>0.15</v>
      </c>
      <c r="BY51" s="8">
        <v>0.15</v>
      </c>
      <c r="BZ51" s="8"/>
      <c r="CA51" s="8">
        <v>7.3333333333333334E-2</v>
      </c>
      <c r="CB51" s="8">
        <v>0</v>
      </c>
      <c r="CC51" s="8">
        <v>0.24</v>
      </c>
      <c r="CD51" s="8">
        <v>7.3333333333333334E-2</v>
      </c>
      <c r="CE51" s="8">
        <v>0</v>
      </c>
      <c r="CF51" s="8">
        <v>0.24</v>
      </c>
      <c r="CG51" s="8">
        <v>7.3333333333333334E-2</v>
      </c>
      <c r="CH51" s="8">
        <v>0</v>
      </c>
      <c r="CI51" s="8">
        <v>0.24</v>
      </c>
      <c r="CJ51" s="8">
        <v>0.2116666666666667</v>
      </c>
      <c r="CK51" s="8">
        <v>0.01</v>
      </c>
      <c r="CL51" s="8">
        <v>0.53</v>
      </c>
      <c r="CM51" s="8">
        <v>0.2116666666666667</v>
      </c>
      <c r="CN51" s="8">
        <v>0.01</v>
      </c>
      <c r="CO51" s="8">
        <v>0.53</v>
      </c>
      <c r="CP51" s="8">
        <v>0.2116666666666667</v>
      </c>
      <c r="CQ51" s="8">
        <v>0.01</v>
      </c>
      <c r="CR51" s="8">
        <v>0.53</v>
      </c>
      <c r="CS51" s="8">
        <v>0.32041666666666663</v>
      </c>
      <c r="CT51" s="8">
        <v>0.01</v>
      </c>
      <c r="CU51" s="8">
        <v>0.8</v>
      </c>
      <c r="CV51" s="8">
        <v>0.32041666666666663</v>
      </c>
      <c r="CW51" s="8">
        <v>0.01</v>
      </c>
      <c r="CX51" s="8">
        <v>0.8</v>
      </c>
      <c r="CY51" s="8">
        <v>0.32041666666666663</v>
      </c>
      <c r="CZ51" s="8">
        <v>0.01</v>
      </c>
      <c r="DA51" s="8">
        <v>0.8</v>
      </c>
      <c r="DB51" s="8"/>
      <c r="DC51" s="8"/>
      <c r="DD51" s="8"/>
      <c r="DE51" s="48">
        <f>Tabelle58971121[[#This Row],[Durchschnittsauslastung min]]*Tabelle58971121[[#This Row],[installierte Leistung MW min]]</f>
        <v>0</v>
      </c>
      <c r="DF51" s="48">
        <f>Tabelle58971121[[#This Row],[Durchschnittsauslastung durch]]*Tabelle58971121[[#This Row],[installierte Leistung MW durch]]</f>
        <v>0</v>
      </c>
      <c r="DG51" s="48">
        <f>Tabelle58971121[[#This Row],[Durchschnittsauslastung max]]*Tabelle58971121[[#This Row],[installierte Leistung MW max]]</f>
        <v>0</v>
      </c>
      <c r="DH51" s="87">
        <f>Tabelle58971121[[#This Row],[Maximalauslastung durch]]*Tabelle58971121[[#This Row],[installierte Leistung MW min]]</f>
        <v>10357.875</v>
      </c>
      <c r="DI51" s="48">
        <f>Tabelle58971121[[#This Row],[Maximalauslastung durch]]*Tabelle58971121[[#This Row],[installierte Leistung MW durch]]</f>
        <v>10631.25</v>
      </c>
      <c r="DJ51" s="18">
        <f>Tabelle58971121[[#This Row],[Maximalauslastung max]]*Tabelle58971121[[#This Row],[installierte Leistung MW durch]]</f>
        <v>11481.75</v>
      </c>
      <c r="DK51" s="8">
        <v>0.75</v>
      </c>
      <c r="DL51" s="8">
        <v>0.69</v>
      </c>
      <c r="DM51" s="8">
        <v>0.81</v>
      </c>
      <c r="DN51" s="1">
        <v>14175</v>
      </c>
      <c r="DO51" s="1">
        <v>13810.5</v>
      </c>
      <c r="DP51" s="1">
        <v>14539.5</v>
      </c>
      <c r="DQ51" s="18"/>
      <c r="DR51" s="18"/>
      <c r="DW51" s="1">
        <v>4</v>
      </c>
      <c r="DX51" s="1">
        <v>3.1</v>
      </c>
      <c r="DY51" s="1">
        <v>4.9000000000000004</v>
      </c>
      <c r="DZ51" s="1">
        <v>9</v>
      </c>
      <c r="EA51" s="1">
        <v>7.2</v>
      </c>
      <c r="EB51" s="1">
        <v>10.8</v>
      </c>
      <c r="EC51" s="1">
        <v>24</v>
      </c>
      <c r="ED51" s="1">
        <v>24</v>
      </c>
      <c r="EE51" s="1">
        <v>24</v>
      </c>
      <c r="EF51" s="1">
        <v>7.4</v>
      </c>
      <c r="EG51" s="1">
        <v>4.6000000000000014</v>
      </c>
      <c r="EH51" s="1">
        <v>10.199999999999999</v>
      </c>
      <c r="EL51" s="1">
        <v>160</v>
      </c>
      <c r="EM51" s="1">
        <v>144</v>
      </c>
      <c r="EN51" s="1">
        <v>176</v>
      </c>
      <c r="EO51" s="10"/>
      <c r="EP51" s="10"/>
      <c r="EQ51" s="10"/>
      <c r="ER51" s="1">
        <v>160</v>
      </c>
      <c r="ES51" s="1">
        <v>144</v>
      </c>
      <c r="ET51" s="1">
        <v>176</v>
      </c>
      <c r="EU51" s="1">
        <v>25.848235294117643</v>
      </c>
      <c r="EV51" s="18">
        <v>23.30411764705882</v>
      </c>
      <c r="EW51" s="18">
        <v>28.392352941176469</v>
      </c>
      <c r="EX51" s="18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>
        <v>38.670588235294112</v>
      </c>
      <c r="FK51" s="7">
        <v>34.803529411764707</v>
      </c>
      <c r="FL51" s="7">
        <v>42.537647058823524</v>
      </c>
      <c r="FO51" s="1">
        <v>67</v>
      </c>
      <c r="FP51" s="1">
        <v>67</v>
      </c>
      <c r="FQ51" s="1">
        <v>67</v>
      </c>
      <c r="FR51" s="12" t="s">
        <v>743</v>
      </c>
      <c r="FS51" s="12" t="s">
        <v>743</v>
      </c>
      <c r="FT51" s="12" t="s">
        <v>743</v>
      </c>
      <c r="FU51" s="12"/>
      <c r="FV51" s="12" t="s">
        <v>743</v>
      </c>
      <c r="FW51" s="12" t="s">
        <v>743</v>
      </c>
      <c r="FX51" s="12" t="s">
        <v>743</v>
      </c>
      <c r="FY51" s="12" t="s">
        <v>743</v>
      </c>
      <c r="FZ51" s="12" t="s">
        <v>743</v>
      </c>
      <c r="GA51" s="12" t="s">
        <v>743</v>
      </c>
      <c r="GB51" s="12" t="s">
        <v>743</v>
      </c>
      <c r="GE51" s="12" t="s">
        <v>743</v>
      </c>
      <c r="GF51" s="12" t="s">
        <v>743</v>
      </c>
      <c r="GH51" s="12" t="s">
        <v>743</v>
      </c>
    </row>
    <row r="52" spans="1:190" ht="12.75" customHeight="1" x14ac:dyDescent="0.2">
      <c r="A52" s="1" t="s">
        <v>141</v>
      </c>
      <c r="B52" s="1" t="s">
        <v>682</v>
      </c>
      <c r="E52" s="1" t="s">
        <v>142</v>
      </c>
      <c r="F52" s="1">
        <v>2</v>
      </c>
      <c r="G52" s="1">
        <v>2025</v>
      </c>
      <c r="H52" s="1">
        <v>1</v>
      </c>
      <c r="I52" s="1">
        <v>0</v>
      </c>
      <c r="J52" s="1">
        <v>0</v>
      </c>
      <c r="K52" s="18"/>
      <c r="L52" s="18"/>
      <c r="M52" s="18"/>
      <c r="N52" s="18">
        <v>859.83333333333314</v>
      </c>
      <c r="O52" s="18">
        <v>0</v>
      </c>
      <c r="P52" s="18">
        <v>2886.36</v>
      </c>
      <c r="Q52" s="18">
        <v>0</v>
      </c>
      <c r="R52" s="18">
        <v>0</v>
      </c>
      <c r="S52" s="18">
        <v>0</v>
      </c>
      <c r="T52" s="18">
        <v>859.83333333333314</v>
      </c>
      <c r="U52" s="18">
        <v>0</v>
      </c>
      <c r="V52" s="18">
        <v>2886.36</v>
      </c>
      <c r="W52" s="18">
        <v>0</v>
      </c>
      <c r="X52" s="18">
        <v>0</v>
      </c>
      <c r="Y52" s="18">
        <v>0</v>
      </c>
      <c r="Z52" s="18">
        <v>859.83333333333314</v>
      </c>
      <c r="AA52" s="18">
        <v>0</v>
      </c>
      <c r="AB52" s="18">
        <v>2886.36</v>
      </c>
      <c r="AC52" s="18">
        <v>0</v>
      </c>
      <c r="AD52" s="18">
        <v>0</v>
      </c>
      <c r="AE52" s="18">
        <v>0</v>
      </c>
      <c r="AF52" s="18">
        <v>2481.791666666667</v>
      </c>
      <c r="AG52" s="18">
        <v>114.23500000000001</v>
      </c>
      <c r="AH52" s="18">
        <v>6374.0450000000001</v>
      </c>
      <c r="AI52" s="18">
        <v>0</v>
      </c>
      <c r="AJ52" s="18">
        <v>0</v>
      </c>
      <c r="AK52" s="18">
        <v>0</v>
      </c>
      <c r="AL52" s="18">
        <v>2481.791666666667</v>
      </c>
      <c r="AM52" s="18">
        <v>114.23500000000001</v>
      </c>
      <c r="AN52" s="18">
        <v>6374.0450000000001</v>
      </c>
      <c r="AO52" s="18">
        <v>0</v>
      </c>
      <c r="AP52" s="18">
        <v>0</v>
      </c>
      <c r="AQ52" s="18">
        <v>0</v>
      </c>
      <c r="AR52" s="18">
        <v>2481.791666666667</v>
      </c>
      <c r="AS52" s="18">
        <v>114.23500000000001</v>
      </c>
      <c r="AT52" s="18">
        <v>6374.0450000000001</v>
      </c>
      <c r="AU52" s="18">
        <v>0</v>
      </c>
      <c r="AV52" s="18">
        <v>0</v>
      </c>
      <c r="AW52" s="18">
        <v>0</v>
      </c>
      <c r="AX52" s="18">
        <v>3756.8854166666665</v>
      </c>
      <c r="AY52" s="18">
        <v>114.23500000000001</v>
      </c>
      <c r="AZ52" s="18">
        <v>9621.2000000000007</v>
      </c>
      <c r="BA52" s="18">
        <v>0</v>
      </c>
      <c r="BB52" s="18">
        <v>0</v>
      </c>
      <c r="BC52" s="18">
        <v>0</v>
      </c>
      <c r="BD52" s="18">
        <v>3756.8854166666665</v>
      </c>
      <c r="BE52" s="18">
        <v>114.23500000000001</v>
      </c>
      <c r="BF52" s="18">
        <v>9621.2000000000007</v>
      </c>
      <c r="BG52" s="18">
        <v>0</v>
      </c>
      <c r="BH52" s="18">
        <v>0</v>
      </c>
      <c r="BI52" s="18">
        <v>0</v>
      </c>
      <c r="BJ52" s="18">
        <v>3756.8854166666665</v>
      </c>
      <c r="BK52" s="18">
        <v>114.23500000000001</v>
      </c>
      <c r="BL52" s="18">
        <v>9621.2000000000007</v>
      </c>
      <c r="BM52" s="18">
        <v>0</v>
      </c>
      <c r="BN52" s="18">
        <v>0</v>
      </c>
      <c r="BO52" s="18">
        <v>0</v>
      </c>
      <c r="BP52" s="18"/>
      <c r="BQ52" s="18"/>
      <c r="BR52" s="18"/>
      <c r="BS52" s="18"/>
      <c r="BT52" s="10">
        <f>Tabelle58971121[[#This Row],[Mindestauslastung durch]]*Tabelle58971121[[#This Row],[installierte Leistung MW durch]]</f>
        <v>1758.75</v>
      </c>
      <c r="BU52" s="10">
        <f>Tabelle58971121[[#This Row],[Mindestauslastung min]]*Tabelle58971121[[#This Row],[installierte Leistung MW min]]</f>
        <v>1713.5249999999999</v>
      </c>
      <c r="BV52" s="10">
        <f>Tabelle58971121[[#This Row],[Mindestauslastung max]]*Tabelle58971121[[#This Row],[installierte Leistung MW max]]</f>
        <v>1803.9749999999999</v>
      </c>
      <c r="BW52" s="8">
        <v>0.15</v>
      </c>
      <c r="BX52" s="8">
        <v>0.15</v>
      </c>
      <c r="BY52" s="8">
        <v>0.15</v>
      </c>
      <c r="BZ52" s="8"/>
      <c r="CA52" s="8">
        <v>7.3333333333333334E-2</v>
      </c>
      <c r="CB52" s="8">
        <v>0</v>
      </c>
      <c r="CC52" s="8">
        <v>0.24</v>
      </c>
      <c r="CD52" s="8">
        <v>7.3333333333333334E-2</v>
      </c>
      <c r="CE52" s="8">
        <v>0</v>
      </c>
      <c r="CF52" s="8">
        <v>0.24</v>
      </c>
      <c r="CG52" s="8">
        <v>7.3333333333333334E-2</v>
      </c>
      <c r="CH52" s="8">
        <v>0</v>
      </c>
      <c r="CI52" s="8">
        <v>0.24</v>
      </c>
      <c r="CJ52" s="8">
        <v>0.2116666666666667</v>
      </c>
      <c r="CK52" s="8">
        <v>0.01</v>
      </c>
      <c r="CL52" s="8">
        <v>0.53</v>
      </c>
      <c r="CM52" s="8">
        <v>0.2116666666666667</v>
      </c>
      <c r="CN52" s="8">
        <v>0.01</v>
      </c>
      <c r="CO52" s="8">
        <v>0.53</v>
      </c>
      <c r="CP52" s="8">
        <v>0.2116666666666667</v>
      </c>
      <c r="CQ52" s="8">
        <v>0.01</v>
      </c>
      <c r="CR52" s="8">
        <v>0.53</v>
      </c>
      <c r="CS52" s="8">
        <v>0.32041666666666663</v>
      </c>
      <c r="CT52" s="8">
        <v>0.01</v>
      </c>
      <c r="CU52" s="8">
        <v>0.8</v>
      </c>
      <c r="CV52" s="8">
        <v>0.32041666666666663</v>
      </c>
      <c r="CW52" s="8">
        <v>0.01</v>
      </c>
      <c r="CX52" s="8">
        <v>0.8</v>
      </c>
      <c r="CY52" s="8">
        <v>0.32041666666666663</v>
      </c>
      <c r="CZ52" s="8">
        <v>0.01</v>
      </c>
      <c r="DA52" s="8">
        <v>0.8</v>
      </c>
      <c r="DB52" s="8"/>
      <c r="DC52" s="8"/>
      <c r="DD52" s="8"/>
      <c r="DE52" s="48">
        <f>Tabelle58971121[[#This Row],[Durchschnittsauslastung min]]*Tabelle58971121[[#This Row],[installierte Leistung MW min]]</f>
        <v>0</v>
      </c>
      <c r="DF52" s="48">
        <f>Tabelle58971121[[#This Row],[Durchschnittsauslastung durch]]*Tabelle58971121[[#This Row],[installierte Leistung MW durch]]</f>
        <v>0</v>
      </c>
      <c r="DG52" s="48">
        <f>Tabelle58971121[[#This Row],[Durchschnittsauslastung max]]*Tabelle58971121[[#This Row],[installierte Leistung MW max]]</f>
        <v>0</v>
      </c>
      <c r="DH52" s="87">
        <f>Tabelle58971121[[#This Row],[Maximalauslastung durch]]*Tabelle58971121[[#This Row],[installierte Leistung MW min]]</f>
        <v>8567.625</v>
      </c>
      <c r="DI52" s="48">
        <f>Tabelle58971121[[#This Row],[Maximalauslastung durch]]*Tabelle58971121[[#This Row],[installierte Leistung MW durch]]</f>
        <v>8793.75</v>
      </c>
      <c r="DJ52" s="18">
        <f>Tabelle58971121[[#This Row],[Maximalauslastung max]]*Tabelle58971121[[#This Row],[installierte Leistung MW durch]]</f>
        <v>9497.25</v>
      </c>
      <c r="DK52" s="8">
        <v>0.75</v>
      </c>
      <c r="DL52" s="8">
        <v>0.69</v>
      </c>
      <c r="DM52" s="8">
        <v>0.81</v>
      </c>
      <c r="DN52" s="1">
        <v>11725</v>
      </c>
      <c r="DO52" s="1">
        <v>11423.5</v>
      </c>
      <c r="DP52" s="1">
        <v>12026.5</v>
      </c>
      <c r="DQ52" s="18"/>
      <c r="DR52" s="18"/>
      <c r="DW52" s="1">
        <v>4</v>
      </c>
      <c r="DX52" s="1">
        <v>3.1</v>
      </c>
      <c r="DY52" s="1">
        <v>4.9000000000000004</v>
      </c>
      <c r="DZ52" s="1">
        <v>9</v>
      </c>
      <c r="EA52" s="1">
        <v>7.2</v>
      </c>
      <c r="EB52" s="1">
        <v>10.8</v>
      </c>
      <c r="EC52" s="1">
        <v>24</v>
      </c>
      <c r="ED52" s="1">
        <v>24</v>
      </c>
      <c r="EE52" s="1">
        <v>24</v>
      </c>
      <c r="EF52" s="1">
        <v>7.4</v>
      </c>
      <c r="EG52" s="1">
        <v>4.6000000000000014</v>
      </c>
      <c r="EH52" s="1">
        <v>10.199999999999999</v>
      </c>
      <c r="EL52" s="1">
        <v>160</v>
      </c>
      <c r="EM52" s="1">
        <v>144</v>
      </c>
      <c r="EN52" s="1">
        <v>176</v>
      </c>
      <c r="EO52" s="10"/>
      <c r="EP52" s="10"/>
      <c r="EQ52" s="10"/>
      <c r="ER52" s="1">
        <v>160</v>
      </c>
      <c r="ES52" s="1">
        <v>144</v>
      </c>
      <c r="ET52" s="1">
        <v>176</v>
      </c>
      <c r="EU52" s="1">
        <v>25.848235294117643</v>
      </c>
      <c r="EV52" s="18">
        <v>23.30411764705882</v>
      </c>
      <c r="EW52" s="18">
        <v>28.392352941176469</v>
      </c>
      <c r="EX52" s="18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>
        <v>38.670588235294112</v>
      </c>
      <c r="FK52" s="7">
        <v>34.803529411764707</v>
      </c>
      <c r="FL52" s="7">
        <v>42.537647058823524</v>
      </c>
      <c r="FO52" s="1">
        <v>67</v>
      </c>
      <c r="FP52" s="1">
        <v>67</v>
      </c>
      <c r="FQ52" s="1">
        <v>67</v>
      </c>
      <c r="FR52" s="12" t="s">
        <v>743</v>
      </c>
      <c r="FS52" s="12" t="s">
        <v>743</v>
      </c>
      <c r="FT52" s="12" t="s">
        <v>743</v>
      </c>
      <c r="FU52" s="12"/>
      <c r="FV52" s="12" t="s">
        <v>743</v>
      </c>
      <c r="FW52" s="12" t="s">
        <v>743</v>
      </c>
      <c r="FX52" s="12" t="s">
        <v>743</v>
      </c>
      <c r="FY52" s="12" t="s">
        <v>743</v>
      </c>
      <c r="FZ52" s="12" t="s">
        <v>743</v>
      </c>
      <c r="GA52" s="12" t="s">
        <v>743</v>
      </c>
      <c r="GB52" s="12" t="s">
        <v>743</v>
      </c>
      <c r="GE52" s="12" t="s">
        <v>743</v>
      </c>
      <c r="GF52" s="12" t="s">
        <v>743</v>
      </c>
      <c r="GH52" s="12" t="s">
        <v>743</v>
      </c>
    </row>
    <row r="53" spans="1:190" ht="12.75" customHeight="1" x14ac:dyDescent="0.2">
      <c r="A53" s="1" t="s">
        <v>141</v>
      </c>
      <c r="B53" s="1" t="s">
        <v>682</v>
      </c>
      <c r="E53" s="1" t="s">
        <v>142</v>
      </c>
      <c r="F53" s="1">
        <v>2</v>
      </c>
      <c r="G53" s="1">
        <v>2030</v>
      </c>
      <c r="H53" s="1">
        <v>1</v>
      </c>
      <c r="I53" s="1">
        <v>0</v>
      </c>
      <c r="J53" s="1">
        <v>0</v>
      </c>
      <c r="K53" s="18"/>
      <c r="L53" s="18"/>
      <c r="M53" s="18"/>
      <c r="N53" s="18">
        <v>692.99999999999989</v>
      </c>
      <c r="O53" s="18">
        <v>0</v>
      </c>
      <c r="P53" s="18">
        <v>2326.3200000000002</v>
      </c>
      <c r="Q53" s="18">
        <v>0</v>
      </c>
      <c r="R53" s="18">
        <v>0</v>
      </c>
      <c r="S53" s="18">
        <v>0</v>
      </c>
      <c r="T53" s="18">
        <v>692.99999999999989</v>
      </c>
      <c r="U53" s="18">
        <v>0</v>
      </c>
      <c r="V53" s="18">
        <v>2326.3200000000002</v>
      </c>
      <c r="W53" s="18">
        <v>0</v>
      </c>
      <c r="X53" s="18">
        <v>0</v>
      </c>
      <c r="Y53" s="18">
        <v>0</v>
      </c>
      <c r="Z53" s="18">
        <v>692.99999999999989</v>
      </c>
      <c r="AA53" s="18">
        <v>0</v>
      </c>
      <c r="AB53" s="18">
        <v>2326.3200000000002</v>
      </c>
      <c r="AC53" s="18">
        <v>0</v>
      </c>
      <c r="AD53" s="18">
        <v>0</v>
      </c>
      <c r="AE53" s="18">
        <v>0</v>
      </c>
      <c r="AF53" s="18">
        <v>2000.2500000000002</v>
      </c>
      <c r="AG53" s="18">
        <v>92.070000000000007</v>
      </c>
      <c r="AH53" s="18">
        <v>5137.29</v>
      </c>
      <c r="AI53" s="18">
        <v>0</v>
      </c>
      <c r="AJ53" s="18">
        <v>0</v>
      </c>
      <c r="AK53" s="18">
        <v>0</v>
      </c>
      <c r="AL53" s="18">
        <v>2000.2500000000002</v>
      </c>
      <c r="AM53" s="18">
        <v>92.070000000000007</v>
      </c>
      <c r="AN53" s="18">
        <v>5137.29</v>
      </c>
      <c r="AO53" s="18">
        <v>0</v>
      </c>
      <c r="AP53" s="18">
        <v>0</v>
      </c>
      <c r="AQ53" s="18">
        <v>0</v>
      </c>
      <c r="AR53" s="18">
        <v>2000.2500000000002</v>
      </c>
      <c r="AS53" s="18">
        <v>92.070000000000007</v>
      </c>
      <c r="AT53" s="18">
        <v>5137.29</v>
      </c>
      <c r="AU53" s="18">
        <v>0</v>
      </c>
      <c r="AV53" s="18">
        <v>0</v>
      </c>
      <c r="AW53" s="18">
        <v>0</v>
      </c>
      <c r="AX53" s="18">
        <v>3027.9375</v>
      </c>
      <c r="AY53" s="18">
        <v>92.070000000000007</v>
      </c>
      <c r="AZ53" s="18">
        <v>7754.4000000000005</v>
      </c>
      <c r="BA53" s="18">
        <v>0</v>
      </c>
      <c r="BB53" s="18">
        <v>0</v>
      </c>
      <c r="BC53" s="18">
        <v>0</v>
      </c>
      <c r="BD53" s="18">
        <v>3027.9375</v>
      </c>
      <c r="BE53" s="18">
        <v>92.070000000000007</v>
      </c>
      <c r="BF53" s="18">
        <v>7754.4000000000005</v>
      </c>
      <c r="BG53" s="18">
        <v>0</v>
      </c>
      <c r="BH53" s="18">
        <v>0</v>
      </c>
      <c r="BI53" s="18">
        <v>0</v>
      </c>
      <c r="BJ53" s="18">
        <v>3027.9375</v>
      </c>
      <c r="BK53" s="18">
        <v>92.070000000000007</v>
      </c>
      <c r="BL53" s="18">
        <v>7754.4000000000005</v>
      </c>
      <c r="BM53" s="18">
        <v>0</v>
      </c>
      <c r="BN53" s="18">
        <v>0</v>
      </c>
      <c r="BO53" s="18">
        <v>0</v>
      </c>
      <c r="BP53" s="18"/>
      <c r="BQ53" s="18"/>
      <c r="BR53" s="18"/>
      <c r="BS53" s="18"/>
      <c r="BT53" s="10">
        <f>Tabelle58971121[[#This Row],[Mindestauslastung durch]]*Tabelle58971121[[#This Row],[installierte Leistung MW durch]]</f>
        <v>1417.5</v>
      </c>
      <c r="BU53" s="10">
        <f>Tabelle58971121[[#This Row],[Mindestauslastung min]]*Tabelle58971121[[#This Row],[installierte Leistung MW min]]</f>
        <v>1381.05</v>
      </c>
      <c r="BV53" s="10">
        <f>Tabelle58971121[[#This Row],[Mindestauslastung max]]*Tabelle58971121[[#This Row],[installierte Leistung MW max]]</f>
        <v>1453.95</v>
      </c>
      <c r="BW53" s="8">
        <v>0.15</v>
      </c>
      <c r="BX53" s="8">
        <v>0.15</v>
      </c>
      <c r="BY53" s="8">
        <v>0.15</v>
      </c>
      <c r="BZ53" s="8"/>
      <c r="CA53" s="8">
        <v>7.3333333333333334E-2</v>
      </c>
      <c r="CB53" s="8">
        <v>0</v>
      </c>
      <c r="CC53" s="8">
        <v>0.24</v>
      </c>
      <c r="CD53" s="8">
        <v>7.3333333333333334E-2</v>
      </c>
      <c r="CE53" s="8">
        <v>0</v>
      </c>
      <c r="CF53" s="8">
        <v>0.24</v>
      </c>
      <c r="CG53" s="8">
        <v>7.3333333333333334E-2</v>
      </c>
      <c r="CH53" s="8">
        <v>0</v>
      </c>
      <c r="CI53" s="8">
        <v>0.24</v>
      </c>
      <c r="CJ53" s="8">
        <v>0.2116666666666667</v>
      </c>
      <c r="CK53" s="8">
        <v>0.01</v>
      </c>
      <c r="CL53" s="8">
        <v>0.53</v>
      </c>
      <c r="CM53" s="8">
        <v>0.2116666666666667</v>
      </c>
      <c r="CN53" s="8">
        <v>0.01</v>
      </c>
      <c r="CO53" s="8">
        <v>0.53</v>
      </c>
      <c r="CP53" s="8">
        <v>0.2116666666666667</v>
      </c>
      <c r="CQ53" s="8">
        <v>0.01</v>
      </c>
      <c r="CR53" s="8">
        <v>0.53</v>
      </c>
      <c r="CS53" s="8">
        <v>0.32041666666666663</v>
      </c>
      <c r="CT53" s="8">
        <v>0.01</v>
      </c>
      <c r="CU53" s="8">
        <v>0.8</v>
      </c>
      <c r="CV53" s="8">
        <v>0.32041666666666663</v>
      </c>
      <c r="CW53" s="8">
        <v>0.01</v>
      </c>
      <c r="CX53" s="8">
        <v>0.8</v>
      </c>
      <c r="CY53" s="8">
        <v>0.32041666666666663</v>
      </c>
      <c r="CZ53" s="8">
        <v>0.01</v>
      </c>
      <c r="DA53" s="8">
        <v>0.8</v>
      </c>
      <c r="DB53" s="8"/>
      <c r="DC53" s="8"/>
      <c r="DD53" s="8"/>
      <c r="DE53" s="48">
        <f>Tabelle58971121[[#This Row],[Durchschnittsauslastung min]]*Tabelle58971121[[#This Row],[installierte Leistung MW min]]</f>
        <v>0</v>
      </c>
      <c r="DF53" s="48">
        <f>Tabelle58971121[[#This Row],[Durchschnittsauslastung durch]]*Tabelle58971121[[#This Row],[installierte Leistung MW durch]]</f>
        <v>0</v>
      </c>
      <c r="DG53" s="48">
        <f>Tabelle58971121[[#This Row],[Durchschnittsauslastung max]]*Tabelle58971121[[#This Row],[installierte Leistung MW max]]</f>
        <v>0</v>
      </c>
      <c r="DH53" s="87">
        <f>Tabelle58971121[[#This Row],[Maximalauslastung durch]]*Tabelle58971121[[#This Row],[installierte Leistung MW min]]</f>
        <v>6905.25</v>
      </c>
      <c r="DI53" s="48">
        <f>Tabelle58971121[[#This Row],[Maximalauslastung durch]]*Tabelle58971121[[#This Row],[installierte Leistung MW durch]]</f>
        <v>7087.5</v>
      </c>
      <c r="DJ53" s="18">
        <f>Tabelle58971121[[#This Row],[Maximalauslastung max]]*Tabelle58971121[[#This Row],[installierte Leistung MW durch]]</f>
        <v>7654.5000000000009</v>
      </c>
      <c r="DK53" s="8">
        <v>0.75</v>
      </c>
      <c r="DL53" s="8">
        <v>0.69</v>
      </c>
      <c r="DM53" s="8">
        <v>0.81</v>
      </c>
      <c r="DN53" s="1">
        <v>9450</v>
      </c>
      <c r="DO53" s="1">
        <v>9207</v>
      </c>
      <c r="DP53" s="1">
        <v>9693</v>
      </c>
      <c r="DQ53" s="18"/>
      <c r="DR53" s="18"/>
      <c r="DW53" s="1">
        <v>4</v>
      </c>
      <c r="DX53" s="1">
        <v>3.1</v>
      </c>
      <c r="DY53" s="1">
        <v>4.9000000000000004</v>
      </c>
      <c r="DZ53" s="1">
        <v>9</v>
      </c>
      <c r="EA53" s="1">
        <v>7.2</v>
      </c>
      <c r="EB53" s="1">
        <v>10.8</v>
      </c>
      <c r="EC53" s="1">
        <v>24</v>
      </c>
      <c r="ED53" s="1">
        <v>24</v>
      </c>
      <c r="EE53" s="1">
        <v>24</v>
      </c>
      <c r="EF53" s="1">
        <v>7.4</v>
      </c>
      <c r="EG53" s="1">
        <v>4.6000000000000014</v>
      </c>
      <c r="EH53" s="1">
        <v>10.199999999999999</v>
      </c>
      <c r="EL53" s="1">
        <v>160</v>
      </c>
      <c r="EM53" s="1">
        <v>144</v>
      </c>
      <c r="EN53" s="1">
        <v>176</v>
      </c>
      <c r="EO53" s="10"/>
      <c r="EP53" s="10"/>
      <c r="EQ53" s="10"/>
      <c r="ER53" s="1">
        <v>160</v>
      </c>
      <c r="ES53" s="1">
        <v>144</v>
      </c>
      <c r="ET53" s="1">
        <v>176</v>
      </c>
      <c r="EU53" s="1">
        <v>25.848235294117643</v>
      </c>
      <c r="EV53" s="18">
        <v>23.30411764705882</v>
      </c>
      <c r="EW53" s="18">
        <v>28.392352941176469</v>
      </c>
      <c r="EX53" s="18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>
        <v>38.670588235294112</v>
      </c>
      <c r="FK53" s="7">
        <v>34.803529411764707</v>
      </c>
      <c r="FL53" s="7">
        <v>42.537647058823524</v>
      </c>
      <c r="FO53" s="1">
        <v>67</v>
      </c>
      <c r="FP53" s="1">
        <v>67</v>
      </c>
      <c r="FQ53" s="1">
        <v>67</v>
      </c>
      <c r="FR53" s="12" t="s">
        <v>743</v>
      </c>
      <c r="FS53" s="12" t="s">
        <v>743</v>
      </c>
      <c r="FT53" s="12" t="s">
        <v>743</v>
      </c>
      <c r="FU53" s="12"/>
      <c r="FV53" s="12" t="s">
        <v>743</v>
      </c>
      <c r="FW53" s="12" t="s">
        <v>743</v>
      </c>
      <c r="FX53" s="12" t="s">
        <v>743</v>
      </c>
      <c r="FY53" s="12" t="s">
        <v>743</v>
      </c>
      <c r="FZ53" s="12" t="s">
        <v>743</v>
      </c>
      <c r="GA53" s="12" t="s">
        <v>743</v>
      </c>
      <c r="GB53" s="12" t="s">
        <v>743</v>
      </c>
      <c r="GE53" s="12" t="s">
        <v>743</v>
      </c>
      <c r="GF53" s="12" t="s">
        <v>743</v>
      </c>
      <c r="GH53" s="12" t="s">
        <v>743</v>
      </c>
    </row>
    <row r="54" spans="1:190" ht="12.75" customHeight="1" x14ac:dyDescent="0.2">
      <c r="A54" s="1" t="s">
        <v>141</v>
      </c>
      <c r="B54" s="1" t="s">
        <v>682</v>
      </c>
      <c r="E54" s="1" t="s">
        <v>142</v>
      </c>
      <c r="F54" s="1">
        <v>2</v>
      </c>
      <c r="G54" s="1">
        <v>2035</v>
      </c>
      <c r="H54" s="1">
        <v>1</v>
      </c>
      <c r="I54" s="1">
        <v>0</v>
      </c>
      <c r="J54" s="1">
        <v>0</v>
      </c>
      <c r="K54" s="18"/>
      <c r="L54" s="18"/>
      <c r="M54" s="18"/>
      <c r="N54" s="18">
        <v>410.66666666666657</v>
      </c>
      <c r="O54" s="18">
        <v>0</v>
      </c>
      <c r="P54" s="18">
        <v>1378.56</v>
      </c>
      <c r="Q54" s="18">
        <v>0</v>
      </c>
      <c r="R54" s="18">
        <v>0</v>
      </c>
      <c r="S54" s="18">
        <v>0</v>
      </c>
      <c r="T54" s="18">
        <v>410.66666666666657</v>
      </c>
      <c r="U54" s="18">
        <v>0</v>
      </c>
      <c r="V54" s="18">
        <v>1378.56</v>
      </c>
      <c r="W54" s="18">
        <v>0</v>
      </c>
      <c r="X54" s="18">
        <v>0</v>
      </c>
      <c r="Y54" s="18">
        <v>0</v>
      </c>
      <c r="Z54" s="18">
        <v>410.66666666666657</v>
      </c>
      <c r="AA54" s="18">
        <v>0</v>
      </c>
      <c r="AB54" s="18">
        <v>1378.56</v>
      </c>
      <c r="AC54" s="18">
        <v>0</v>
      </c>
      <c r="AD54" s="18">
        <v>0</v>
      </c>
      <c r="AE54" s="18">
        <v>0</v>
      </c>
      <c r="AF54" s="18">
        <v>1185.3333333333335</v>
      </c>
      <c r="AG54" s="18">
        <v>54.56</v>
      </c>
      <c r="AH54" s="18">
        <v>3044.32</v>
      </c>
      <c r="AI54" s="18">
        <v>0</v>
      </c>
      <c r="AJ54" s="18">
        <v>0</v>
      </c>
      <c r="AK54" s="18">
        <v>0</v>
      </c>
      <c r="AL54" s="18">
        <v>1185.3333333333335</v>
      </c>
      <c r="AM54" s="18">
        <v>54.56</v>
      </c>
      <c r="AN54" s="18">
        <v>3044.32</v>
      </c>
      <c r="AO54" s="18">
        <v>0</v>
      </c>
      <c r="AP54" s="18">
        <v>0</v>
      </c>
      <c r="AQ54" s="18">
        <v>0</v>
      </c>
      <c r="AR54" s="18">
        <v>1185.3333333333335</v>
      </c>
      <c r="AS54" s="18">
        <v>54.56</v>
      </c>
      <c r="AT54" s="18">
        <v>3044.32</v>
      </c>
      <c r="AU54" s="18">
        <v>0</v>
      </c>
      <c r="AV54" s="18">
        <v>0</v>
      </c>
      <c r="AW54" s="18">
        <v>0</v>
      </c>
      <c r="AX54" s="18">
        <v>1794.3333333333333</v>
      </c>
      <c r="AY54" s="18">
        <v>54.56</v>
      </c>
      <c r="AZ54" s="18">
        <v>4595.2</v>
      </c>
      <c r="BA54" s="18">
        <v>0</v>
      </c>
      <c r="BB54" s="18">
        <v>0</v>
      </c>
      <c r="BC54" s="18">
        <v>0</v>
      </c>
      <c r="BD54" s="18">
        <v>1794.3333333333333</v>
      </c>
      <c r="BE54" s="18">
        <v>54.56</v>
      </c>
      <c r="BF54" s="18">
        <v>4595.2</v>
      </c>
      <c r="BG54" s="18">
        <v>0</v>
      </c>
      <c r="BH54" s="18">
        <v>0</v>
      </c>
      <c r="BI54" s="18">
        <v>0</v>
      </c>
      <c r="BJ54" s="18">
        <v>1794.3333333333333</v>
      </c>
      <c r="BK54" s="18">
        <v>54.56</v>
      </c>
      <c r="BL54" s="18">
        <v>4595.2</v>
      </c>
      <c r="BM54" s="18">
        <v>0</v>
      </c>
      <c r="BN54" s="18">
        <v>0</v>
      </c>
      <c r="BO54" s="18">
        <v>0</v>
      </c>
      <c r="BP54" s="18"/>
      <c r="BQ54" s="18"/>
      <c r="BR54" s="18"/>
      <c r="BS54" s="18"/>
      <c r="BT54" s="10">
        <f>Tabelle58971121[[#This Row],[Mindestauslastung durch]]*Tabelle58971121[[#This Row],[installierte Leistung MW durch]]</f>
        <v>840</v>
      </c>
      <c r="BU54" s="10">
        <f>Tabelle58971121[[#This Row],[Mindestauslastung min]]*Tabelle58971121[[#This Row],[installierte Leistung MW min]]</f>
        <v>818.4</v>
      </c>
      <c r="BV54" s="10">
        <f>Tabelle58971121[[#This Row],[Mindestauslastung max]]*Tabelle58971121[[#This Row],[installierte Leistung MW max]]</f>
        <v>861.6</v>
      </c>
      <c r="BW54" s="8">
        <v>0.15</v>
      </c>
      <c r="BX54" s="8">
        <v>0.15</v>
      </c>
      <c r="BY54" s="8">
        <v>0.15</v>
      </c>
      <c r="BZ54" s="8"/>
      <c r="CA54" s="8">
        <v>7.3333333333333334E-2</v>
      </c>
      <c r="CB54" s="8">
        <v>0</v>
      </c>
      <c r="CC54" s="8">
        <v>0.24</v>
      </c>
      <c r="CD54" s="8">
        <v>7.3333333333333334E-2</v>
      </c>
      <c r="CE54" s="8">
        <v>0</v>
      </c>
      <c r="CF54" s="8">
        <v>0.24</v>
      </c>
      <c r="CG54" s="8">
        <v>7.3333333333333334E-2</v>
      </c>
      <c r="CH54" s="8">
        <v>0</v>
      </c>
      <c r="CI54" s="8">
        <v>0.24</v>
      </c>
      <c r="CJ54" s="8">
        <v>0.2116666666666667</v>
      </c>
      <c r="CK54" s="8">
        <v>0.01</v>
      </c>
      <c r="CL54" s="8">
        <v>0.53</v>
      </c>
      <c r="CM54" s="8">
        <v>0.2116666666666667</v>
      </c>
      <c r="CN54" s="8">
        <v>0.01</v>
      </c>
      <c r="CO54" s="8">
        <v>0.53</v>
      </c>
      <c r="CP54" s="8">
        <v>0.2116666666666667</v>
      </c>
      <c r="CQ54" s="8">
        <v>0.01</v>
      </c>
      <c r="CR54" s="8">
        <v>0.53</v>
      </c>
      <c r="CS54" s="8">
        <v>0.32041666666666663</v>
      </c>
      <c r="CT54" s="8">
        <v>0.01</v>
      </c>
      <c r="CU54" s="8">
        <v>0.8</v>
      </c>
      <c r="CV54" s="8">
        <v>0.32041666666666663</v>
      </c>
      <c r="CW54" s="8">
        <v>0.01</v>
      </c>
      <c r="CX54" s="8">
        <v>0.8</v>
      </c>
      <c r="CY54" s="8">
        <v>0.32041666666666663</v>
      </c>
      <c r="CZ54" s="8">
        <v>0.01</v>
      </c>
      <c r="DA54" s="8">
        <v>0.8</v>
      </c>
      <c r="DB54" s="8"/>
      <c r="DC54" s="8"/>
      <c r="DD54" s="8"/>
      <c r="DE54" s="48">
        <f>Tabelle58971121[[#This Row],[Durchschnittsauslastung min]]*Tabelle58971121[[#This Row],[installierte Leistung MW min]]</f>
        <v>0</v>
      </c>
      <c r="DF54" s="48">
        <f>Tabelle58971121[[#This Row],[Durchschnittsauslastung durch]]*Tabelle58971121[[#This Row],[installierte Leistung MW durch]]</f>
        <v>0</v>
      </c>
      <c r="DG54" s="48">
        <f>Tabelle58971121[[#This Row],[Durchschnittsauslastung max]]*Tabelle58971121[[#This Row],[installierte Leistung MW max]]</f>
        <v>0</v>
      </c>
      <c r="DH54" s="87">
        <f>Tabelle58971121[[#This Row],[Maximalauslastung durch]]*Tabelle58971121[[#This Row],[installierte Leistung MW min]]</f>
        <v>4092</v>
      </c>
      <c r="DI54" s="48">
        <f>Tabelle58971121[[#This Row],[Maximalauslastung durch]]*Tabelle58971121[[#This Row],[installierte Leistung MW durch]]</f>
        <v>4200</v>
      </c>
      <c r="DJ54" s="18">
        <f>Tabelle58971121[[#This Row],[Maximalauslastung max]]*Tabelle58971121[[#This Row],[installierte Leistung MW durch]]</f>
        <v>4536</v>
      </c>
      <c r="DK54" s="8">
        <v>0.75</v>
      </c>
      <c r="DL54" s="8">
        <v>0.69</v>
      </c>
      <c r="DM54" s="8">
        <v>0.81</v>
      </c>
      <c r="DN54" s="1">
        <v>5600</v>
      </c>
      <c r="DO54" s="1">
        <v>5456</v>
      </c>
      <c r="DP54" s="1">
        <v>5744</v>
      </c>
      <c r="DQ54" s="18"/>
      <c r="DR54" s="18"/>
      <c r="DW54" s="1">
        <v>4</v>
      </c>
      <c r="DX54" s="1">
        <v>3.1</v>
      </c>
      <c r="DY54" s="1">
        <v>4.9000000000000004</v>
      </c>
      <c r="DZ54" s="1">
        <v>9</v>
      </c>
      <c r="EA54" s="1">
        <v>7.2</v>
      </c>
      <c r="EB54" s="1">
        <v>10.8</v>
      </c>
      <c r="EC54" s="1">
        <v>24</v>
      </c>
      <c r="ED54" s="1">
        <v>24</v>
      </c>
      <c r="EE54" s="1">
        <v>24</v>
      </c>
      <c r="EF54" s="1">
        <v>7.4</v>
      </c>
      <c r="EG54" s="1">
        <v>4.6000000000000014</v>
      </c>
      <c r="EH54" s="1">
        <v>10.199999999999999</v>
      </c>
      <c r="EL54" s="1">
        <v>160</v>
      </c>
      <c r="EM54" s="1">
        <v>144</v>
      </c>
      <c r="EN54" s="1">
        <v>176</v>
      </c>
      <c r="EO54" s="10"/>
      <c r="EP54" s="10"/>
      <c r="EQ54" s="10"/>
      <c r="ER54" s="1">
        <v>160</v>
      </c>
      <c r="ES54" s="1">
        <v>144</v>
      </c>
      <c r="ET54" s="1">
        <v>176</v>
      </c>
      <c r="EU54" s="1">
        <v>25.848235294117643</v>
      </c>
      <c r="EV54" s="18">
        <v>23.30411764705882</v>
      </c>
      <c r="EW54" s="18">
        <v>28.392352941176469</v>
      </c>
      <c r="EX54" s="18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>
        <v>38.670588235294112</v>
      </c>
      <c r="FK54" s="7">
        <v>34.803529411764707</v>
      </c>
      <c r="FL54" s="7">
        <v>42.537647058823524</v>
      </c>
      <c r="FO54" s="1">
        <v>67</v>
      </c>
      <c r="FP54" s="1">
        <v>67</v>
      </c>
      <c r="FQ54" s="1">
        <v>67</v>
      </c>
      <c r="FR54" s="12" t="s">
        <v>743</v>
      </c>
      <c r="FS54" s="12" t="s">
        <v>743</v>
      </c>
      <c r="FT54" s="12" t="s">
        <v>743</v>
      </c>
      <c r="FU54" s="12"/>
      <c r="FV54" s="12" t="s">
        <v>743</v>
      </c>
      <c r="FW54" s="12" t="s">
        <v>743</v>
      </c>
      <c r="FX54" s="12" t="s">
        <v>743</v>
      </c>
      <c r="FY54" s="12" t="s">
        <v>743</v>
      </c>
      <c r="FZ54" s="12" t="s">
        <v>743</v>
      </c>
      <c r="GA54" s="12" t="s">
        <v>743</v>
      </c>
      <c r="GB54" s="12" t="s">
        <v>743</v>
      </c>
      <c r="GE54" s="12" t="s">
        <v>743</v>
      </c>
      <c r="GF54" s="12" t="s">
        <v>743</v>
      </c>
      <c r="GH54" s="12" t="s">
        <v>743</v>
      </c>
    </row>
    <row r="55" spans="1:190" ht="12.75" customHeight="1" x14ac:dyDescent="0.2">
      <c r="A55" s="1" t="s">
        <v>141</v>
      </c>
      <c r="B55" s="1" t="s">
        <v>682</v>
      </c>
      <c r="E55" s="1" t="s">
        <v>142</v>
      </c>
      <c r="F55" s="1">
        <v>2</v>
      </c>
      <c r="G55" s="1">
        <v>2040</v>
      </c>
      <c r="H55" s="1">
        <v>1</v>
      </c>
      <c r="I55" s="1">
        <v>0</v>
      </c>
      <c r="J55" s="1">
        <v>0</v>
      </c>
      <c r="K55" s="18"/>
      <c r="L55" s="18"/>
      <c r="M55" s="18"/>
      <c r="N55" s="18">
        <v>243.83333333333329</v>
      </c>
      <c r="O55" s="18">
        <v>0</v>
      </c>
      <c r="P55" s="18">
        <v>818.52</v>
      </c>
      <c r="Q55" s="18">
        <v>0</v>
      </c>
      <c r="R55" s="18">
        <v>0</v>
      </c>
      <c r="S55" s="18">
        <v>0</v>
      </c>
      <c r="T55" s="18">
        <v>243.83333333333329</v>
      </c>
      <c r="U55" s="18">
        <v>0</v>
      </c>
      <c r="V55" s="18">
        <v>818.52</v>
      </c>
      <c r="W55" s="18">
        <v>0</v>
      </c>
      <c r="X55" s="18">
        <v>0</v>
      </c>
      <c r="Y55" s="18">
        <v>0</v>
      </c>
      <c r="Z55" s="18">
        <v>243.83333333333329</v>
      </c>
      <c r="AA55" s="18">
        <v>0</v>
      </c>
      <c r="AB55" s="18">
        <v>818.52</v>
      </c>
      <c r="AC55" s="18">
        <v>0</v>
      </c>
      <c r="AD55" s="18">
        <v>0</v>
      </c>
      <c r="AE55" s="18">
        <v>0</v>
      </c>
      <c r="AF55" s="18">
        <v>703.79166666666674</v>
      </c>
      <c r="AG55" s="18">
        <v>32.395000000000003</v>
      </c>
      <c r="AH55" s="18">
        <v>1807.5650000000001</v>
      </c>
      <c r="AI55" s="18">
        <v>0</v>
      </c>
      <c r="AJ55" s="18">
        <v>0</v>
      </c>
      <c r="AK55" s="18">
        <v>0</v>
      </c>
      <c r="AL55" s="18">
        <v>703.79166666666674</v>
      </c>
      <c r="AM55" s="18">
        <v>32.395000000000003</v>
      </c>
      <c r="AN55" s="18">
        <v>1807.5650000000001</v>
      </c>
      <c r="AO55" s="18">
        <v>0</v>
      </c>
      <c r="AP55" s="18">
        <v>0</v>
      </c>
      <c r="AQ55" s="18">
        <v>0</v>
      </c>
      <c r="AR55" s="18">
        <v>703.79166666666674</v>
      </c>
      <c r="AS55" s="18">
        <v>32.395000000000003</v>
      </c>
      <c r="AT55" s="18">
        <v>1807.5650000000001</v>
      </c>
      <c r="AU55" s="18">
        <v>0</v>
      </c>
      <c r="AV55" s="18">
        <v>0</v>
      </c>
      <c r="AW55" s="18">
        <v>0</v>
      </c>
      <c r="AX55" s="18">
        <v>1065.3854166666665</v>
      </c>
      <c r="AY55" s="18">
        <v>32.395000000000003</v>
      </c>
      <c r="AZ55" s="18">
        <v>2728.4</v>
      </c>
      <c r="BA55" s="18">
        <v>0</v>
      </c>
      <c r="BB55" s="18">
        <v>0</v>
      </c>
      <c r="BC55" s="18">
        <v>0</v>
      </c>
      <c r="BD55" s="18">
        <v>1065.3854166666665</v>
      </c>
      <c r="BE55" s="18">
        <v>32.395000000000003</v>
      </c>
      <c r="BF55" s="18">
        <v>2728.4</v>
      </c>
      <c r="BG55" s="18">
        <v>0</v>
      </c>
      <c r="BH55" s="18">
        <v>0</v>
      </c>
      <c r="BI55" s="18">
        <v>0</v>
      </c>
      <c r="BJ55" s="18">
        <v>1065.3854166666665</v>
      </c>
      <c r="BK55" s="18">
        <v>32.395000000000003</v>
      </c>
      <c r="BL55" s="18">
        <v>2728.4</v>
      </c>
      <c r="BM55" s="18">
        <v>0</v>
      </c>
      <c r="BN55" s="18">
        <v>0</v>
      </c>
      <c r="BO55" s="18">
        <v>0</v>
      </c>
      <c r="BP55" s="18"/>
      <c r="BQ55" s="18"/>
      <c r="BR55" s="18"/>
      <c r="BS55" s="18"/>
      <c r="BT55" s="10">
        <f>Tabelle58971121[[#This Row],[Mindestauslastung durch]]*Tabelle58971121[[#This Row],[installierte Leistung MW durch]]</f>
        <v>498.75</v>
      </c>
      <c r="BU55" s="10">
        <f>Tabelle58971121[[#This Row],[Mindestauslastung min]]*Tabelle58971121[[#This Row],[installierte Leistung MW min]]</f>
        <v>485.92499999999995</v>
      </c>
      <c r="BV55" s="10">
        <f>Tabelle58971121[[#This Row],[Mindestauslastung max]]*Tabelle58971121[[#This Row],[installierte Leistung MW max]]</f>
        <v>511.57499999999999</v>
      </c>
      <c r="BW55" s="8">
        <v>0.15</v>
      </c>
      <c r="BX55" s="8">
        <v>0.15</v>
      </c>
      <c r="BY55" s="8">
        <v>0.15</v>
      </c>
      <c r="BZ55" s="8"/>
      <c r="CA55" s="8">
        <v>7.3333333333333334E-2</v>
      </c>
      <c r="CB55" s="8">
        <v>0</v>
      </c>
      <c r="CC55" s="8">
        <v>0.24</v>
      </c>
      <c r="CD55" s="8">
        <v>7.3333333333333334E-2</v>
      </c>
      <c r="CE55" s="8">
        <v>0</v>
      </c>
      <c r="CF55" s="8">
        <v>0.24</v>
      </c>
      <c r="CG55" s="8">
        <v>7.3333333333333334E-2</v>
      </c>
      <c r="CH55" s="8">
        <v>0</v>
      </c>
      <c r="CI55" s="8">
        <v>0.24</v>
      </c>
      <c r="CJ55" s="8">
        <v>0.2116666666666667</v>
      </c>
      <c r="CK55" s="8">
        <v>0.01</v>
      </c>
      <c r="CL55" s="8">
        <v>0.53</v>
      </c>
      <c r="CM55" s="8">
        <v>0.2116666666666667</v>
      </c>
      <c r="CN55" s="8">
        <v>0.01</v>
      </c>
      <c r="CO55" s="8">
        <v>0.53</v>
      </c>
      <c r="CP55" s="8">
        <v>0.2116666666666667</v>
      </c>
      <c r="CQ55" s="8">
        <v>0.01</v>
      </c>
      <c r="CR55" s="8">
        <v>0.53</v>
      </c>
      <c r="CS55" s="8">
        <v>0.32041666666666663</v>
      </c>
      <c r="CT55" s="8">
        <v>0.01</v>
      </c>
      <c r="CU55" s="8">
        <v>0.8</v>
      </c>
      <c r="CV55" s="8">
        <v>0.32041666666666663</v>
      </c>
      <c r="CW55" s="8">
        <v>0.01</v>
      </c>
      <c r="CX55" s="8">
        <v>0.8</v>
      </c>
      <c r="CY55" s="8">
        <v>0.32041666666666663</v>
      </c>
      <c r="CZ55" s="8">
        <v>0.01</v>
      </c>
      <c r="DA55" s="8">
        <v>0.8</v>
      </c>
      <c r="DB55" s="8"/>
      <c r="DC55" s="8"/>
      <c r="DD55" s="8"/>
      <c r="DE55" s="48">
        <f>Tabelle58971121[[#This Row],[Durchschnittsauslastung min]]*Tabelle58971121[[#This Row],[installierte Leistung MW min]]</f>
        <v>0</v>
      </c>
      <c r="DF55" s="48">
        <f>Tabelle58971121[[#This Row],[Durchschnittsauslastung durch]]*Tabelle58971121[[#This Row],[installierte Leistung MW durch]]</f>
        <v>0</v>
      </c>
      <c r="DG55" s="48">
        <f>Tabelle58971121[[#This Row],[Durchschnittsauslastung max]]*Tabelle58971121[[#This Row],[installierte Leistung MW max]]</f>
        <v>0</v>
      </c>
      <c r="DH55" s="87">
        <f>Tabelle58971121[[#This Row],[Maximalauslastung durch]]*Tabelle58971121[[#This Row],[installierte Leistung MW min]]</f>
        <v>2429.625</v>
      </c>
      <c r="DI55" s="48">
        <f>Tabelle58971121[[#This Row],[Maximalauslastung durch]]*Tabelle58971121[[#This Row],[installierte Leistung MW durch]]</f>
        <v>2493.75</v>
      </c>
      <c r="DJ55" s="18">
        <f>Tabelle58971121[[#This Row],[Maximalauslastung max]]*Tabelle58971121[[#This Row],[installierte Leistung MW durch]]</f>
        <v>2693.25</v>
      </c>
      <c r="DK55" s="8">
        <v>0.75</v>
      </c>
      <c r="DL55" s="8">
        <v>0.69</v>
      </c>
      <c r="DM55" s="8">
        <v>0.81</v>
      </c>
      <c r="DN55" s="1">
        <v>3325</v>
      </c>
      <c r="DO55" s="1">
        <v>3239.5</v>
      </c>
      <c r="DP55" s="1">
        <v>3410.5</v>
      </c>
      <c r="DQ55" s="18"/>
      <c r="DR55" s="18"/>
      <c r="DW55" s="1">
        <v>4</v>
      </c>
      <c r="DX55" s="1">
        <v>3.1</v>
      </c>
      <c r="DY55" s="1">
        <v>4.9000000000000004</v>
      </c>
      <c r="DZ55" s="1">
        <v>9</v>
      </c>
      <c r="EA55" s="1">
        <v>7.2</v>
      </c>
      <c r="EB55" s="1">
        <v>10.8</v>
      </c>
      <c r="EC55" s="1">
        <v>24</v>
      </c>
      <c r="ED55" s="1">
        <v>24</v>
      </c>
      <c r="EE55" s="1">
        <v>24</v>
      </c>
      <c r="EF55" s="1">
        <v>7.4</v>
      </c>
      <c r="EG55" s="1">
        <v>4.6000000000000014</v>
      </c>
      <c r="EH55" s="1">
        <v>10.199999999999999</v>
      </c>
      <c r="EL55" s="1">
        <v>160</v>
      </c>
      <c r="EM55" s="1">
        <v>144</v>
      </c>
      <c r="EN55" s="1">
        <v>176</v>
      </c>
      <c r="EO55" s="10"/>
      <c r="EP55" s="10"/>
      <c r="EQ55" s="10"/>
      <c r="ER55" s="1">
        <v>160</v>
      </c>
      <c r="ES55" s="1">
        <v>144</v>
      </c>
      <c r="ET55" s="1">
        <v>176</v>
      </c>
      <c r="EU55" s="1">
        <v>25.848235294117643</v>
      </c>
      <c r="EV55" s="18">
        <v>23.30411764705882</v>
      </c>
      <c r="EW55" s="18">
        <v>28.392352941176469</v>
      </c>
      <c r="EX55" s="18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>
        <v>38.670588235294112</v>
      </c>
      <c r="FK55" s="7">
        <v>34.803529411764707</v>
      </c>
      <c r="FL55" s="7">
        <v>42.537647058823524</v>
      </c>
      <c r="FO55" s="1">
        <v>67</v>
      </c>
      <c r="FP55" s="1">
        <v>67</v>
      </c>
      <c r="FQ55" s="1">
        <v>67</v>
      </c>
      <c r="FR55" s="12" t="s">
        <v>743</v>
      </c>
      <c r="FS55" s="12" t="s">
        <v>743</v>
      </c>
      <c r="FT55" s="12" t="s">
        <v>743</v>
      </c>
      <c r="FU55" s="12"/>
      <c r="FV55" s="12" t="s">
        <v>743</v>
      </c>
      <c r="FW55" s="12" t="s">
        <v>743</v>
      </c>
      <c r="FX55" s="12" t="s">
        <v>743</v>
      </c>
      <c r="FY55" s="12" t="s">
        <v>743</v>
      </c>
      <c r="FZ55" s="12" t="s">
        <v>743</v>
      </c>
      <c r="GA55" s="12" t="s">
        <v>743</v>
      </c>
      <c r="GB55" s="12" t="s">
        <v>743</v>
      </c>
      <c r="GE55" s="12" t="s">
        <v>743</v>
      </c>
      <c r="GF55" s="12" t="s">
        <v>743</v>
      </c>
      <c r="GH55" s="12" t="s">
        <v>743</v>
      </c>
    </row>
    <row r="56" spans="1:190" ht="12.75" customHeight="1" x14ac:dyDescent="0.2">
      <c r="A56" s="1" t="s">
        <v>141</v>
      </c>
      <c r="B56" s="1" t="s">
        <v>682</v>
      </c>
      <c r="E56" s="1" t="s">
        <v>142</v>
      </c>
      <c r="F56" s="1">
        <v>2</v>
      </c>
      <c r="G56" s="1">
        <v>2045</v>
      </c>
      <c r="H56" s="1">
        <v>1</v>
      </c>
      <c r="I56" s="1">
        <v>0</v>
      </c>
      <c r="J56" s="1">
        <v>0</v>
      </c>
      <c r="K56" s="18"/>
      <c r="L56" s="18"/>
      <c r="M56" s="18"/>
      <c r="N56" s="18">
        <v>141.16666666666663</v>
      </c>
      <c r="O56" s="18">
        <v>0</v>
      </c>
      <c r="P56" s="18">
        <v>473.88</v>
      </c>
      <c r="Q56" s="18">
        <v>0</v>
      </c>
      <c r="R56" s="18">
        <v>0</v>
      </c>
      <c r="S56" s="18">
        <v>0</v>
      </c>
      <c r="T56" s="18">
        <v>141.16666666666663</v>
      </c>
      <c r="U56" s="18">
        <v>0</v>
      </c>
      <c r="V56" s="18">
        <v>473.88</v>
      </c>
      <c r="W56" s="18">
        <v>0</v>
      </c>
      <c r="X56" s="18">
        <v>0</v>
      </c>
      <c r="Y56" s="18">
        <v>0</v>
      </c>
      <c r="Z56" s="18">
        <v>141.16666666666663</v>
      </c>
      <c r="AA56" s="18">
        <v>0</v>
      </c>
      <c r="AB56" s="18">
        <v>473.88</v>
      </c>
      <c r="AC56" s="18">
        <v>0</v>
      </c>
      <c r="AD56" s="18">
        <v>0</v>
      </c>
      <c r="AE56" s="18">
        <v>0</v>
      </c>
      <c r="AF56" s="18">
        <v>407.45833333333337</v>
      </c>
      <c r="AG56" s="18">
        <v>18.754999999999999</v>
      </c>
      <c r="AH56" s="18">
        <v>1046.4849999999999</v>
      </c>
      <c r="AI56" s="18">
        <v>0</v>
      </c>
      <c r="AJ56" s="18">
        <v>0</v>
      </c>
      <c r="AK56" s="18">
        <v>0</v>
      </c>
      <c r="AL56" s="18">
        <v>407.45833333333337</v>
      </c>
      <c r="AM56" s="18">
        <v>18.754999999999999</v>
      </c>
      <c r="AN56" s="18">
        <v>1046.4849999999999</v>
      </c>
      <c r="AO56" s="18">
        <v>0</v>
      </c>
      <c r="AP56" s="18">
        <v>0</v>
      </c>
      <c r="AQ56" s="18">
        <v>0</v>
      </c>
      <c r="AR56" s="18">
        <v>407.45833333333337</v>
      </c>
      <c r="AS56" s="18">
        <v>18.754999999999999</v>
      </c>
      <c r="AT56" s="18">
        <v>1046.4849999999999</v>
      </c>
      <c r="AU56" s="18">
        <v>0</v>
      </c>
      <c r="AV56" s="18">
        <v>0</v>
      </c>
      <c r="AW56" s="18">
        <v>0</v>
      </c>
      <c r="AX56" s="18">
        <v>616.80208333333326</v>
      </c>
      <c r="AY56" s="18">
        <v>18.754999999999999</v>
      </c>
      <c r="AZ56" s="18">
        <v>1579.6</v>
      </c>
      <c r="BA56" s="18">
        <v>0</v>
      </c>
      <c r="BB56" s="18">
        <v>0</v>
      </c>
      <c r="BC56" s="18">
        <v>0</v>
      </c>
      <c r="BD56" s="18">
        <v>616.80208333333326</v>
      </c>
      <c r="BE56" s="18">
        <v>18.754999999999999</v>
      </c>
      <c r="BF56" s="18">
        <v>1579.6</v>
      </c>
      <c r="BG56" s="18">
        <v>0</v>
      </c>
      <c r="BH56" s="18">
        <v>0</v>
      </c>
      <c r="BI56" s="18">
        <v>0</v>
      </c>
      <c r="BJ56" s="18">
        <v>616.80208333333326</v>
      </c>
      <c r="BK56" s="18">
        <v>18.754999999999999</v>
      </c>
      <c r="BL56" s="18">
        <v>1579.6</v>
      </c>
      <c r="BM56" s="18">
        <v>0</v>
      </c>
      <c r="BN56" s="18">
        <v>0</v>
      </c>
      <c r="BO56" s="18">
        <v>0</v>
      </c>
      <c r="BP56" s="18"/>
      <c r="BQ56" s="18"/>
      <c r="BR56" s="18"/>
      <c r="BS56" s="18"/>
      <c r="BT56" s="10">
        <f>Tabelle58971121[[#This Row],[Mindestauslastung durch]]*Tabelle58971121[[#This Row],[installierte Leistung MW durch]]</f>
        <v>288.75</v>
      </c>
      <c r="BU56" s="10">
        <f>Tabelle58971121[[#This Row],[Mindestauslastung min]]*Tabelle58971121[[#This Row],[installierte Leistung MW min]]</f>
        <v>281.32499999999999</v>
      </c>
      <c r="BV56" s="10">
        <f>Tabelle58971121[[#This Row],[Mindestauslastung max]]*Tabelle58971121[[#This Row],[installierte Leistung MW max]]</f>
        <v>296.17500000000001</v>
      </c>
      <c r="BW56" s="8">
        <v>0.15</v>
      </c>
      <c r="BX56" s="8">
        <v>0.15</v>
      </c>
      <c r="BY56" s="8">
        <v>0.15</v>
      </c>
      <c r="BZ56" s="8"/>
      <c r="CA56" s="8">
        <v>7.3333333333333334E-2</v>
      </c>
      <c r="CB56" s="8">
        <v>0</v>
      </c>
      <c r="CC56" s="8">
        <v>0.24</v>
      </c>
      <c r="CD56" s="8">
        <v>7.3333333333333334E-2</v>
      </c>
      <c r="CE56" s="8">
        <v>0</v>
      </c>
      <c r="CF56" s="8">
        <v>0.24</v>
      </c>
      <c r="CG56" s="8">
        <v>7.3333333333333334E-2</v>
      </c>
      <c r="CH56" s="8">
        <v>0</v>
      </c>
      <c r="CI56" s="8">
        <v>0.24</v>
      </c>
      <c r="CJ56" s="8">
        <v>0.2116666666666667</v>
      </c>
      <c r="CK56" s="8">
        <v>0.01</v>
      </c>
      <c r="CL56" s="8">
        <v>0.53</v>
      </c>
      <c r="CM56" s="8">
        <v>0.2116666666666667</v>
      </c>
      <c r="CN56" s="8">
        <v>0.01</v>
      </c>
      <c r="CO56" s="8">
        <v>0.53</v>
      </c>
      <c r="CP56" s="8">
        <v>0.2116666666666667</v>
      </c>
      <c r="CQ56" s="8">
        <v>0.01</v>
      </c>
      <c r="CR56" s="8">
        <v>0.53</v>
      </c>
      <c r="CS56" s="8">
        <v>0.32041666666666663</v>
      </c>
      <c r="CT56" s="8">
        <v>0.01</v>
      </c>
      <c r="CU56" s="8">
        <v>0.8</v>
      </c>
      <c r="CV56" s="8">
        <v>0.32041666666666663</v>
      </c>
      <c r="CW56" s="8">
        <v>0.01</v>
      </c>
      <c r="CX56" s="8">
        <v>0.8</v>
      </c>
      <c r="CY56" s="8">
        <v>0.32041666666666663</v>
      </c>
      <c r="CZ56" s="8">
        <v>0.01</v>
      </c>
      <c r="DA56" s="8">
        <v>0.8</v>
      </c>
      <c r="DB56" s="8"/>
      <c r="DC56" s="8"/>
      <c r="DD56" s="8"/>
      <c r="DE56" s="48">
        <f>Tabelle58971121[[#This Row],[Durchschnittsauslastung min]]*Tabelle58971121[[#This Row],[installierte Leistung MW min]]</f>
        <v>0</v>
      </c>
      <c r="DF56" s="48">
        <f>Tabelle58971121[[#This Row],[Durchschnittsauslastung durch]]*Tabelle58971121[[#This Row],[installierte Leistung MW durch]]</f>
        <v>0</v>
      </c>
      <c r="DG56" s="48">
        <f>Tabelle58971121[[#This Row],[Durchschnittsauslastung max]]*Tabelle58971121[[#This Row],[installierte Leistung MW max]]</f>
        <v>0</v>
      </c>
      <c r="DH56" s="87">
        <f>Tabelle58971121[[#This Row],[Maximalauslastung durch]]*Tabelle58971121[[#This Row],[installierte Leistung MW min]]</f>
        <v>1406.625</v>
      </c>
      <c r="DI56" s="48">
        <f>Tabelle58971121[[#This Row],[Maximalauslastung durch]]*Tabelle58971121[[#This Row],[installierte Leistung MW durch]]</f>
        <v>1443.75</v>
      </c>
      <c r="DJ56" s="18">
        <f>Tabelle58971121[[#This Row],[Maximalauslastung max]]*Tabelle58971121[[#This Row],[installierte Leistung MW durch]]</f>
        <v>1559.25</v>
      </c>
      <c r="DK56" s="8">
        <v>0.75</v>
      </c>
      <c r="DL56" s="8">
        <v>0.69</v>
      </c>
      <c r="DM56" s="8">
        <v>0.81</v>
      </c>
      <c r="DN56" s="1">
        <v>1925</v>
      </c>
      <c r="DO56" s="1">
        <v>1875.5</v>
      </c>
      <c r="DP56" s="1">
        <v>1974.5</v>
      </c>
      <c r="DQ56" s="18"/>
      <c r="DR56" s="18"/>
      <c r="DW56" s="1">
        <v>4</v>
      </c>
      <c r="DX56" s="1">
        <v>3.1</v>
      </c>
      <c r="DY56" s="1">
        <v>4.9000000000000004</v>
      </c>
      <c r="DZ56" s="1">
        <v>9</v>
      </c>
      <c r="EA56" s="1">
        <v>7.2</v>
      </c>
      <c r="EB56" s="1">
        <v>10.8</v>
      </c>
      <c r="EC56" s="1">
        <v>24</v>
      </c>
      <c r="ED56" s="1">
        <v>24</v>
      </c>
      <c r="EE56" s="1">
        <v>24</v>
      </c>
      <c r="EF56" s="1">
        <v>7.4</v>
      </c>
      <c r="EG56" s="1">
        <v>4.6000000000000014</v>
      </c>
      <c r="EH56" s="1">
        <v>10.199999999999999</v>
      </c>
      <c r="EL56" s="1">
        <v>160</v>
      </c>
      <c r="EM56" s="1">
        <v>144</v>
      </c>
      <c r="EN56" s="1">
        <v>176</v>
      </c>
      <c r="EO56" s="10"/>
      <c r="EP56" s="10"/>
      <c r="EQ56" s="10"/>
      <c r="ER56" s="1">
        <v>160</v>
      </c>
      <c r="ES56" s="1">
        <v>144</v>
      </c>
      <c r="ET56" s="1">
        <v>176</v>
      </c>
      <c r="EU56" s="1">
        <v>25.848235294117643</v>
      </c>
      <c r="EV56" s="18">
        <v>23.30411764705882</v>
      </c>
      <c r="EW56" s="18">
        <v>28.392352941176469</v>
      </c>
      <c r="EX56" s="18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>
        <v>38.670588235294112</v>
      </c>
      <c r="FK56" s="7">
        <v>34.803529411764707</v>
      </c>
      <c r="FL56" s="7">
        <v>42.537647058823524</v>
      </c>
      <c r="FO56" s="1">
        <v>67</v>
      </c>
      <c r="FP56" s="1">
        <v>67</v>
      </c>
      <c r="FQ56" s="1">
        <v>67</v>
      </c>
      <c r="FR56" s="12" t="s">
        <v>743</v>
      </c>
      <c r="FS56" s="12" t="s">
        <v>743</v>
      </c>
      <c r="FT56" s="12" t="s">
        <v>743</v>
      </c>
      <c r="FU56" s="12"/>
      <c r="FV56" s="12" t="s">
        <v>743</v>
      </c>
      <c r="FW56" s="12" t="s">
        <v>743</v>
      </c>
      <c r="FX56" s="12" t="s">
        <v>743</v>
      </c>
      <c r="FY56" s="12" t="s">
        <v>743</v>
      </c>
      <c r="FZ56" s="12" t="s">
        <v>743</v>
      </c>
      <c r="GA56" s="12" t="s">
        <v>743</v>
      </c>
      <c r="GB56" s="12" t="s">
        <v>743</v>
      </c>
      <c r="GE56" s="12" t="s">
        <v>743</v>
      </c>
      <c r="GF56" s="12" t="s">
        <v>743</v>
      </c>
      <c r="GH56" s="12" t="s">
        <v>743</v>
      </c>
    </row>
    <row r="57" spans="1:190" ht="12.75" customHeight="1" x14ac:dyDescent="0.2">
      <c r="A57" s="1" t="s">
        <v>141</v>
      </c>
      <c r="B57" s="1" t="s">
        <v>682</v>
      </c>
      <c r="E57" s="1" t="s">
        <v>142</v>
      </c>
      <c r="F57" s="1">
        <v>2</v>
      </c>
      <c r="G57" s="1">
        <v>2050</v>
      </c>
      <c r="H57" s="1">
        <v>1</v>
      </c>
      <c r="I57" s="1">
        <v>0</v>
      </c>
      <c r="J57" s="1">
        <v>0</v>
      </c>
      <c r="K57" s="18"/>
      <c r="L57" s="18"/>
      <c r="M57" s="18"/>
      <c r="N57" s="18">
        <v>76.999999999999986</v>
      </c>
      <c r="O57" s="18">
        <v>0</v>
      </c>
      <c r="P57" s="18">
        <v>258.48</v>
      </c>
      <c r="Q57" s="18">
        <v>0</v>
      </c>
      <c r="R57" s="18">
        <v>0</v>
      </c>
      <c r="S57" s="18">
        <v>0</v>
      </c>
      <c r="T57" s="18">
        <v>76.999999999999986</v>
      </c>
      <c r="U57" s="18">
        <v>0</v>
      </c>
      <c r="V57" s="18">
        <v>258.48</v>
      </c>
      <c r="W57" s="18">
        <v>0</v>
      </c>
      <c r="X57" s="18">
        <v>0</v>
      </c>
      <c r="Y57" s="18">
        <v>0</v>
      </c>
      <c r="Z57" s="18">
        <v>76.999999999999986</v>
      </c>
      <c r="AA57" s="18">
        <v>0</v>
      </c>
      <c r="AB57" s="18">
        <v>258.48</v>
      </c>
      <c r="AC57" s="18">
        <v>0</v>
      </c>
      <c r="AD57" s="18">
        <v>0</v>
      </c>
      <c r="AE57" s="18">
        <v>0</v>
      </c>
      <c r="AF57" s="18">
        <v>222.25</v>
      </c>
      <c r="AG57" s="18">
        <v>10.23</v>
      </c>
      <c r="AH57" s="18">
        <v>570.80999999999995</v>
      </c>
      <c r="AI57" s="18">
        <v>0</v>
      </c>
      <c r="AJ57" s="18">
        <v>0</v>
      </c>
      <c r="AK57" s="18">
        <v>0</v>
      </c>
      <c r="AL57" s="18">
        <v>222.25</v>
      </c>
      <c r="AM57" s="18">
        <v>10.23</v>
      </c>
      <c r="AN57" s="18">
        <v>570.80999999999995</v>
      </c>
      <c r="AO57" s="18">
        <v>0</v>
      </c>
      <c r="AP57" s="18">
        <v>0</v>
      </c>
      <c r="AQ57" s="18">
        <v>0</v>
      </c>
      <c r="AR57" s="18">
        <v>222.25</v>
      </c>
      <c r="AS57" s="18">
        <v>10.23</v>
      </c>
      <c r="AT57" s="18">
        <v>570.80999999999995</v>
      </c>
      <c r="AU57" s="18">
        <v>0</v>
      </c>
      <c r="AV57" s="18">
        <v>0</v>
      </c>
      <c r="AW57" s="18">
        <v>0</v>
      </c>
      <c r="AX57" s="18">
        <v>336.43749999999994</v>
      </c>
      <c r="AY57" s="18">
        <v>10.23</v>
      </c>
      <c r="AZ57" s="18">
        <v>861.6</v>
      </c>
      <c r="BA57" s="18">
        <v>0</v>
      </c>
      <c r="BB57" s="18">
        <v>0</v>
      </c>
      <c r="BC57" s="18">
        <v>0</v>
      </c>
      <c r="BD57" s="18">
        <v>336.43749999999994</v>
      </c>
      <c r="BE57" s="18">
        <v>10.23</v>
      </c>
      <c r="BF57" s="18">
        <v>861.6</v>
      </c>
      <c r="BG57" s="18">
        <v>0</v>
      </c>
      <c r="BH57" s="18">
        <v>0</v>
      </c>
      <c r="BI57" s="18">
        <v>0</v>
      </c>
      <c r="BJ57" s="18">
        <v>336.43749999999994</v>
      </c>
      <c r="BK57" s="18">
        <v>10.23</v>
      </c>
      <c r="BL57" s="18">
        <v>861.6</v>
      </c>
      <c r="BM57" s="18">
        <v>0</v>
      </c>
      <c r="BN57" s="18">
        <v>0</v>
      </c>
      <c r="BO57" s="18">
        <v>0</v>
      </c>
      <c r="BP57" s="18"/>
      <c r="BQ57" s="18"/>
      <c r="BR57" s="18"/>
      <c r="BS57" s="18"/>
      <c r="BT57" s="10">
        <f>Tabelle58971121[[#This Row],[Mindestauslastung durch]]*Tabelle58971121[[#This Row],[installierte Leistung MW durch]]</f>
        <v>157.5</v>
      </c>
      <c r="BU57" s="10">
        <f>Tabelle58971121[[#This Row],[Mindestauslastung min]]*Tabelle58971121[[#This Row],[installierte Leistung MW min]]</f>
        <v>153.44999999999999</v>
      </c>
      <c r="BV57" s="10">
        <f>Tabelle58971121[[#This Row],[Mindestauslastung max]]*Tabelle58971121[[#This Row],[installierte Leistung MW max]]</f>
        <v>161.54999999999998</v>
      </c>
      <c r="BW57" s="8">
        <v>0.15</v>
      </c>
      <c r="BX57" s="8">
        <v>0.15</v>
      </c>
      <c r="BY57" s="8">
        <v>0.15</v>
      </c>
      <c r="BZ57" s="8"/>
      <c r="CA57" s="8">
        <v>7.3333333333333334E-2</v>
      </c>
      <c r="CB57" s="8">
        <v>0</v>
      </c>
      <c r="CC57" s="8">
        <v>0.24</v>
      </c>
      <c r="CD57" s="8">
        <v>7.3333333333333334E-2</v>
      </c>
      <c r="CE57" s="8">
        <v>0</v>
      </c>
      <c r="CF57" s="8">
        <v>0.24</v>
      </c>
      <c r="CG57" s="8">
        <v>7.3333333333333334E-2</v>
      </c>
      <c r="CH57" s="8">
        <v>0</v>
      </c>
      <c r="CI57" s="8">
        <v>0.24</v>
      </c>
      <c r="CJ57" s="8">
        <v>0.2116666666666667</v>
      </c>
      <c r="CK57" s="8">
        <v>0.01</v>
      </c>
      <c r="CL57" s="8">
        <v>0.53</v>
      </c>
      <c r="CM57" s="8">
        <v>0.2116666666666667</v>
      </c>
      <c r="CN57" s="8">
        <v>0.01</v>
      </c>
      <c r="CO57" s="8">
        <v>0.53</v>
      </c>
      <c r="CP57" s="8">
        <v>0.2116666666666667</v>
      </c>
      <c r="CQ57" s="8">
        <v>0.01</v>
      </c>
      <c r="CR57" s="8">
        <v>0.53</v>
      </c>
      <c r="CS57" s="8">
        <v>0.32041666666666663</v>
      </c>
      <c r="CT57" s="8">
        <v>0.01</v>
      </c>
      <c r="CU57" s="8">
        <v>0.8</v>
      </c>
      <c r="CV57" s="8">
        <v>0.32041666666666663</v>
      </c>
      <c r="CW57" s="8">
        <v>0.01</v>
      </c>
      <c r="CX57" s="8">
        <v>0.8</v>
      </c>
      <c r="CY57" s="8">
        <v>0.32041666666666663</v>
      </c>
      <c r="CZ57" s="8">
        <v>0.01</v>
      </c>
      <c r="DA57" s="8">
        <v>0.8</v>
      </c>
      <c r="DB57" s="8"/>
      <c r="DC57" s="8"/>
      <c r="DD57" s="8"/>
      <c r="DE57" s="48">
        <f>Tabelle58971121[[#This Row],[Durchschnittsauslastung min]]*Tabelle58971121[[#This Row],[installierte Leistung MW min]]</f>
        <v>0</v>
      </c>
      <c r="DF57" s="48">
        <f>Tabelle58971121[[#This Row],[Durchschnittsauslastung durch]]*Tabelle58971121[[#This Row],[installierte Leistung MW durch]]</f>
        <v>0</v>
      </c>
      <c r="DG57" s="48">
        <f>Tabelle58971121[[#This Row],[Durchschnittsauslastung max]]*Tabelle58971121[[#This Row],[installierte Leistung MW max]]</f>
        <v>0</v>
      </c>
      <c r="DH57" s="87">
        <f>Tabelle58971121[[#This Row],[Maximalauslastung durch]]*Tabelle58971121[[#This Row],[installierte Leistung MW min]]</f>
        <v>767.25</v>
      </c>
      <c r="DI57" s="48">
        <f>Tabelle58971121[[#This Row],[Maximalauslastung durch]]*Tabelle58971121[[#This Row],[installierte Leistung MW durch]]</f>
        <v>787.5</v>
      </c>
      <c r="DJ57" s="18">
        <f>Tabelle58971121[[#This Row],[Maximalauslastung max]]*Tabelle58971121[[#This Row],[installierte Leistung MW durch]]</f>
        <v>850.5</v>
      </c>
      <c r="DK57" s="8">
        <v>0.75</v>
      </c>
      <c r="DL57" s="8">
        <v>0.69</v>
      </c>
      <c r="DM57" s="8">
        <v>0.81</v>
      </c>
      <c r="DN57" s="1">
        <v>1050</v>
      </c>
      <c r="DO57" s="1">
        <v>1023</v>
      </c>
      <c r="DP57" s="1">
        <v>1077</v>
      </c>
      <c r="DQ57" s="18"/>
      <c r="DR57" s="18"/>
      <c r="DW57" s="1">
        <v>4</v>
      </c>
      <c r="DX57" s="1">
        <v>3.1</v>
      </c>
      <c r="DY57" s="1">
        <v>4.9000000000000004</v>
      </c>
      <c r="DZ57" s="1">
        <v>9</v>
      </c>
      <c r="EA57" s="1">
        <v>7.2</v>
      </c>
      <c r="EB57" s="1">
        <v>10.8</v>
      </c>
      <c r="EC57" s="1">
        <v>24</v>
      </c>
      <c r="ED57" s="1">
        <v>24</v>
      </c>
      <c r="EE57" s="1">
        <v>24</v>
      </c>
      <c r="EF57" s="1">
        <v>7.4</v>
      </c>
      <c r="EG57" s="1">
        <v>4.6000000000000014</v>
      </c>
      <c r="EH57" s="1">
        <v>10.199999999999999</v>
      </c>
      <c r="EL57" s="1">
        <v>160</v>
      </c>
      <c r="EM57" s="1">
        <v>144</v>
      </c>
      <c r="EN57" s="1">
        <v>176</v>
      </c>
      <c r="EO57" s="10"/>
      <c r="EP57" s="10"/>
      <c r="EQ57" s="10"/>
      <c r="ER57" s="1">
        <v>160</v>
      </c>
      <c r="ES57" s="1">
        <v>144</v>
      </c>
      <c r="ET57" s="1">
        <v>176</v>
      </c>
      <c r="EU57" s="1">
        <v>25.848235294117643</v>
      </c>
      <c r="EV57" s="18">
        <v>23.30411764705882</v>
      </c>
      <c r="EW57" s="18">
        <v>28.392352941176469</v>
      </c>
      <c r="EX57" s="18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>
        <v>38.670588235294112</v>
      </c>
      <c r="FK57" s="7">
        <v>34.803529411764707</v>
      </c>
      <c r="FL57" s="7">
        <v>42.537647058823524</v>
      </c>
      <c r="FO57" s="1">
        <v>67</v>
      </c>
      <c r="FP57" s="1">
        <v>67</v>
      </c>
      <c r="FQ57" s="1">
        <v>67</v>
      </c>
      <c r="FR57" s="12" t="s">
        <v>743</v>
      </c>
      <c r="FS57" s="12" t="s">
        <v>743</v>
      </c>
      <c r="FT57" s="12" t="s">
        <v>743</v>
      </c>
      <c r="FU57" s="12"/>
      <c r="FV57" s="12" t="s">
        <v>743</v>
      </c>
      <c r="FW57" s="12" t="s">
        <v>743</v>
      </c>
      <c r="FX57" s="12" t="s">
        <v>743</v>
      </c>
      <c r="FY57" s="12" t="s">
        <v>743</v>
      </c>
      <c r="FZ57" s="12" t="s">
        <v>743</v>
      </c>
      <c r="GA57" s="12" t="s">
        <v>743</v>
      </c>
      <c r="GB57" s="12" t="s">
        <v>743</v>
      </c>
      <c r="GE57" s="12" t="s">
        <v>743</v>
      </c>
      <c r="GF57" s="12" t="s">
        <v>743</v>
      </c>
      <c r="GH57" s="12" t="s">
        <v>743</v>
      </c>
    </row>
    <row r="58" spans="1:190" ht="12.75" customHeight="1" x14ac:dyDescent="0.2">
      <c r="A58" s="1" t="s">
        <v>136</v>
      </c>
      <c r="B58" s="1" t="s">
        <v>647</v>
      </c>
      <c r="E58" s="1" t="s">
        <v>142</v>
      </c>
      <c r="F58" s="1">
        <v>2</v>
      </c>
      <c r="G58" s="1">
        <v>2015</v>
      </c>
      <c r="H58" s="1">
        <v>1</v>
      </c>
      <c r="I58" s="1">
        <v>0</v>
      </c>
      <c r="J58" s="1">
        <v>0</v>
      </c>
      <c r="K58" s="18"/>
      <c r="L58" s="18"/>
      <c r="M58" s="18"/>
      <c r="N58" s="18">
        <v>780.48749999999995</v>
      </c>
      <c r="O58" s="18">
        <v>548.13199999999995</v>
      </c>
      <c r="P58" s="18">
        <v>1071.8499999999999</v>
      </c>
      <c r="Q58" s="18">
        <v>0</v>
      </c>
      <c r="R58" s="18">
        <v>0</v>
      </c>
      <c r="S58" s="18">
        <v>0</v>
      </c>
      <c r="T58" s="18">
        <v>780.48749999999995</v>
      </c>
      <c r="U58" s="18">
        <v>548.13199999999995</v>
      </c>
      <c r="V58" s="18">
        <v>1071.8499999999999</v>
      </c>
      <c r="W58" s="18">
        <v>0</v>
      </c>
      <c r="X58" s="18">
        <v>0</v>
      </c>
      <c r="Y58" s="18">
        <v>0</v>
      </c>
      <c r="Z58" s="18">
        <v>780.48749999999995</v>
      </c>
      <c r="AA58" s="18">
        <v>548.13199999999995</v>
      </c>
      <c r="AB58" s="18">
        <v>1071.8499999999999</v>
      </c>
      <c r="AC58" s="18">
        <v>0</v>
      </c>
      <c r="AD58" s="18">
        <v>0</v>
      </c>
      <c r="AE58" s="18">
        <v>0</v>
      </c>
      <c r="AF58" s="18">
        <v>780.48749999999995</v>
      </c>
      <c r="AG58" s="18">
        <v>548.13199999999995</v>
      </c>
      <c r="AH58" s="18">
        <v>1071.8499999999999</v>
      </c>
      <c r="AI58" s="18">
        <v>0</v>
      </c>
      <c r="AJ58" s="18">
        <v>0</v>
      </c>
      <c r="AK58" s="18">
        <v>0</v>
      </c>
      <c r="AL58" s="18">
        <v>780.48749999999995</v>
      </c>
      <c r="AM58" s="18">
        <v>548.13199999999995</v>
      </c>
      <c r="AN58" s="18">
        <v>1071.8499999999999</v>
      </c>
      <c r="AO58" s="18">
        <v>0</v>
      </c>
      <c r="AP58" s="18">
        <v>0</v>
      </c>
      <c r="AQ58" s="18">
        <v>0</v>
      </c>
      <c r="AR58" s="18">
        <v>780.48749999999995</v>
      </c>
      <c r="AS58" s="18">
        <v>548.13199999999995</v>
      </c>
      <c r="AT58" s="18">
        <v>1071.8499999999999</v>
      </c>
      <c r="AU58" s="18">
        <v>0</v>
      </c>
      <c r="AV58" s="18">
        <v>0</v>
      </c>
      <c r="AW58" s="18">
        <v>0</v>
      </c>
      <c r="AX58" s="18">
        <v>780.48749999999995</v>
      </c>
      <c r="AY58" s="18">
        <v>548.13199999999995</v>
      </c>
      <c r="AZ58" s="18">
        <v>1071.8499999999999</v>
      </c>
      <c r="BA58" s="18">
        <v>0</v>
      </c>
      <c r="BB58" s="18">
        <v>0</v>
      </c>
      <c r="BC58" s="18">
        <v>0</v>
      </c>
      <c r="BD58" s="18">
        <v>780.48749999999995</v>
      </c>
      <c r="BE58" s="18">
        <v>548.13199999999995</v>
      </c>
      <c r="BF58" s="18">
        <v>1071.8499999999999</v>
      </c>
      <c r="BG58" s="18">
        <v>0</v>
      </c>
      <c r="BH58" s="18">
        <v>0</v>
      </c>
      <c r="BI58" s="18">
        <v>0</v>
      </c>
      <c r="BJ58" s="18">
        <v>780.48749999999995</v>
      </c>
      <c r="BK58" s="18">
        <v>548.13199999999995</v>
      </c>
      <c r="BL58" s="18">
        <v>1071.8499999999999</v>
      </c>
      <c r="BM58" s="18">
        <v>0</v>
      </c>
      <c r="BN58" s="18">
        <v>0</v>
      </c>
      <c r="BO58" s="18">
        <v>0</v>
      </c>
      <c r="BP58" s="18"/>
      <c r="BQ58" s="18"/>
      <c r="BR58" s="18"/>
      <c r="BS58" s="18"/>
      <c r="BT58" s="10">
        <f>Tabelle58971121[[#This Row],[Mindestauslastung durch]]*Tabelle58971121[[#This Row],[installierte Leistung MW durch]]</f>
        <v>351</v>
      </c>
      <c r="BU58" s="10">
        <f>Tabelle58971121[[#This Row],[Mindestauslastung min]]*Tabelle58971121[[#This Row],[installierte Leistung MW min]]</f>
        <v>323.7</v>
      </c>
      <c r="BV58" s="10">
        <f>Tabelle58971121[[#This Row],[Mindestauslastung max]]*Tabelle58971121[[#This Row],[installierte Leistung MW max]]</f>
        <v>378.3</v>
      </c>
      <c r="BW58" s="8">
        <v>0.15</v>
      </c>
      <c r="BX58" s="8">
        <v>0.15</v>
      </c>
      <c r="BY58" s="8">
        <v>0.15</v>
      </c>
      <c r="BZ58" s="8"/>
      <c r="CA58" s="8">
        <v>0.33354166666666663</v>
      </c>
      <c r="CB58" s="8">
        <v>0.254</v>
      </c>
      <c r="CC58" s="8">
        <v>0.42499999999999999</v>
      </c>
      <c r="CD58" s="8">
        <v>0.33354166666666663</v>
      </c>
      <c r="CE58" s="8">
        <v>0.254</v>
      </c>
      <c r="CF58" s="8">
        <v>0.42499999999999999</v>
      </c>
      <c r="CG58" s="8">
        <v>0.33354166666666663</v>
      </c>
      <c r="CH58" s="8">
        <v>0.254</v>
      </c>
      <c r="CI58" s="8">
        <v>0.42499999999999999</v>
      </c>
      <c r="CJ58" s="8">
        <v>0.33354166666666663</v>
      </c>
      <c r="CK58" s="8">
        <v>0.254</v>
      </c>
      <c r="CL58" s="8">
        <v>0.42499999999999999</v>
      </c>
      <c r="CM58" s="8">
        <v>0.33354166666666663</v>
      </c>
      <c r="CN58" s="8">
        <v>0.254</v>
      </c>
      <c r="CO58" s="8">
        <v>0.42499999999999999</v>
      </c>
      <c r="CP58" s="8">
        <v>0.33354166666666663</v>
      </c>
      <c r="CQ58" s="8">
        <v>0.254</v>
      </c>
      <c r="CR58" s="8">
        <v>0.42499999999999999</v>
      </c>
      <c r="CS58" s="8">
        <v>0.33354166666666663</v>
      </c>
      <c r="CT58" s="8">
        <v>0.254</v>
      </c>
      <c r="CU58" s="8">
        <v>0.42499999999999999</v>
      </c>
      <c r="CV58" s="8">
        <v>0.33354166666666663</v>
      </c>
      <c r="CW58" s="8">
        <v>0.254</v>
      </c>
      <c r="CX58" s="8">
        <v>0.42499999999999999</v>
      </c>
      <c r="CY58" s="8">
        <v>0.33354166666666663</v>
      </c>
      <c r="CZ58" s="8">
        <v>0.254</v>
      </c>
      <c r="DA58" s="8">
        <v>0.42499999999999999</v>
      </c>
      <c r="DB58" s="8"/>
      <c r="DC58" s="8"/>
      <c r="DD58" s="8"/>
      <c r="DE58" s="48">
        <f>Tabelle58971121[[#This Row],[Durchschnittsauslastung min]]*Tabelle58971121[[#This Row],[installierte Leistung MW min]]</f>
        <v>0</v>
      </c>
      <c r="DF58" s="48">
        <f>Tabelle58971121[[#This Row],[Durchschnittsauslastung durch]]*Tabelle58971121[[#This Row],[installierte Leistung MW durch]]</f>
        <v>0</v>
      </c>
      <c r="DG58" s="48">
        <f>Tabelle58971121[[#This Row],[Durchschnittsauslastung max]]*Tabelle58971121[[#This Row],[installierte Leistung MW max]]</f>
        <v>0</v>
      </c>
      <c r="DH58" s="87">
        <f>Tabelle58971121[[#This Row],[Maximalauslastung durch]]*Tabelle58971121[[#This Row],[installierte Leistung MW min]]</f>
        <v>2158</v>
      </c>
      <c r="DI58" s="48">
        <f>Tabelle58971121[[#This Row],[Maximalauslastung durch]]*Tabelle58971121[[#This Row],[installierte Leistung MW durch]]</f>
        <v>2340</v>
      </c>
      <c r="DJ58" s="18">
        <f>Tabelle58971121[[#This Row],[Maximalauslastung max]]*Tabelle58971121[[#This Row],[installierte Leistung MW durch]]</f>
        <v>2340</v>
      </c>
      <c r="DK58" s="8">
        <v>1</v>
      </c>
      <c r="DL58" s="8">
        <v>1</v>
      </c>
      <c r="DM58" s="8">
        <v>1</v>
      </c>
      <c r="DN58" s="1">
        <v>2340</v>
      </c>
      <c r="DO58" s="1">
        <v>2158</v>
      </c>
      <c r="DP58" s="1">
        <v>2522</v>
      </c>
      <c r="DQ58" s="18"/>
      <c r="DR58" s="18"/>
      <c r="DW58" s="1">
        <v>0.25</v>
      </c>
      <c r="DX58" s="1">
        <v>0.2</v>
      </c>
      <c r="DY58" s="1">
        <v>0.3</v>
      </c>
      <c r="DZ58" s="1">
        <v>0.25</v>
      </c>
      <c r="EA58" s="1">
        <v>0.2</v>
      </c>
      <c r="EB58" s="1">
        <v>0.3</v>
      </c>
      <c r="EC58" s="1">
        <v>4.5</v>
      </c>
      <c r="ED58" s="1">
        <v>3</v>
      </c>
      <c r="EE58" s="1">
        <v>6</v>
      </c>
      <c r="EF58" s="1">
        <v>0.4</v>
      </c>
      <c r="EG58" s="1">
        <v>0.3</v>
      </c>
      <c r="EH58" s="1">
        <v>0.5</v>
      </c>
      <c r="EL58" s="1">
        <v>6570</v>
      </c>
      <c r="EM58" s="1">
        <v>4380</v>
      </c>
      <c r="EN58" s="1">
        <v>8760</v>
      </c>
      <c r="EO58" s="10"/>
      <c r="EP58" s="10"/>
      <c r="EQ58" s="10"/>
      <c r="ER58" s="1">
        <v>6570</v>
      </c>
      <c r="ES58" s="1">
        <v>4380</v>
      </c>
      <c r="ET58" s="1">
        <v>8760</v>
      </c>
      <c r="EU58" s="1">
        <v>25.848235294117643</v>
      </c>
      <c r="EV58" s="18">
        <v>23.30411764705882</v>
      </c>
      <c r="EW58" s="18">
        <v>28.392352941176469</v>
      </c>
      <c r="EX58" s="18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>
        <v>38.670588235294112</v>
      </c>
      <c r="FK58" s="7">
        <v>34.803529411764707</v>
      </c>
      <c r="FL58" s="7">
        <v>42.537647058823524</v>
      </c>
      <c r="FO58" s="1">
        <v>67</v>
      </c>
      <c r="FP58" s="1">
        <v>67</v>
      </c>
      <c r="FQ58" s="1">
        <v>67</v>
      </c>
      <c r="FR58" s="12" t="s">
        <v>743</v>
      </c>
      <c r="FS58" s="12" t="s">
        <v>743</v>
      </c>
      <c r="FT58" s="12" t="s">
        <v>743</v>
      </c>
      <c r="FU58" s="12"/>
      <c r="FV58" s="12" t="s">
        <v>743</v>
      </c>
      <c r="FW58" s="12" t="s">
        <v>743</v>
      </c>
      <c r="FX58" s="12" t="s">
        <v>743</v>
      </c>
      <c r="FY58" s="12" t="s">
        <v>743</v>
      </c>
      <c r="FZ58" s="12" t="s">
        <v>743</v>
      </c>
      <c r="GA58" s="12" t="s">
        <v>743</v>
      </c>
      <c r="GB58" s="12" t="s">
        <v>743</v>
      </c>
      <c r="GE58" s="12" t="s">
        <v>743</v>
      </c>
      <c r="GF58" s="12" t="s">
        <v>743</v>
      </c>
      <c r="GH58" s="12" t="s">
        <v>743</v>
      </c>
    </row>
    <row r="59" spans="1:190" ht="12.75" customHeight="1" x14ac:dyDescent="0.2">
      <c r="A59" s="1" t="s">
        <v>136</v>
      </c>
      <c r="B59" s="1" t="s">
        <v>647</v>
      </c>
      <c r="E59" s="1" t="s">
        <v>142</v>
      </c>
      <c r="F59" s="1">
        <v>2</v>
      </c>
      <c r="G59" s="1">
        <v>2020</v>
      </c>
      <c r="H59" s="1">
        <v>1</v>
      </c>
      <c r="I59" s="1">
        <v>0</v>
      </c>
      <c r="J59" s="1">
        <v>0</v>
      </c>
      <c r="K59" s="18"/>
      <c r="L59" s="18"/>
      <c r="M59" s="18"/>
      <c r="N59" s="18">
        <v>694.63387499999999</v>
      </c>
      <c r="O59" s="18">
        <v>487.83747999999997</v>
      </c>
      <c r="P59" s="18">
        <v>953.9464999999999</v>
      </c>
      <c r="Q59" s="18">
        <v>0</v>
      </c>
      <c r="R59" s="18">
        <v>0</v>
      </c>
      <c r="S59" s="18">
        <v>0</v>
      </c>
      <c r="T59" s="18">
        <v>694.63387499999999</v>
      </c>
      <c r="U59" s="18">
        <v>487.83747999999997</v>
      </c>
      <c r="V59" s="18">
        <v>953.9464999999999</v>
      </c>
      <c r="W59" s="18">
        <v>0</v>
      </c>
      <c r="X59" s="18">
        <v>0</v>
      </c>
      <c r="Y59" s="18">
        <v>0</v>
      </c>
      <c r="Z59" s="18">
        <v>694.63387499999999</v>
      </c>
      <c r="AA59" s="18">
        <v>487.83747999999997</v>
      </c>
      <c r="AB59" s="18">
        <v>953.9464999999999</v>
      </c>
      <c r="AC59" s="18">
        <v>0</v>
      </c>
      <c r="AD59" s="18">
        <v>0</v>
      </c>
      <c r="AE59" s="18">
        <v>0</v>
      </c>
      <c r="AF59" s="18">
        <v>694.63387499999999</v>
      </c>
      <c r="AG59" s="18">
        <v>487.83747999999997</v>
      </c>
      <c r="AH59" s="18">
        <v>953.9464999999999</v>
      </c>
      <c r="AI59" s="18">
        <v>0</v>
      </c>
      <c r="AJ59" s="18">
        <v>0</v>
      </c>
      <c r="AK59" s="18">
        <v>0</v>
      </c>
      <c r="AL59" s="18">
        <v>694.63387499999999</v>
      </c>
      <c r="AM59" s="18">
        <v>487.83747999999997</v>
      </c>
      <c r="AN59" s="18">
        <v>953.9464999999999</v>
      </c>
      <c r="AO59" s="18">
        <v>0</v>
      </c>
      <c r="AP59" s="18">
        <v>0</v>
      </c>
      <c r="AQ59" s="18">
        <v>0</v>
      </c>
      <c r="AR59" s="18">
        <v>694.63387499999999</v>
      </c>
      <c r="AS59" s="18">
        <v>487.83747999999997</v>
      </c>
      <c r="AT59" s="18">
        <v>953.9464999999999</v>
      </c>
      <c r="AU59" s="18">
        <v>0</v>
      </c>
      <c r="AV59" s="18">
        <v>0</v>
      </c>
      <c r="AW59" s="18">
        <v>0</v>
      </c>
      <c r="AX59" s="18">
        <v>694.63387499999999</v>
      </c>
      <c r="AY59" s="18">
        <v>487.83747999999997</v>
      </c>
      <c r="AZ59" s="18">
        <v>953.9464999999999</v>
      </c>
      <c r="BA59" s="18">
        <v>0</v>
      </c>
      <c r="BB59" s="18">
        <v>0</v>
      </c>
      <c r="BC59" s="18">
        <v>0</v>
      </c>
      <c r="BD59" s="18">
        <v>694.63387499999999</v>
      </c>
      <c r="BE59" s="18">
        <v>487.83747999999997</v>
      </c>
      <c r="BF59" s="18">
        <v>953.9464999999999</v>
      </c>
      <c r="BG59" s="18">
        <v>0</v>
      </c>
      <c r="BH59" s="18">
        <v>0</v>
      </c>
      <c r="BI59" s="18">
        <v>0</v>
      </c>
      <c r="BJ59" s="18">
        <v>694.63387499999999</v>
      </c>
      <c r="BK59" s="18">
        <v>487.83747999999997</v>
      </c>
      <c r="BL59" s="18">
        <v>953.9464999999999</v>
      </c>
      <c r="BM59" s="18">
        <v>0</v>
      </c>
      <c r="BN59" s="18">
        <v>0</v>
      </c>
      <c r="BO59" s="18">
        <v>0</v>
      </c>
      <c r="BP59" s="18"/>
      <c r="BQ59" s="18"/>
      <c r="BR59" s="18"/>
      <c r="BS59" s="18"/>
      <c r="BT59" s="10">
        <f>Tabelle58971121[[#This Row],[Mindestauslastung durch]]*Tabelle58971121[[#This Row],[installierte Leistung MW durch]]</f>
        <v>312.39</v>
      </c>
      <c r="BU59" s="10">
        <f>Tabelle58971121[[#This Row],[Mindestauslastung min]]*Tabelle58971121[[#This Row],[installierte Leistung MW min]]</f>
        <v>288.09299999999996</v>
      </c>
      <c r="BV59" s="10">
        <f>Tabelle58971121[[#This Row],[Mindestauslastung max]]*Tabelle58971121[[#This Row],[installierte Leistung MW max]]</f>
        <v>336.68699999999995</v>
      </c>
      <c r="BW59" s="8">
        <v>0.15</v>
      </c>
      <c r="BX59" s="8">
        <v>0.15</v>
      </c>
      <c r="BY59" s="8">
        <v>0.15</v>
      </c>
      <c r="BZ59" s="8"/>
      <c r="CA59" s="8">
        <v>0.33354166666666663</v>
      </c>
      <c r="CB59" s="8">
        <v>0.254</v>
      </c>
      <c r="CC59" s="8">
        <v>0.42499999999999999</v>
      </c>
      <c r="CD59" s="8">
        <v>0.33354166666666663</v>
      </c>
      <c r="CE59" s="8">
        <v>0.254</v>
      </c>
      <c r="CF59" s="8">
        <v>0.42499999999999999</v>
      </c>
      <c r="CG59" s="8">
        <v>0.33354166666666663</v>
      </c>
      <c r="CH59" s="8">
        <v>0.254</v>
      </c>
      <c r="CI59" s="8">
        <v>0.42499999999999999</v>
      </c>
      <c r="CJ59" s="8">
        <v>0.33354166666666663</v>
      </c>
      <c r="CK59" s="8">
        <v>0.254</v>
      </c>
      <c r="CL59" s="8">
        <v>0.42499999999999999</v>
      </c>
      <c r="CM59" s="8">
        <v>0.33354166666666663</v>
      </c>
      <c r="CN59" s="8">
        <v>0.254</v>
      </c>
      <c r="CO59" s="8">
        <v>0.42499999999999999</v>
      </c>
      <c r="CP59" s="8">
        <v>0.33354166666666663</v>
      </c>
      <c r="CQ59" s="8">
        <v>0.254</v>
      </c>
      <c r="CR59" s="8">
        <v>0.42499999999999999</v>
      </c>
      <c r="CS59" s="8">
        <v>0.33354166666666663</v>
      </c>
      <c r="CT59" s="8">
        <v>0.254</v>
      </c>
      <c r="CU59" s="8">
        <v>0.42499999999999999</v>
      </c>
      <c r="CV59" s="8">
        <v>0.33354166666666663</v>
      </c>
      <c r="CW59" s="8">
        <v>0.254</v>
      </c>
      <c r="CX59" s="8">
        <v>0.42499999999999999</v>
      </c>
      <c r="CY59" s="8">
        <v>0.33354166666666663</v>
      </c>
      <c r="CZ59" s="8">
        <v>0.254</v>
      </c>
      <c r="DA59" s="8">
        <v>0.42499999999999999</v>
      </c>
      <c r="DB59" s="8"/>
      <c r="DC59" s="8"/>
      <c r="DD59" s="8"/>
      <c r="DE59" s="48">
        <f>Tabelle58971121[[#This Row],[Durchschnittsauslastung min]]*Tabelle58971121[[#This Row],[installierte Leistung MW min]]</f>
        <v>0</v>
      </c>
      <c r="DF59" s="48">
        <f>Tabelle58971121[[#This Row],[Durchschnittsauslastung durch]]*Tabelle58971121[[#This Row],[installierte Leistung MW durch]]</f>
        <v>0</v>
      </c>
      <c r="DG59" s="48">
        <f>Tabelle58971121[[#This Row],[Durchschnittsauslastung max]]*Tabelle58971121[[#This Row],[installierte Leistung MW max]]</f>
        <v>0</v>
      </c>
      <c r="DH59" s="87">
        <f>Tabelle58971121[[#This Row],[Maximalauslastung durch]]*Tabelle58971121[[#This Row],[installierte Leistung MW min]]</f>
        <v>1920.62</v>
      </c>
      <c r="DI59" s="48">
        <f>Tabelle58971121[[#This Row],[Maximalauslastung durch]]*Tabelle58971121[[#This Row],[installierte Leistung MW durch]]</f>
        <v>2082.6</v>
      </c>
      <c r="DJ59" s="18">
        <f>Tabelle58971121[[#This Row],[Maximalauslastung max]]*Tabelle58971121[[#This Row],[installierte Leistung MW durch]]</f>
        <v>2082.6</v>
      </c>
      <c r="DK59" s="8">
        <v>1</v>
      </c>
      <c r="DL59" s="8">
        <v>1</v>
      </c>
      <c r="DM59" s="8">
        <v>1</v>
      </c>
      <c r="DN59" s="1">
        <v>2082.6</v>
      </c>
      <c r="DO59" s="1">
        <v>1920.62</v>
      </c>
      <c r="DP59" s="1">
        <v>2244.58</v>
      </c>
      <c r="DQ59" s="18"/>
      <c r="DR59" s="18"/>
      <c r="DW59" s="1">
        <v>0.25</v>
      </c>
      <c r="DX59" s="1">
        <v>0.2</v>
      </c>
      <c r="DY59" s="1">
        <v>0.3</v>
      </c>
      <c r="DZ59" s="1">
        <v>0.25</v>
      </c>
      <c r="EA59" s="1">
        <v>0.2</v>
      </c>
      <c r="EB59" s="1">
        <v>0.3</v>
      </c>
      <c r="EC59" s="1">
        <v>4.5</v>
      </c>
      <c r="ED59" s="1">
        <v>3</v>
      </c>
      <c r="EE59" s="1">
        <v>6</v>
      </c>
      <c r="EF59" s="1">
        <v>0.4</v>
      </c>
      <c r="EG59" s="1">
        <v>0.3</v>
      </c>
      <c r="EH59" s="1">
        <v>0.5</v>
      </c>
      <c r="EL59" s="1">
        <v>6570</v>
      </c>
      <c r="EM59" s="1">
        <v>4380</v>
      </c>
      <c r="EN59" s="1">
        <v>8760</v>
      </c>
      <c r="EO59" s="10"/>
      <c r="EP59" s="10"/>
      <c r="EQ59" s="10"/>
      <c r="ER59" s="1">
        <v>6570</v>
      </c>
      <c r="ES59" s="1">
        <v>4380</v>
      </c>
      <c r="ET59" s="1">
        <v>8760</v>
      </c>
      <c r="EU59" s="1">
        <v>25.848235294117643</v>
      </c>
      <c r="EV59" s="18">
        <v>23.30411764705882</v>
      </c>
      <c r="EW59" s="18">
        <v>28.392352941176469</v>
      </c>
      <c r="EX59" s="18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>
        <v>38.670588235294112</v>
      </c>
      <c r="FK59" s="7">
        <v>34.803529411764707</v>
      </c>
      <c r="FL59" s="7">
        <v>42.537647058823524</v>
      </c>
      <c r="FO59" s="1">
        <v>67</v>
      </c>
      <c r="FP59" s="1">
        <v>67</v>
      </c>
      <c r="FQ59" s="1">
        <v>67</v>
      </c>
      <c r="FR59" s="12" t="s">
        <v>743</v>
      </c>
      <c r="FS59" s="12" t="s">
        <v>743</v>
      </c>
      <c r="FT59" s="12" t="s">
        <v>743</v>
      </c>
      <c r="FU59" s="12"/>
      <c r="FV59" s="12" t="s">
        <v>743</v>
      </c>
      <c r="FW59" s="12" t="s">
        <v>743</v>
      </c>
      <c r="FX59" s="12" t="s">
        <v>743</v>
      </c>
      <c r="FY59" s="12" t="s">
        <v>743</v>
      </c>
      <c r="FZ59" s="12" t="s">
        <v>743</v>
      </c>
      <c r="GA59" s="12" t="s">
        <v>743</v>
      </c>
      <c r="GB59" s="12" t="s">
        <v>743</v>
      </c>
      <c r="GE59" s="12" t="s">
        <v>743</v>
      </c>
      <c r="GF59" s="12" t="s">
        <v>743</v>
      </c>
      <c r="GH59" s="12" t="s">
        <v>743</v>
      </c>
    </row>
    <row r="60" spans="1:190" ht="12.75" customHeight="1" x14ac:dyDescent="0.2">
      <c r="A60" s="1" t="s">
        <v>136</v>
      </c>
      <c r="B60" s="1" t="s">
        <v>647</v>
      </c>
      <c r="E60" s="1" t="s">
        <v>142</v>
      </c>
      <c r="F60" s="1">
        <v>2</v>
      </c>
      <c r="G60" s="1">
        <v>2025</v>
      </c>
      <c r="H60" s="1">
        <v>1</v>
      </c>
      <c r="I60" s="1">
        <v>0</v>
      </c>
      <c r="J60" s="1">
        <v>0</v>
      </c>
      <c r="K60" s="18"/>
      <c r="L60" s="18"/>
      <c r="M60" s="18"/>
      <c r="N60" s="18">
        <v>679.02412499999991</v>
      </c>
      <c r="O60" s="18">
        <v>476.87483999999995</v>
      </c>
      <c r="P60" s="18">
        <v>932.50949999999989</v>
      </c>
      <c r="Q60" s="18">
        <v>0</v>
      </c>
      <c r="R60" s="18">
        <v>0</v>
      </c>
      <c r="S60" s="18">
        <v>0</v>
      </c>
      <c r="T60" s="18">
        <v>679.02412499999991</v>
      </c>
      <c r="U60" s="18">
        <v>476.87483999999995</v>
      </c>
      <c r="V60" s="18">
        <v>932.50949999999989</v>
      </c>
      <c r="W60" s="18">
        <v>0</v>
      </c>
      <c r="X60" s="18">
        <v>0</v>
      </c>
      <c r="Y60" s="18">
        <v>0</v>
      </c>
      <c r="Z60" s="18">
        <v>679.02412499999991</v>
      </c>
      <c r="AA60" s="18">
        <v>476.87483999999995</v>
      </c>
      <c r="AB60" s="18">
        <v>932.50949999999989</v>
      </c>
      <c r="AC60" s="18">
        <v>0</v>
      </c>
      <c r="AD60" s="18">
        <v>0</v>
      </c>
      <c r="AE60" s="18">
        <v>0</v>
      </c>
      <c r="AF60" s="18">
        <v>679.02412499999991</v>
      </c>
      <c r="AG60" s="18">
        <v>476.87483999999995</v>
      </c>
      <c r="AH60" s="18">
        <v>932.50949999999989</v>
      </c>
      <c r="AI60" s="18">
        <v>0</v>
      </c>
      <c r="AJ60" s="18">
        <v>0</v>
      </c>
      <c r="AK60" s="18">
        <v>0</v>
      </c>
      <c r="AL60" s="18">
        <v>679.02412499999991</v>
      </c>
      <c r="AM60" s="18">
        <v>476.87483999999995</v>
      </c>
      <c r="AN60" s="18">
        <v>932.50949999999989</v>
      </c>
      <c r="AO60" s="18">
        <v>0</v>
      </c>
      <c r="AP60" s="18">
        <v>0</v>
      </c>
      <c r="AQ60" s="18">
        <v>0</v>
      </c>
      <c r="AR60" s="18">
        <v>679.02412499999991</v>
      </c>
      <c r="AS60" s="18">
        <v>476.87483999999995</v>
      </c>
      <c r="AT60" s="18">
        <v>932.50949999999989</v>
      </c>
      <c r="AU60" s="18">
        <v>0</v>
      </c>
      <c r="AV60" s="18">
        <v>0</v>
      </c>
      <c r="AW60" s="18">
        <v>0</v>
      </c>
      <c r="AX60" s="18">
        <v>679.02412499999991</v>
      </c>
      <c r="AY60" s="18">
        <v>476.87483999999995</v>
      </c>
      <c r="AZ60" s="18">
        <v>932.50949999999989</v>
      </c>
      <c r="BA60" s="18">
        <v>0</v>
      </c>
      <c r="BB60" s="18">
        <v>0</v>
      </c>
      <c r="BC60" s="18">
        <v>0</v>
      </c>
      <c r="BD60" s="18">
        <v>679.02412499999991</v>
      </c>
      <c r="BE60" s="18">
        <v>476.87483999999995</v>
      </c>
      <c r="BF60" s="18">
        <v>932.50949999999989</v>
      </c>
      <c r="BG60" s="18">
        <v>0</v>
      </c>
      <c r="BH60" s="18">
        <v>0</v>
      </c>
      <c r="BI60" s="18">
        <v>0</v>
      </c>
      <c r="BJ60" s="18">
        <v>679.02412499999991</v>
      </c>
      <c r="BK60" s="18">
        <v>476.87483999999995</v>
      </c>
      <c r="BL60" s="18">
        <v>932.50949999999989</v>
      </c>
      <c r="BM60" s="18">
        <v>0</v>
      </c>
      <c r="BN60" s="18">
        <v>0</v>
      </c>
      <c r="BO60" s="18">
        <v>0</v>
      </c>
      <c r="BP60" s="18"/>
      <c r="BQ60" s="18"/>
      <c r="BR60" s="18"/>
      <c r="BS60" s="18"/>
      <c r="BT60" s="10">
        <f>Tabelle58971121[[#This Row],[Mindestauslastung durch]]*Tabelle58971121[[#This Row],[installierte Leistung MW durch]]</f>
        <v>305.37</v>
      </c>
      <c r="BU60" s="10">
        <f>Tabelle58971121[[#This Row],[Mindestauslastung min]]*Tabelle58971121[[#This Row],[installierte Leistung MW min]]</f>
        <v>281.61899999999997</v>
      </c>
      <c r="BV60" s="10">
        <f>Tabelle58971121[[#This Row],[Mindestauslastung max]]*Tabelle58971121[[#This Row],[installierte Leistung MW max]]</f>
        <v>329.12099999999998</v>
      </c>
      <c r="BW60" s="8">
        <v>0.15</v>
      </c>
      <c r="BX60" s="8">
        <v>0.15</v>
      </c>
      <c r="BY60" s="8">
        <v>0.15</v>
      </c>
      <c r="BZ60" s="8"/>
      <c r="CA60" s="8">
        <v>0.33354166666666663</v>
      </c>
      <c r="CB60" s="8">
        <v>0.254</v>
      </c>
      <c r="CC60" s="8">
        <v>0.42499999999999999</v>
      </c>
      <c r="CD60" s="8">
        <v>0.33354166666666663</v>
      </c>
      <c r="CE60" s="8">
        <v>0.254</v>
      </c>
      <c r="CF60" s="8">
        <v>0.42499999999999999</v>
      </c>
      <c r="CG60" s="8">
        <v>0.33354166666666663</v>
      </c>
      <c r="CH60" s="8">
        <v>0.254</v>
      </c>
      <c r="CI60" s="8">
        <v>0.42499999999999999</v>
      </c>
      <c r="CJ60" s="8">
        <v>0.33354166666666663</v>
      </c>
      <c r="CK60" s="8">
        <v>0.254</v>
      </c>
      <c r="CL60" s="8">
        <v>0.42499999999999999</v>
      </c>
      <c r="CM60" s="8">
        <v>0.33354166666666663</v>
      </c>
      <c r="CN60" s="8">
        <v>0.254</v>
      </c>
      <c r="CO60" s="8">
        <v>0.42499999999999999</v>
      </c>
      <c r="CP60" s="8">
        <v>0.33354166666666663</v>
      </c>
      <c r="CQ60" s="8">
        <v>0.254</v>
      </c>
      <c r="CR60" s="8">
        <v>0.42499999999999999</v>
      </c>
      <c r="CS60" s="8">
        <v>0.33354166666666663</v>
      </c>
      <c r="CT60" s="8">
        <v>0.254</v>
      </c>
      <c r="CU60" s="8">
        <v>0.42499999999999999</v>
      </c>
      <c r="CV60" s="8">
        <v>0.33354166666666663</v>
      </c>
      <c r="CW60" s="8">
        <v>0.254</v>
      </c>
      <c r="CX60" s="8">
        <v>0.42499999999999999</v>
      </c>
      <c r="CY60" s="8">
        <v>0.33354166666666663</v>
      </c>
      <c r="CZ60" s="8">
        <v>0.254</v>
      </c>
      <c r="DA60" s="8">
        <v>0.42499999999999999</v>
      </c>
      <c r="DB60" s="8"/>
      <c r="DC60" s="8"/>
      <c r="DD60" s="8"/>
      <c r="DE60" s="48">
        <f>Tabelle58971121[[#This Row],[Durchschnittsauslastung min]]*Tabelle58971121[[#This Row],[installierte Leistung MW min]]</f>
        <v>0</v>
      </c>
      <c r="DF60" s="48">
        <f>Tabelle58971121[[#This Row],[Durchschnittsauslastung durch]]*Tabelle58971121[[#This Row],[installierte Leistung MW durch]]</f>
        <v>0</v>
      </c>
      <c r="DG60" s="48">
        <f>Tabelle58971121[[#This Row],[Durchschnittsauslastung max]]*Tabelle58971121[[#This Row],[installierte Leistung MW max]]</f>
        <v>0</v>
      </c>
      <c r="DH60" s="87">
        <f>Tabelle58971121[[#This Row],[Maximalauslastung durch]]*Tabelle58971121[[#This Row],[installierte Leistung MW min]]</f>
        <v>1877.46</v>
      </c>
      <c r="DI60" s="48">
        <f>Tabelle58971121[[#This Row],[Maximalauslastung durch]]*Tabelle58971121[[#This Row],[installierte Leistung MW durch]]</f>
        <v>2035.8</v>
      </c>
      <c r="DJ60" s="18">
        <f>Tabelle58971121[[#This Row],[Maximalauslastung max]]*Tabelle58971121[[#This Row],[installierte Leistung MW durch]]</f>
        <v>2035.8</v>
      </c>
      <c r="DK60" s="8">
        <v>1</v>
      </c>
      <c r="DL60" s="8">
        <v>1</v>
      </c>
      <c r="DM60" s="8">
        <v>1</v>
      </c>
      <c r="DN60" s="1">
        <v>2035.8</v>
      </c>
      <c r="DO60" s="1">
        <v>1877.46</v>
      </c>
      <c r="DP60" s="1">
        <v>2194.14</v>
      </c>
      <c r="DQ60" s="18"/>
      <c r="DR60" s="18"/>
      <c r="DW60" s="1">
        <v>0.25</v>
      </c>
      <c r="DX60" s="1">
        <v>0.2</v>
      </c>
      <c r="DY60" s="1">
        <v>0.3</v>
      </c>
      <c r="DZ60" s="1">
        <v>0.25</v>
      </c>
      <c r="EA60" s="1">
        <v>0.2</v>
      </c>
      <c r="EB60" s="1">
        <v>0.3</v>
      </c>
      <c r="EC60" s="1">
        <v>4.5</v>
      </c>
      <c r="ED60" s="1">
        <v>3</v>
      </c>
      <c r="EE60" s="1">
        <v>6</v>
      </c>
      <c r="EF60" s="1">
        <v>0.4</v>
      </c>
      <c r="EG60" s="1">
        <v>0.3</v>
      </c>
      <c r="EH60" s="1">
        <v>0.5</v>
      </c>
      <c r="EL60" s="1">
        <v>6570</v>
      </c>
      <c r="EM60" s="1">
        <v>4380</v>
      </c>
      <c r="EN60" s="1">
        <v>8760</v>
      </c>
      <c r="EO60" s="10"/>
      <c r="EP60" s="10"/>
      <c r="EQ60" s="10"/>
      <c r="ER60" s="1">
        <v>6570</v>
      </c>
      <c r="ES60" s="1">
        <v>4380</v>
      </c>
      <c r="ET60" s="1">
        <v>8760</v>
      </c>
      <c r="EU60" s="1">
        <v>25.848235294117643</v>
      </c>
      <c r="EV60" s="18">
        <v>23.30411764705882</v>
      </c>
      <c r="EW60" s="18">
        <v>28.392352941176469</v>
      </c>
      <c r="EX60" s="18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>
        <v>38.670588235294112</v>
      </c>
      <c r="FK60" s="7">
        <v>34.803529411764707</v>
      </c>
      <c r="FL60" s="7">
        <v>42.537647058823524</v>
      </c>
      <c r="FO60" s="1">
        <v>67</v>
      </c>
      <c r="FP60" s="1">
        <v>67</v>
      </c>
      <c r="FQ60" s="1">
        <v>67</v>
      </c>
      <c r="FR60" s="12" t="s">
        <v>743</v>
      </c>
      <c r="FS60" s="12" t="s">
        <v>743</v>
      </c>
      <c r="FT60" s="12" t="s">
        <v>743</v>
      </c>
      <c r="FU60" s="12"/>
      <c r="FV60" s="12" t="s">
        <v>743</v>
      </c>
      <c r="FW60" s="12" t="s">
        <v>743</v>
      </c>
      <c r="FX60" s="12" t="s">
        <v>743</v>
      </c>
      <c r="FY60" s="12" t="s">
        <v>743</v>
      </c>
      <c r="FZ60" s="12" t="s">
        <v>743</v>
      </c>
      <c r="GA60" s="12" t="s">
        <v>743</v>
      </c>
      <c r="GB60" s="12" t="s">
        <v>743</v>
      </c>
      <c r="GE60" s="12" t="s">
        <v>743</v>
      </c>
      <c r="GF60" s="12" t="s">
        <v>743</v>
      </c>
      <c r="GH60" s="12" t="s">
        <v>743</v>
      </c>
    </row>
    <row r="61" spans="1:190" ht="12.75" customHeight="1" x14ac:dyDescent="0.2">
      <c r="A61" s="1" t="s">
        <v>136</v>
      </c>
      <c r="B61" s="1" t="s">
        <v>647</v>
      </c>
      <c r="E61" s="1" t="s">
        <v>142</v>
      </c>
      <c r="F61" s="1">
        <v>2</v>
      </c>
      <c r="G61" s="1">
        <v>2030</v>
      </c>
      <c r="H61" s="1">
        <v>1</v>
      </c>
      <c r="I61" s="1">
        <v>0</v>
      </c>
      <c r="J61" s="1">
        <v>0</v>
      </c>
      <c r="K61" s="18"/>
      <c r="L61" s="18"/>
      <c r="M61" s="18"/>
      <c r="N61" s="18">
        <v>647.80462499999999</v>
      </c>
      <c r="O61" s="18">
        <v>454.94955999999996</v>
      </c>
      <c r="P61" s="18">
        <v>889.63549999999987</v>
      </c>
      <c r="Q61" s="18">
        <v>0</v>
      </c>
      <c r="R61" s="18">
        <v>0</v>
      </c>
      <c r="S61" s="18">
        <v>0</v>
      </c>
      <c r="T61" s="18">
        <v>647.80462499999999</v>
      </c>
      <c r="U61" s="18">
        <v>454.94955999999996</v>
      </c>
      <c r="V61" s="18">
        <v>889.63549999999987</v>
      </c>
      <c r="W61" s="18">
        <v>0</v>
      </c>
      <c r="X61" s="18">
        <v>0</v>
      </c>
      <c r="Y61" s="18">
        <v>0</v>
      </c>
      <c r="Z61" s="18">
        <v>647.80462499999999</v>
      </c>
      <c r="AA61" s="18">
        <v>454.94955999999996</v>
      </c>
      <c r="AB61" s="18">
        <v>889.63549999999987</v>
      </c>
      <c r="AC61" s="18">
        <v>0</v>
      </c>
      <c r="AD61" s="18">
        <v>0</v>
      </c>
      <c r="AE61" s="18">
        <v>0</v>
      </c>
      <c r="AF61" s="18">
        <v>647.80462499999999</v>
      </c>
      <c r="AG61" s="18">
        <v>454.94955999999996</v>
      </c>
      <c r="AH61" s="18">
        <v>889.63549999999987</v>
      </c>
      <c r="AI61" s="18">
        <v>0</v>
      </c>
      <c r="AJ61" s="18">
        <v>0</v>
      </c>
      <c r="AK61" s="18">
        <v>0</v>
      </c>
      <c r="AL61" s="18">
        <v>647.80462499999999</v>
      </c>
      <c r="AM61" s="18">
        <v>454.94955999999996</v>
      </c>
      <c r="AN61" s="18">
        <v>889.63549999999987</v>
      </c>
      <c r="AO61" s="18">
        <v>0</v>
      </c>
      <c r="AP61" s="18">
        <v>0</v>
      </c>
      <c r="AQ61" s="18">
        <v>0</v>
      </c>
      <c r="AR61" s="18">
        <v>647.80462499999999</v>
      </c>
      <c r="AS61" s="18">
        <v>454.94955999999996</v>
      </c>
      <c r="AT61" s="18">
        <v>889.63549999999987</v>
      </c>
      <c r="AU61" s="18">
        <v>0</v>
      </c>
      <c r="AV61" s="18">
        <v>0</v>
      </c>
      <c r="AW61" s="18">
        <v>0</v>
      </c>
      <c r="AX61" s="18">
        <v>647.80462499999999</v>
      </c>
      <c r="AY61" s="18">
        <v>454.94955999999996</v>
      </c>
      <c r="AZ61" s="18">
        <v>889.63549999999987</v>
      </c>
      <c r="BA61" s="18">
        <v>0</v>
      </c>
      <c r="BB61" s="18">
        <v>0</v>
      </c>
      <c r="BC61" s="18">
        <v>0</v>
      </c>
      <c r="BD61" s="18">
        <v>647.80462499999999</v>
      </c>
      <c r="BE61" s="18">
        <v>454.94955999999996</v>
      </c>
      <c r="BF61" s="18">
        <v>889.63549999999987</v>
      </c>
      <c r="BG61" s="18">
        <v>0</v>
      </c>
      <c r="BH61" s="18">
        <v>0</v>
      </c>
      <c r="BI61" s="18">
        <v>0</v>
      </c>
      <c r="BJ61" s="18">
        <v>647.80462499999999</v>
      </c>
      <c r="BK61" s="18">
        <v>454.94955999999996</v>
      </c>
      <c r="BL61" s="18">
        <v>889.63549999999987</v>
      </c>
      <c r="BM61" s="18">
        <v>0</v>
      </c>
      <c r="BN61" s="18">
        <v>0</v>
      </c>
      <c r="BO61" s="18">
        <v>0</v>
      </c>
      <c r="BP61" s="18"/>
      <c r="BQ61" s="18"/>
      <c r="BR61" s="18"/>
      <c r="BS61" s="18"/>
      <c r="BT61" s="10">
        <f>Tabelle58971121[[#This Row],[Mindestauslastung durch]]*Tabelle58971121[[#This Row],[installierte Leistung MW durch]]</f>
        <v>291.33</v>
      </c>
      <c r="BU61" s="10">
        <f>Tabelle58971121[[#This Row],[Mindestauslastung min]]*Tabelle58971121[[#This Row],[installierte Leistung MW min]]</f>
        <v>268.67099999999999</v>
      </c>
      <c r="BV61" s="10">
        <f>Tabelle58971121[[#This Row],[Mindestauslastung max]]*Tabelle58971121[[#This Row],[installierte Leistung MW max]]</f>
        <v>313.98900000000003</v>
      </c>
      <c r="BW61" s="8">
        <v>0.15</v>
      </c>
      <c r="BX61" s="8">
        <v>0.15</v>
      </c>
      <c r="BY61" s="8">
        <v>0.15</v>
      </c>
      <c r="BZ61" s="8"/>
      <c r="CA61" s="8">
        <v>0.33354166666666663</v>
      </c>
      <c r="CB61" s="8">
        <v>0.254</v>
      </c>
      <c r="CC61" s="8">
        <v>0.42499999999999999</v>
      </c>
      <c r="CD61" s="8">
        <v>0.33354166666666663</v>
      </c>
      <c r="CE61" s="8">
        <v>0.254</v>
      </c>
      <c r="CF61" s="8">
        <v>0.42499999999999999</v>
      </c>
      <c r="CG61" s="8">
        <v>0.33354166666666663</v>
      </c>
      <c r="CH61" s="8">
        <v>0.254</v>
      </c>
      <c r="CI61" s="8">
        <v>0.42499999999999999</v>
      </c>
      <c r="CJ61" s="8">
        <v>0.33354166666666663</v>
      </c>
      <c r="CK61" s="8">
        <v>0.254</v>
      </c>
      <c r="CL61" s="8">
        <v>0.42499999999999999</v>
      </c>
      <c r="CM61" s="8">
        <v>0.33354166666666663</v>
      </c>
      <c r="CN61" s="8">
        <v>0.254</v>
      </c>
      <c r="CO61" s="8">
        <v>0.42499999999999999</v>
      </c>
      <c r="CP61" s="8">
        <v>0.33354166666666663</v>
      </c>
      <c r="CQ61" s="8">
        <v>0.254</v>
      </c>
      <c r="CR61" s="8">
        <v>0.42499999999999999</v>
      </c>
      <c r="CS61" s="8">
        <v>0.33354166666666663</v>
      </c>
      <c r="CT61" s="8">
        <v>0.254</v>
      </c>
      <c r="CU61" s="8">
        <v>0.42499999999999999</v>
      </c>
      <c r="CV61" s="8">
        <v>0.33354166666666663</v>
      </c>
      <c r="CW61" s="8">
        <v>0.254</v>
      </c>
      <c r="CX61" s="8">
        <v>0.42499999999999999</v>
      </c>
      <c r="CY61" s="8">
        <v>0.33354166666666663</v>
      </c>
      <c r="CZ61" s="8">
        <v>0.254</v>
      </c>
      <c r="DA61" s="8">
        <v>0.42499999999999999</v>
      </c>
      <c r="DB61" s="8"/>
      <c r="DC61" s="8"/>
      <c r="DD61" s="8"/>
      <c r="DE61" s="48">
        <f>Tabelle58971121[[#This Row],[Durchschnittsauslastung min]]*Tabelle58971121[[#This Row],[installierte Leistung MW min]]</f>
        <v>0</v>
      </c>
      <c r="DF61" s="48">
        <f>Tabelle58971121[[#This Row],[Durchschnittsauslastung durch]]*Tabelle58971121[[#This Row],[installierte Leistung MW durch]]</f>
        <v>0</v>
      </c>
      <c r="DG61" s="48">
        <f>Tabelle58971121[[#This Row],[Durchschnittsauslastung max]]*Tabelle58971121[[#This Row],[installierte Leistung MW max]]</f>
        <v>0</v>
      </c>
      <c r="DH61" s="87">
        <f>Tabelle58971121[[#This Row],[Maximalauslastung durch]]*Tabelle58971121[[#This Row],[installierte Leistung MW min]]</f>
        <v>1791.14</v>
      </c>
      <c r="DI61" s="48">
        <f>Tabelle58971121[[#This Row],[Maximalauslastung durch]]*Tabelle58971121[[#This Row],[installierte Leistung MW durch]]</f>
        <v>1942.2</v>
      </c>
      <c r="DJ61" s="18">
        <f>Tabelle58971121[[#This Row],[Maximalauslastung max]]*Tabelle58971121[[#This Row],[installierte Leistung MW durch]]</f>
        <v>1942.2</v>
      </c>
      <c r="DK61" s="8">
        <v>1</v>
      </c>
      <c r="DL61" s="8">
        <v>1</v>
      </c>
      <c r="DM61" s="8">
        <v>1</v>
      </c>
      <c r="DN61" s="1">
        <v>1942.2</v>
      </c>
      <c r="DO61" s="1">
        <v>1791.14</v>
      </c>
      <c r="DP61" s="1">
        <v>2093.2600000000002</v>
      </c>
      <c r="DQ61" s="18"/>
      <c r="DR61" s="18"/>
      <c r="DW61" s="1">
        <v>0.25</v>
      </c>
      <c r="DX61" s="1">
        <v>0.2</v>
      </c>
      <c r="DY61" s="1">
        <v>0.3</v>
      </c>
      <c r="DZ61" s="1">
        <v>0.25</v>
      </c>
      <c r="EA61" s="1">
        <v>0.2</v>
      </c>
      <c r="EB61" s="1">
        <v>0.3</v>
      </c>
      <c r="EC61" s="1">
        <v>4.5</v>
      </c>
      <c r="ED61" s="1">
        <v>3</v>
      </c>
      <c r="EE61" s="1">
        <v>6</v>
      </c>
      <c r="EF61" s="1">
        <v>0.4</v>
      </c>
      <c r="EG61" s="1">
        <v>0.3</v>
      </c>
      <c r="EH61" s="1">
        <v>0.5</v>
      </c>
      <c r="EL61" s="1">
        <v>6570</v>
      </c>
      <c r="EM61" s="1">
        <v>4380</v>
      </c>
      <c r="EN61" s="1">
        <v>8760</v>
      </c>
      <c r="EO61" s="10"/>
      <c r="EP61" s="10"/>
      <c r="EQ61" s="10"/>
      <c r="ER61" s="1">
        <v>6570</v>
      </c>
      <c r="ES61" s="1">
        <v>4380</v>
      </c>
      <c r="ET61" s="1">
        <v>8760</v>
      </c>
      <c r="EU61" s="1">
        <v>25.848235294117643</v>
      </c>
      <c r="EV61" s="18">
        <v>23.30411764705882</v>
      </c>
      <c r="EW61" s="18">
        <v>28.392352941176469</v>
      </c>
      <c r="EX61" s="18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>
        <v>38.670588235294112</v>
      </c>
      <c r="FK61" s="7">
        <v>34.803529411764707</v>
      </c>
      <c r="FL61" s="7">
        <v>42.537647058823524</v>
      </c>
      <c r="FO61" s="1">
        <v>67</v>
      </c>
      <c r="FP61" s="1">
        <v>67</v>
      </c>
      <c r="FQ61" s="1">
        <v>67</v>
      </c>
      <c r="FR61" s="12" t="s">
        <v>743</v>
      </c>
      <c r="FS61" s="12" t="s">
        <v>743</v>
      </c>
      <c r="FT61" s="12" t="s">
        <v>743</v>
      </c>
      <c r="FU61" s="12"/>
      <c r="FV61" s="12" t="s">
        <v>743</v>
      </c>
      <c r="FW61" s="12" t="s">
        <v>743</v>
      </c>
      <c r="FX61" s="12" t="s">
        <v>743</v>
      </c>
      <c r="FY61" s="12" t="s">
        <v>743</v>
      </c>
      <c r="FZ61" s="12" t="s">
        <v>743</v>
      </c>
      <c r="GA61" s="12" t="s">
        <v>743</v>
      </c>
      <c r="GB61" s="12" t="s">
        <v>743</v>
      </c>
      <c r="GE61" s="12" t="s">
        <v>743</v>
      </c>
      <c r="GF61" s="12" t="s">
        <v>743</v>
      </c>
      <c r="GH61" s="12" t="s">
        <v>743</v>
      </c>
    </row>
    <row r="62" spans="1:190" ht="12.75" customHeight="1" x14ac:dyDescent="0.2">
      <c r="A62" s="1" t="s">
        <v>136</v>
      </c>
      <c r="B62" s="1" t="s">
        <v>647</v>
      </c>
      <c r="E62" s="1" t="s">
        <v>142</v>
      </c>
      <c r="F62" s="1">
        <v>2</v>
      </c>
      <c r="G62" s="1">
        <v>2035</v>
      </c>
      <c r="H62" s="1">
        <v>1</v>
      </c>
      <c r="I62" s="1">
        <v>0</v>
      </c>
      <c r="J62" s="1">
        <v>0</v>
      </c>
      <c r="K62" s="18"/>
      <c r="L62" s="18"/>
      <c r="M62" s="18"/>
      <c r="N62" s="18">
        <v>600.97537499999999</v>
      </c>
      <c r="O62" s="18">
        <v>422.06163999999995</v>
      </c>
      <c r="P62" s="18">
        <v>825.32449999999994</v>
      </c>
      <c r="Q62" s="18">
        <v>0</v>
      </c>
      <c r="R62" s="18">
        <v>0</v>
      </c>
      <c r="S62" s="18">
        <v>0</v>
      </c>
      <c r="T62" s="18">
        <v>600.97537499999999</v>
      </c>
      <c r="U62" s="18">
        <v>422.06163999999995</v>
      </c>
      <c r="V62" s="18">
        <v>825.32449999999994</v>
      </c>
      <c r="W62" s="18">
        <v>0</v>
      </c>
      <c r="X62" s="18">
        <v>0</v>
      </c>
      <c r="Y62" s="18">
        <v>0</v>
      </c>
      <c r="Z62" s="18">
        <v>600.97537499999999</v>
      </c>
      <c r="AA62" s="18">
        <v>422.06163999999995</v>
      </c>
      <c r="AB62" s="18">
        <v>825.32449999999994</v>
      </c>
      <c r="AC62" s="18">
        <v>0</v>
      </c>
      <c r="AD62" s="18">
        <v>0</v>
      </c>
      <c r="AE62" s="18">
        <v>0</v>
      </c>
      <c r="AF62" s="18">
        <v>600.97537499999999</v>
      </c>
      <c r="AG62" s="18">
        <v>422.06163999999995</v>
      </c>
      <c r="AH62" s="18">
        <v>825.32449999999994</v>
      </c>
      <c r="AI62" s="18">
        <v>0</v>
      </c>
      <c r="AJ62" s="18">
        <v>0</v>
      </c>
      <c r="AK62" s="18">
        <v>0</v>
      </c>
      <c r="AL62" s="18">
        <v>600.97537499999999</v>
      </c>
      <c r="AM62" s="18">
        <v>422.06163999999995</v>
      </c>
      <c r="AN62" s="18">
        <v>825.32449999999994</v>
      </c>
      <c r="AO62" s="18">
        <v>0</v>
      </c>
      <c r="AP62" s="18">
        <v>0</v>
      </c>
      <c r="AQ62" s="18">
        <v>0</v>
      </c>
      <c r="AR62" s="18">
        <v>600.97537499999999</v>
      </c>
      <c r="AS62" s="18">
        <v>422.06163999999995</v>
      </c>
      <c r="AT62" s="18">
        <v>825.32449999999994</v>
      </c>
      <c r="AU62" s="18">
        <v>0</v>
      </c>
      <c r="AV62" s="18">
        <v>0</v>
      </c>
      <c r="AW62" s="18">
        <v>0</v>
      </c>
      <c r="AX62" s="18">
        <v>600.97537499999999</v>
      </c>
      <c r="AY62" s="18">
        <v>422.06163999999995</v>
      </c>
      <c r="AZ62" s="18">
        <v>825.32449999999994</v>
      </c>
      <c r="BA62" s="18">
        <v>0</v>
      </c>
      <c r="BB62" s="18">
        <v>0</v>
      </c>
      <c r="BC62" s="18">
        <v>0</v>
      </c>
      <c r="BD62" s="18">
        <v>600.97537499999999</v>
      </c>
      <c r="BE62" s="18">
        <v>422.06163999999995</v>
      </c>
      <c r="BF62" s="18">
        <v>825.32449999999994</v>
      </c>
      <c r="BG62" s="18">
        <v>0</v>
      </c>
      <c r="BH62" s="18">
        <v>0</v>
      </c>
      <c r="BI62" s="18">
        <v>0</v>
      </c>
      <c r="BJ62" s="18">
        <v>600.97537499999999</v>
      </c>
      <c r="BK62" s="18">
        <v>422.06163999999995</v>
      </c>
      <c r="BL62" s="18">
        <v>825.32449999999994</v>
      </c>
      <c r="BM62" s="18">
        <v>0</v>
      </c>
      <c r="BN62" s="18">
        <v>0</v>
      </c>
      <c r="BO62" s="18">
        <v>0</v>
      </c>
      <c r="BP62" s="18"/>
      <c r="BQ62" s="18"/>
      <c r="BR62" s="18"/>
      <c r="BS62" s="18"/>
      <c r="BT62" s="10">
        <f>Tabelle58971121[[#This Row],[Mindestauslastung durch]]*Tabelle58971121[[#This Row],[installierte Leistung MW durch]]</f>
        <v>270.27</v>
      </c>
      <c r="BU62" s="10">
        <f>Tabelle58971121[[#This Row],[Mindestauslastung min]]*Tabelle58971121[[#This Row],[installierte Leistung MW min]]</f>
        <v>249.249</v>
      </c>
      <c r="BV62" s="10">
        <f>Tabelle58971121[[#This Row],[Mindestauslastung max]]*Tabelle58971121[[#This Row],[installierte Leistung MW max]]</f>
        <v>291.291</v>
      </c>
      <c r="BW62" s="8">
        <v>0.15</v>
      </c>
      <c r="BX62" s="8">
        <v>0.15</v>
      </c>
      <c r="BY62" s="8">
        <v>0.15</v>
      </c>
      <c r="BZ62" s="8"/>
      <c r="CA62" s="8">
        <v>0.33354166666666663</v>
      </c>
      <c r="CB62" s="8">
        <v>0.254</v>
      </c>
      <c r="CC62" s="8">
        <v>0.42499999999999999</v>
      </c>
      <c r="CD62" s="8">
        <v>0.33354166666666663</v>
      </c>
      <c r="CE62" s="8">
        <v>0.254</v>
      </c>
      <c r="CF62" s="8">
        <v>0.42499999999999999</v>
      </c>
      <c r="CG62" s="8">
        <v>0.33354166666666663</v>
      </c>
      <c r="CH62" s="8">
        <v>0.254</v>
      </c>
      <c r="CI62" s="8">
        <v>0.42499999999999999</v>
      </c>
      <c r="CJ62" s="8">
        <v>0.33354166666666663</v>
      </c>
      <c r="CK62" s="8">
        <v>0.254</v>
      </c>
      <c r="CL62" s="8">
        <v>0.42499999999999999</v>
      </c>
      <c r="CM62" s="8">
        <v>0.33354166666666663</v>
      </c>
      <c r="CN62" s="8">
        <v>0.254</v>
      </c>
      <c r="CO62" s="8">
        <v>0.42499999999999999</v>
      </c>
      <c r="CP62" s="8">
        <v>0.33354166666666663</v>
      </c>
      <c r="CQ62" s="8">
        <v>0.254</v>
      </c>
      <c r="CR62" s="8">
        <v>0.42499999999999999</v>
      </c>
      <c r="CS62" s="8">
        <v>0.33354166666666663</v>
      </c>
      <c r="CT62" s="8">
        <v>0.254</v>
      </c>
      <c r="CU62" s="8">
        <v>0.42499999999999999</v>
      </c>
      <c r="CV62" s="8">
        <v>0.33354166666666663</v>
      </c>
      <c r="CW62" s="8">
        <v>0.254</v>
      </c>
      <c r="CX62" s="8">
        <v>0.42499999999999999</v>
      </c>
      <c r="CY62" s="8">
        <v>0.33354166666666663</v>
      </c>
      <c r="CZ62" s="8">
        <v>0.254</v>
      </c>
      <c r="DA62" s="8">
        <v>0.42499999999999999</v>
      </c>
      <c r="DB62" s="8"/>
      <c r="DC62" s="8"/>
      <c r="DD62" s="8"/>
      <c r="DE62" s="48">
        <f>Tabelle58971121[[#This Row],[Durchschnittsauslastung min]]*Tabelle58971121[[#This Row],[installierte Leistung MW min]]</f>
        <v>0</v>
      </c>
      <c r="DF62" s="48">
        <f>Tabelle58971121[[#This Row],[Durchschnittsauslastung durch]]*Tabelle58971121[[#This Row],[installierte Leistung MW durch]]</f>
        <v>0</v>
      </c>
      <c r="DG62" s="48">
        <f>Tabelle58971121[[#This Row],[Durchschnittsauslastung max]]*Tabelle58971121[[#This Row],[installierte Leistung MW max]]</f>
        <v>0</v>
      </c>
      <c r="DH62" s="87">
        <f>Tabelle58971121[[#This Row],[Maximalauslastung durch]]*Tabelle58971121[[#This Row],[installierte Leistung MW min]]</f>
        <v>1661.66</v>
      </c>
      <c r="DI62" s="48">
        <f>Tabelle58971121[[#This Row],[Maximalauslastung durch]]*Tabelle58971121[[#This Row],[installierte Leistung MW durch]]</f>
        <v>1801.8</v>
      </c>
      <c r="DJ62" s="18">
        <f>Tabelle58971121[[#This Row],[Maximalauslastung max]]*Tabelle58971121[[#This Row],[installierte Leistung MW durch]]</f>
        <v>1801.8</v>
      </c>
      <c r="DK62" s="8">
        <v>1</v>
      </c>
      <c r="DL62" s="8">
        <v>1</v>
      </c>
      <c r="DM62" s="8">
        <v>1</v>
      </c>
      <c r="DN62" s="1">
        <v>1801.8</v>
      </c>
      <c r="DO62" s="1">
        <v>1661.66</v>
      </c>
      <c r="DP62" s="1">
        <v>1941.94</v>
      </c>
      <c r="DQ62" s="18"/>
      <c r="DR62" s="18"/>
      <c r="DW62" s="1">
        <v>0.25</v>
      </c>
      <c r="DX62" s="1">
        <v>0.2</v>
      </c>
      <c r="DY62" s="1">
        <v>0.3</v>
      </c>
      <c r="DZ62" s="1">
        <v>0.25</v>
      </c>
      <c r="EA62" s="1">
        <v>0.2</v>
      </c>
      <c r="EB62" s="1">
        <v>0.3</v>
      </c>
      <c r="EC62" s="1">
        <v>4.5</v>
      </c>
      <c r="ED62" s="1">
        <v>3</v>
      </c>
      <c r="EE62" s="1">
        <v>6</v>
      </c>
      <c r="EF62" s="1">
        <v>0.4</v>
      </c>
      <c r="EG62" s="1">
        <v>0.3</v>
      </c>
      <c r="EH62" s="1">
        <v>0.5</v>
      </c>
      <c r="EL62" s="1">
        <v>6570</v>
      </c>
      <c r="EM62" s="1">
        <v>4380</v>
      </c>
      <c r="EN62" s="1">
        <v>8760</v>
      </c>
      <c r="EO62" s="10"/>
      <c r="EP62" s="10"/>
      <c r="EQ62" s="10"/>
      <c r="ER62" s="1">
        <v>6570</v>
      </c>
      <c r="ES62" s="1">
        <v>4380</v>
      </c>
      <c r="ET62" s="1">
        <v>8760</v>
      </c>
      <c r="EU62" s="1">
        <v>25.848235294117643</v>
      </c>
      <c r="EV62" s="18">
        <v>23.30411764705882</v>
      </c>
      <c r="EW62" s="18">
        <v>28.392352941176469</v>
      </c>
      <c r="EX62" s="18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>
        <v>38.670588235294112</v>
      </c>
      <c r="FK62" s="7">
        <v>34.803529411764707</v>
      </c>
      <c r="FL62" s="7">
        <v>42.537647058823524</v>
      </c>
      <c r="FO62" s="1">
        <v>67</v>
      </c>
      <c r="FP62" s="1">
        <v>67</v>
      </c>
      <c r="FQ62" s="1">
        <v>67</v>
      </c>
      <c r="FR62" s="12" t="s">
        <v>743</v>
      </c>
      <c r="FS62" s="12" t="s">
        <v>743</v>
      </c>
      <c r="FT62" s="12" t="s">
        <v>743</v>
      </c>
      <c r="FU62" s="12"/>
      <c r="FV62" s="12" t="s">
        <v>743</v>
      </c>
      <c r="FW62" s="12" t="s">
        <v>743</v>
      </c>
      <c r="FX62" s="12" t="s">
        <v>743</v>
      </c>
      <c r="FY62" s="12" t="s">
        <v>743</v>
      </c>
      <c r="FZ62" s="12" t="s">
        <v>743</v>
      </c>
      <c r="GA62" s="12" t="s">
        <v>743</v>
      </c>
      <c r="GB62" s="12" t="s">
        <v>743</v>
      </c>
      <c r="GE62" s="12" t="s">
        <v>743</v>
      </c>
      <c r="GF62" s="12" t="s">
        <v>743</v>
      </c>
      <c r="GH62" s="12" t="s">
        <v>743</v>
      </c>
    </row>
    <row r="63" spans="1:190" ht="12.75" customHeight="1" x14ac:dyDescent="0.2">
      <c r="A63" s="1" t="s">
        <v>136</v>
      </c>
      <c r="B63" s="1" t="s">
        <v>647</v>
      </c>
      <c r="E63" s="1" t="s">
        <v>142</v>
      </c>
      <c r="F63" s="1">
        <v>2</v>
      </c>
      <c r="G63" s="1">
        <v>2040</v>
      </c>
      <c r="H63" s="1">
        <v>1</v>
      </c>
      <c r="I63" s="1">
        <v>0</v>
      </c>
      <c r="J63" s="1">
        <v>0</v>
      </c>
      <c r="K63" s="18"/>
      <c r="L63" s="18"/>
      <c r="M63" s="18"/>
      <c r="N63" s="18">
        <v>546.34124999999995</v>
      </c>
      <c r="O63" s="18">
        <v>383.69239999999996</v>
      </c>
      <c r="P63" s="18">
        <v>750.29499999999985</v>
      </c>
      <c r="Q63" s="18">
        <v>0</v>
      </c>
      <c r="R63" s="18">
        <v>0</v>
      </c>
      <c r="S63" s="18">
        <v>0</v>
      </c>
      <c r="T63" s="18">
        <v>546.34124999999995</v>
      </c>
      <c r="U63" s="18">
        <v>383.69239999999996</v>
      </c>
      <c r="V63" s="18">
        <v>750.29499999999985</v>
      </c>
      <c r="W63" s="18">
        <v>0</v>
      </c>
      <c r="X63" s="18">
        <v>0</v>
      </c>
      <c r="Y63" s="18">
        <v>0</v>
      </c>
      <c r="Z63" s="18">
        <v>546.34124999999995</v>
      </c>
      <c r="AA63" s="18">
        <v>383.69239999999996</v>
      </c>
      <c r="AB63" s="18">
        <v>750.29499999999985</v>
      </c>
      <c r="AC63" s="18">
        <v>0</v>
      </c>
      <c r="AD63" s="18">
        <v>0</v>
      </c>
      <c r="AE63" s="18">
        <v>0</v>
      </c>
      <c r="AF63" s="18">
        <v>546.34124999999995</v>
      </c>
      <c r="AG63" s="18">
        <v>383.69239999999996</v>
      </c>
      <c r="AH63" s="18">
        <v>750.29499999999985</v>
      </c>
      <c r="AI63" s="18">
        <v>0</v>
      </c>
      <c r="AJ63" s="18">
        <v>0</v>
      </c>
      <c r="AK63" s="18">
        <v>0</v>
      </c>
      <c r="AL63" s="18">
        <v>546.34124999999995</v>
      </c>
      <c r="AM63" s="18">
        <v>383.69239999999996</v>
      </c>
      <c r="AN63" s="18">
        <v>750.29499999999985</v>
      </c>
      <c r="AO63" s="18">
        <v>0</v>
      </c>
      <c r="AP63" s="18">
        <v>0</v>
      </c>
      <c r="AQ63" s="18">
        <v>0</v>
      </c>
      <c r="AR63" s="18">
        <v>546.34124999999995</v>
      </c>
      <c r="AS63" s="18">
        <v>383.69239999999996</v>
      </c>
      <c r="AT63" s="18">
        <v>750.29499999999985</v>
      </c>
      <c r="AU63" s="18">
        <v>0</v>
      </c>
      <c r="AV63" s="18">
        <v>0</v>
      </c>
      <c r="AW63" s="18">
        <v>0</v>
      </c>
      <c r="AX63" s="18">
        <v>546.34124999999995</v>
      </c>
      <c r="AY63" s="18">
        <v>383.69239999999996</v>
      </c>
      <c r="AZ63" s="18">
        <v>750.29499999999985</v>
      </c>
      <c r="BA63" s="18">
        <v>0</v>
      </c>
      <c r="BB63" s="18">
        <v>0</v>
      </c>
      <c r="BC63" s="18">
        <v>0</v>
      </c>
      <c r="BD63" s="18">
        <v>546.34124999999995</v>
      </c>
      <c r="BE63" s="18">
        <v>383.69239999999996</v>
      </c>
      <c r="BF63" s="18">
        <v>750.29499999999985</v>
      </c>
      <c r="BG63" s="18">
        <v>0</v>
      </c>
      <c r="BH63" s="18">
        <v>0</v>
      </c>
      <c r="BI63" s="18">
        <v>0</v>
      </c>
      <c r="BJ63" s="18">
        <v>546.34124999999995</v>
      </c>
      <c r="BK63" s="18">
        <v>383.69239999999996</v>
      </c>
      <c r="BL63" s="18">
        <v>750.29499999999985</v>
      </c>
      <c r="BM63" s="18">
        <v>0</v>
      </c>
      <c r="BN63" s="18">
        <v>0</v>
      </c>
      <c r="BO63" s="18">
        <v>0</v>
      </c>
      <c r="BP63" s="18"/>
      <c r="BQ63" s="18"/>
      <c r="BR63" s="18"/>
      <c r="BS63" s="18"/>
      <c r="BT63" s="10">
        <f>Tabelle58971121[[#This Row],[Mindestauslastung durch]]*Tabelle58971121[[#This Row],[installierte Leistung MW durch]]</f>
        <v>245.7</v>
      </c>
      <c r="BU63" s="10">
        <f>Tabelle58971121[[#This Row],[Mindestauslastung min]]*Tabelle58971121[[#This Row],[installierte Leistung MW min]]</f>
        <v>226.58999999999997</v>
      </c>
      <c r="BV63" s="10">
        <f>Tabelle58971121[[#This Row],[Mindestauslastung max]]*Tabelle58971121[[#This Row],[installierte Leistung MW max]]</f>
        <v>264.81</v>
      </c>
      <c r="BW63" s="8">
        <v>0.15</v>
      </c>
      <c r="BX63" s="8">
        <v>0.15</v>
      </c>
      <c r="BY63" s="8">
        <v>0.15</v>
      </c>
      <c r="BZ63" s="8"/>
      <c r="CA63" s="8">
        <v>0.33354166666666663</v>
      </c>
      <c r="CB63" s="8">
        <v>0.254</v>
      </c>
      <c r="CC63" s="8">
        <v>0.42499999999999999</v>
      </c>
      <c r="CD63" s="8">
        <v>0.33354166666666663</v>
      </c>
      <c r="CE63" s="8">
        <v>0.254</v>
      </c>
      <c r="CF63" s="8">
        <v>0.42499999999999999</v>
      </c>
      <c r="CG63" s="8">
        <v>0.33354166666666663</v>
      </c>
      <c r="CH63" s="8">
        <v>0.254</v>
      </c>
      <c r="CI63" s="8">
        <v>0.42499999999999999</v>
      </c>
      <c r="CJ63" s="8">
        <v>0.33354166666666663</v>
      </c>
      <c r="CK63" s="8">
        <v>0.254</v>
      </c>
      <c r="CL63" s="8">
        <v>0.42499999999999999</v>
      </c>
      <c r="CM63" s="8">
        <v>0.33354166666666663</v>
      </c>
      <c r="CN63" s="8">
        <v>0.254</v>
      </c>
      <c r="CO63" s="8">
        <v>0.42499999999999999</v>
      </c>
      <c r="CP63" s="8">
        <v>0.33354166666666663</v>
      </c>
      <c r="CQ63" s="8">
        <v>0.254</v>
      </c>
      <c r="CR63" s="8">
        <v>0.42499999999999999</v>
      </c>
      <c r="CS63" s="8">
        <v>0.33354166666666663</v>
      </c>
      <c r="CT63" s="8">
        <v>0.254</v>
      </c>
      <c r="CU63" s="8">
        <v>0.42499999999999999</v>
      </c>
      <c r="CV63" s="8">
        <v>0.33354166666666663</v>
      </c>
      <c r="CW63" s="8">
        <v>0.254</v>
      </c>
      <c r="CX63" s="8">
        <v>0.42499999999999999</v>
      </c>
      <c r="CY63" s="8">
        <v>0.33354166666666663</v>
      </c>
      <c r="CZ63" s="8">
        <v>0.254</v>
      </c>
      <c r="DA63" s="8">
        <v>0.42499999999999999</v>
      </c>
      <c r="DB63" s="8"/>
      <c r="DC63" s="8"/>
      <c r="DD63" s="8"/>
      <c r="DE63" s="48">
        <f>Tabelle58971121[[#This Row],[Durchschnittsauslastung min]]*Tabelle58971121[[#This Row],[installierte Leistung MW min]]</f>
        <v>0</v>
      </c>
      <c r="DF63" s="48">
        <f>Tabelle58971121[[#This Row],[Durchschnittsauslastung durch]]*Tabelle58971121[[#This Row],[installierte Leistung MW durch]]</f>
        <v>0</v>
      </c>
      <c r="DG63" s="48">
        <f>Tabelle58971121[[#This Row],[Durchschnittsauslastung max]]*Tabelle58971121[[#This Row],[installierte Leistung MW max]]</f>
        <v>0</v>
      </c>
      <c r="DH63" s="87">
        <f>Tabelle58971121[[#This Row],[Maximalauslastung durch]]*Tabelle58971121[[#This Row],[installierte Leistung MW min]]</f>
        <v>1510.6</v>
      </c>
      <c r="DI63" s="48">
        <f>Tabelle58971121[[#This Row],[Maximalauslastung durch]]*Tabelle58971121[[#This Row],[installierte Leistung MW durch]]</f>
        <v>1638</v>
      </c>
      <c r="DJ63" s="18">
        <f>Tabelle58971121[[#This Row],[Maximalauslastung max]]*Tabelle58971121[[#This Row],[installierte Leistung MW durch]]</f>
        <v>1638</v>
      </c>
      <c r="DK63" s="8">
        <v>1</v>
      </c>
      <c r="DL63" s="8">
        <v>1</v>
      </c>
      <c r="DM63" s="8">
        <v>1</v>
      </c>
      <c r="DN63" s="1">
        <v>1638</v>
      </c>
      <c r="DO63" s="1">
        <v>1510.6</v>
      </c>
      <c r="DP63" s="1">
        <v>1765.4</v>
      </c>
      <c r="DQ63" s="18"/>
      <c r="DR63" s="18"/>
      <c r="DW63" s="1">
        <v>0.25</v>
      </c>
      <c r="DX63" s="1">
        <v>0.2</v>
      </c>
      <c r="DY63" s="1">
        <v>0.3</v>
      </c>
      <c r="DZ63" s="1">
        <v>0.25</v>
      </c>
      <c r="EA63" s="1">
        <v>0.2</v>
      </c>
      <c r="EB63" s="1">
        <v>0.3</v>
      </c>
      <c r="EC63" s="1">
        <v>4.5</v>
      </c>
      <c r="ED63" s="1">
        <v>3</v>
      </c>
      <c r="EE63" s="1">
        <v>6</v>
      </c>
      <c r="EF63" s="1">
        <v>0.4</v>
      </c>
      <c r="EG63" s="1">
        <v>0.3</v>
      </c>
      <c r="EH63" s="1">
        <v>0.5</v>
      </c>
      <c r="EL63" s="1">
        <v>6570</v>
      </c>
      <c r="EM63" s="1">
        <v>4380</v>
      </c>
      <c r="EN63" s="1">
        <v>8760</v>
      </c>
      <c r="EO63" s="10"/>
      <c r="EP63" s="10"/>
      <c r="EQ63" s="10"/>
      <c r="ER63" s="1">
        <v>6570</v>
      </c>
      <c r="ES63" s="1">
        <v>4380</v>
      </c>
      <c r="ET63" s="1">
        <v>8760</v>
      </c>
      <c r="EU63" s="1">
        <v>25.848235294117643</v>
      </c>
      <c r="EV63" s="18">
        <v>23.30411764705882</v>
      </c>
      <c r="EW63" s="18">
        <v>28.392352941176469</v>
      </c>
      <c r="EX63" s="18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>
        <v>38.670588235294112</v>
      </c>
      <c r="FK63" s="7">
        <v>34.803529411764707</v>
      </c>
      <c r="FL63" s="7">
        <v>42.537647058823524</v>
      </c>
      <c r="FO63" s="1">
        <v>67</v>
      </c>
      <c r="FP63" s="1">
        <v>67</v>
      </c>
      <c r="FQ63" s="1">
        <v>67</v>
      </c>
      <c r="FR63" s="12" t="s">
        <v>743</v>
      </c>
      <c r="FS63" s="12" t="s">
        <v>743</v>
      </c>
      <c r="FT63" s="12" t="s">
        <v>743</v>
      </c>
      <c r="FU63" s="12"/>
      <c r="FV63" s="12" t="s">
        <v>743</v>
      </c>
      <c r="FW63" s="12" t="s">
        <v>743</v>
      </c>
      <c r="FX63" s="12" t="s">
        <v>743</v>
      </c>
      <c r="FY63" s="12" t="s">
        <v>743</v>
      </c>
      <c r="FZ63" s="12" t="s">
        <v>743</v>
      </c>
      <c r="GA63" s="12" t="s">
        <v>743</v>
      </c>
      <c r="GB63" s="12" t="s">
        <v>743</v>
      </c>
      <c r="GE63" s="12" t="s">
        <v>743</v>
      </c>
      <c r="GF63" s="12" t="s">
        <v>743</v>
      </c>
      <c r="GH63" s="12" t="s">
        <v>743</v>
      </c>
    </row>
    <row r="64" spans="1:190" ht="12.75" customHeight="1" x14ac:dyDescent="0.2">
      <c r="A64" s="1" t="s">
        <v>136</v>
      </c>
      <c r="B64" s="1" t="s">
        <v>647</v>
      </c>
      <c r="E64" s="1" t="s">
        <v>142</v>
      </c>
      <c r="F64" s="1">
        <v>2</v>
      </c>
      <c r="G64" s="1">
        <v>2045</v>
      </c>
      <c r="H64" s="1">
        <v>1</v>
      </c>
      <c r="I64" s="1">
        <v>0</v>
      </c>
      <c r="J64" s="1">
        <v>0</v>
      </c>
      <c r="K64" s="18"/>
      <c r="L64" s="18"/>
      <c r="M64" s="18"/>
      <c r="N64" s="18">
        <v>507.31687499999998</v>
      </c>
      <c r="O64" s="18">
        <v>356.28579999999999</v>
      </c>
      <c r="P64" s="18">
        <v>696.70249999999999</v>
      </c>
      <c r="Q64" s="18">
        <v>0</v>
      </c>
      <c r="R64" s="18">
        <v>0</v>
      </c>
      <c r="S64" s="18">
        <v>0</v>
      </c>
      <c r="T64" s="18">
        <v>507.31687499999998</v>
      </c>
      <c r="U64" s="18">
        <v>356.28579999999999</v>
      </c>
      <c r="V64" s="18">
        <v>696.70249999999999</v>
      </c>
      <c r="W64" s="18">
        <v>0</v>
      </c>
      <c r="X64" s="18">
        <v>0</v>
      </c>
      <c r="Y64" s="18">
        <v>0</v>
      </c>
      <c r="Z64" s="18">
        <v>507.31687499999998</v>
      </c>
      <c r="AA64" s="18">
        <v>356.28579999999999</v>
      </c>
      <c r="AB64" s="18">
        <v>696.70249999999999</v>
      </c>
      <c r="AC64" s="18">
        <v>0</v>
      </c>
      <c r="AD64" s="18">
        <v>0</v>
      </c>
      <c r="AE64" s="18">
        <v>0</v>
      </c>
      <c r="AF64" s="18">
        <v>507.31687499999998</v>
      </c>
      <c r="AG64" s="18">
        <v>356.28579999999999</v>
      </c>
      <c r="AH64" s="18">
        <v>696.70249999999999</v>
      </c>
      <c r="AI64" s="18">
        <v>0</v>
      </c>
      <c r="AJ64" s="18">
        <v>0</v>
      </c>
      <c r="AK64" s="18">
        <v>0</v>
      </c>
      <c r="AL64" s="18">
        <v>507.31687499999998</v>
      </c>
      <c r="AM64" s="18">
        <v>356.28579999999999</v>
      </c>
      <c r="AN64" s="18">
        <v>696.70249999999999</v>
      </c>
      <c r="AO64" s="18">
        <v>0</v>
      </c>
      <c r="AP64" s="18">
        <v>0</v>
      </c>
      <c r="AQ64" s="18">
        <v>0</v>
      </c>
      <c r="AR64" s="18">
        <v>507.31687499999998</v>
      </c>
      <c r="AS64" s="18">
        <v>356.28579999999999</v>
      </c>
      <c r="AT64" s="18">
        <v>696.70249999999999</v>
      </c>
      <c r="AU64" s="18">
        <v>0</v>
      </c>
      <c r="AV64" s="18">
        <v>0</v>
      </c>
      <c r="AW64" s="18">
        <v>0</v>
      </c>
      <c r="AX64" s="18">
        <v>507.31687499999998</v>
      </c>
      <c r="AY64" s="18">
        <v>356.28579999999999</v>
      </c>
      <c r="AZ64" s="18">
        <v>696.70249999999999</v>
      </c>
      <c r="BA64" s="18">
        <v>0</v>
      </c>
      <c r="BB64" s="18">
        <v>0</v>
      </c>
      <c r="BC64" s="18">
        <v>0</v>
      </c>
      <c r="BD64" s="18">
        <v>507.31687499999998</v>
      </c>
      <c r="BE64" s="18">
        <v>356.28579999999999</v>
      </c>
      <c r="BF64" s="18">
        <v>696.70249999999999</v>
      </c>
      <c r="BG64" s="18">
        <v>0</v>
      </c>
      <c r="BH64" s="18">
        <v>0</v>
      </c>
      <c r="BI64" s="18">
        <v>0</v>
      </c>
      <c r="BJ64" s="18">
        <v>507.31687499999998</v>
      </c>
      <c r="BK64" s="18">
        <v>356.28579999999999</v>
      </c>
      <c r="BL64" s="18">
        <v>696.70249999999999</v>
      </c>
      <c r="BM64" s="18">
        <v>0</v>
      </c>
      <c r="BN64" s="18">
        <v>0</v>
      </c>
      <c r="BO64" s="18">
        <v>0</v>
      </c>
      <c r="BP64" s="18"/>
      <c r="BQ64" s="18"/>
      <c r="BR64" s="18"/>
      <c r="BS64" s="18"/>
      <c r="BT64" s="10">
        <f>Tabelle58971121[[#This Row],[Mindestauslastung durch]]*Tabelle58971121[[#This Row],[installierte Leistung MW durch]]</f>
        <v>228.15</v>
      </c>
      <c r="BU64" s="10">
        <f>Tabelle58971121[[#This Row],[Mindestauslastung min]]*Tabelle58971121[[#This Row],[installierte Leistung MW min]]</f>
        <v>210.405</v>
      </c>
      <c r="BV64" s="10">
        <f>Tabelle58971121[[#This Row],[Mindestauslastung max]]*Tabelle58971121[[#This Row],[installierte Leistung MW max]]</f>
        <v>245.89499999999998</v>
      </c>
      <c r="BW64" s="8">
        <v>0.15</v>
      </c>
      <c r="BX64" s="8">
        <v>0.15</v>
      </c>
      <c r="BY64" s="8">
        <v>0.15</v>
      </c>
      <c r="BZ64" s="8"/>
      <c r="CA64" s="8">
        <v>0.33354166666666663</v>
      </c>
      <c r="CB64" s="8">
        <v>0.254</v>
      </c>
      <c r="CC64" s="8">
        <v>0.42499999999999999</v>
      </c>
      <c r="CD64" s="8">
        <v>0.33354166666666663</v>
      </c>
      <c r="CE64" s="8">
        <v>0.254</v>
      </c>
      <c r="CF64" s="8">
        <v>0.42499999999999999</v>
      </c>
      <c r="CG64" s="8">
        <v>0.33354166666666663</v>
      </c>
      <c r="CH64" s="8">
        <v>0.254</v>
      </c>
      <c r="CI64" s="8">
        <v>0.42499999999999999</v>
      </c>
      <c r="CJ64" s="8">
        <v>0.33354166666666663</v>
      </c>
      <c r="CK64" s="8">
        <v>0.254</v>
      </c>
      <c r="CL64" s="8">
        <v>0.42499999999999999</v>
      </c>
      <c r="CM64" s="8">
        <v>0.33354166666666663</v>
      </c>
      <c r="CN64" s="8">
        <v>0.254</v>
      </c>
      <c r="CO64" s="8">
        <v>0.42499999999999999</v>
      </c>
      <c r="CP64" s="8">
        <v>0.33354166666666663</v>
      </c>
      <c r="CQ64" s="8">
        <v>0.254</v>
      </c>
      <c r="CR64" s="8">
        <v>0.42499999999999999</v>
      </c>
      <c r="CS64" s="8">
        <v>0.33354166666666663</v>
      </c>
      <c r="CT64" s="8">
        <v>0.254</v>
      </c>
      <c r="CU64" s="8">
        <v>0.42499999999999999</v>
      </c>
      <c r="CV64" s="8">
        <v>0.33354166666666663</v>
      </c>
      <c r="CW64" s="8">
        <v>0.254</v>
      </c>
      <c r="CX64" s="8">
        <v>0.42499999999999999</v>
      </c>
      <c r="CY64" s="8">
        <v>0.33354166666666663</v>
      </c>
      <c r="CZ64" s="8">
        <v>0.254</v>
      </c>
      <c r="DA64" s="8">
        <v>0.42499999999999999</v>
      </c>
      <c r="DB64" s="8"/>
      <c r="DC64" s="8"/>
      <c r="DD64" s="8"/>
      <c r="DE64" s="48">
        <f>Tabelle58971121[[#This Row],[Durchschnittsauslastung min]]*Tabelle58971121[[#This Row],[installierte Leistung MW min]]</f>
        <v>0</v>
      </c>
      <c r="DF64" s="48">
        <f>Tabelle58971121[[#This Row],[Durchschnittsauslastung durch]]*Tabelle58971121[[#This Row],[installierte Leistung MW durch]]</f>
        <v>0</v>
      </c>
      <c r="DG64" s="48">
        <f>Tabelle58971121[[#This Row],[Durchschnittsauslastung max]]*Tabelle58971121[[#This Row],[installierte Leistung MW max]]</f>
        <v>0</v>
      </c>
      <c r="DH64" s="87">
        <f>Tabelle58971121[[#This Row],[Maximalauslastung durch]]*Tabelle58971121[[#This Row],[installierte Leistung MW min]]</f>
        <v>1402.7</v>
      </c>
      <c r="DI64" s="48">
        <f>Tabelle58971121[[#This Row],[Maximalauslastung durch]]*Tabelle58971121[[#This Row],[installierte Leistung MW durch]]</f>
        <v>1521</v>
      </c>
      <c r="DJ64" s="18">
        <f>Tabelle58971121[[#This Row],[Maximalauslastung max]]*Tabelle58971121[[#This Row],[installierte Leistung MW durch]]</f>
        <v>1521</v>
      </c>
      <c r="DK64" s="8">
        <v>1</v>
      </c>
      <c r="DL64" s="8">
        <v>1</v>
      </c>
      <c r="DM64" s="8">
        <v>1</v>
      </c>
      <c r="DN64" s="1">
        <v>1521</v>
      </c>
      <c r="DO64" s="1">
        <v>1402.7</v>
      </c>
      <c r="DP64" s="1">
        <v>1639.3</v>
      </c>
      <c r="DQ64" s="18"/>
      <c r="DR64" s="18"/>
      <c r="DW64" s="1">
        <v>0.25</v>
      </c>
      <c r="DX64" s="1">
        <v>0.2</v>
      </c>
      <c r="DY64" s="1">
        <v>0.3</v>
      </c>
      <c r="DZ64" s="1">
        <v>0.25</v>
      </c>
      <c r="EA64" s="1">
        <v>0.2</v>
      </c>
      <c r="EB64" s="1">
        <v>0.3</v>
      </c>
      <c r="EC64" s="1">
        <v>4.5</v>
      </c>
      <c r="ED64" s="1">
        <v>3</v>
      </c>
      <c r="EE64" s="1">
        <v>6</v>
      </c>
      <c r="EF64" s="1">
        <v>0.4</v>
      </c>
      <c r="EG64" s="1">
        <v>0.3</v>
      </c>
      <c r="EH64" s="1">
        <v>0.5</v>
      </c>
      <c r="EL64" s="1">
        <v>6570</v>
      </c>
      <c r="EM64" s="1">
        <v>4380</v>
      </c>
      <c r="EN64" s="1">
        <v>8760</v>
      </c>
      <c r="EO64" s="10"/>
      <c r="EP64" s="10"/>
      <c r="EQ64" s="10"/>
      <c r="ER64" s="1">
        <v>6570</v>
      </c>
      <c r="ES64" s="1">
        <v>4380</v>
      </c>
      <c r="ET64" s="1">
        <v>8760</v>
      </c>
      <c r="EU64" s="1">
        <v>25.848235294117643</v>
      </c>
      <c r="EV64" s="18">
        <v>23.30411764705882</v>
      </c>
      <c r="EW64" s="18">
        <v>28.392352941176469</v>
      </c>
      <c r="EX64" s="18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>
        <v>38.670588235294112</v>
      </c>
      <c r="FK64" s="7">
        <v>34.803529411764707</v>
      </c>
      <c r="FL64" s="7">
        <v>42.537647058823524</v>
      </c>
      <c r="FO64" s="1">
        <v>67</v>
      </c>
      <c r="FP64" s="1">
        <v>67</v>
      </c>
      <c r="FQ64" s="1">
        <v>67</v>
      </c>
      <c r="FR64" s="12" t="s">
        <v>743</v>
      </c>
      <c r="FS64" s="12" t="s">
        <v>743</v>
      </c>
      <c r="FT64" s="12" t="s">
        <v>743</v>
      </c>
      <c r="FU64" s="12"/>
      <c r="FV64" s="12" t="s">
        <v>743</v>
      </c>
      <c r="FW64" s="12" t="s">
        <v>743</v>
      </c>
      <c r="FX64" s="12" t="s">
        <v>743</v>
      </c>
      <c r="FY64" s="12" t="s">
        <v>743</v>
      </c>
      <c r="FZ64" s="12" t="s">
        <v>743</v>
      </c>
      <c r="GA64" s="12" t="s">
        <v>743</v>
      </c>
      <c r="GB64" s="12" t="s">
        <v>743</v>
      </c>
      <c r="GE64" s="12" t="s">
        <v>743</v>
      </c>
      <c r="GF64" s="12" t="s">
        <v>743</v>
      </c>
      <c r="GH64" s="12" t="s">
        <v>743</v>
      </c>
    </row>
    <row r="65" spans="1:190" ht="12.75" customHeight="1" x14ac:dyDescent="0.2">
      <c r="A65" s="1" t="s">
        <v>136</v>
      </c>
      <c r="B65" s="1" t="s">
        <v>647</v>
      </c>
      <c r="E65" s="1" t="s">
        <v>142</v>
      </c>
      <c r="F65" s="1">
        <v>2</v>
      </c>
      <c r="G65" s="1">
        <v>2050</v>
      </c>
      <c r="H65" s="1">
        <v>1</v>
      </c>
      <c r="I65" s="1">
        <v>0</v>
      </c>
      <c r="J65" s="1">
        <v>0</v>
      </c>
      <c r="K65" s="18"/>
      <c r="L65" s="18"/>
      <c r="M65" s="18"/>
      <c r="N65" s="18">
        <v>460.48762499999992</v>
      </c>
      <c r="O65" s="18">
        <v>323.39787999999993</v>
      </c>
      <c r="P65" s="18">
        <v>632.39149999999995</v>
      </c>
      <c r="Q65" s="18">
        <v>0</v>
      </c>
      <c r="R65" s="18">
        <v>0</v>
      </c>
      <c r="S65" s="18">
        <v>0</v>
      </c>
      <c r="T65" s="18">
        <v>460.48762499999992</v>
      </c>
      <c r="U65" s="18">
        <v>323.39787999999993</v>
      </c>
      <c r="V65" s="18">
        <v>632.39149999999995</v>
      </c>
      <c r="W65" s="18">
        <v>0</v>
      </c>
      <c r="X65" s="18">
        <v>0</v>
      </c>
      <c r="Y65" s="18">
        <v>0</v>
      </c>
      <c r="Z65" s="18">
        <v>460.48762499999992</v>
      </c>
      <c r="AA65" s="18">
        <v>323.39787999999993</v>
      </c>
      <c r="AB65" s="18">
        <v>632.39149999999995</v>
      </c>
      <c r="AC65" s="18">
        <v>0</v>
      </c>
      <c r="AD65" s="18">
        <v>0</v>
      </c>
      <c r="AE65" s="18">
        <v>0</v>
      </c>
      <c r="AF65" s="18">
        <v>460.48762499999992</v>
      </c>
      <c r="AG65" s="18">
        <v>323.39787999999993</v>
      </c>
      <c r="AH65" s="18">
        <v>632.39149999999995</v>
      </c>
      <c r="AI65" s="18">
        <v>0</v>
      </c>
      <c r="AJ65" s="18">
        <v>0</v>
      </c>
      <c r="AK65" s="18">
        <v>0</v>
      </c>
      <c r="AL65" s="18">
        <v>460.48762499999992</v>
      </c>
      <c r="AM65" s="18">
        <v>323.39787999999993</v>
      </c>
      <c r="AN65" s="18">
        <v>632.39149999999995</v>
      </c>
      <c r="AO65" s="18">
        <v>0</v>
      </c>
      <c r="AP65" s="18">
        <v>0</v>
      </c>
      <c r="AQ65" s="18">
        <v>0</v>
      </c>
      <c r="AR65" s="18">
        <v>460.48762499999992</v>
      </c>
      <c r="AS65" s="18">
        <v>323.39787999999993</v>
      </c>
      <c r="AT65" s="18">
        <v>632.39149999999995</v>
      </c>
      <c r="AU65" s="18">
        <v>0</v>
      </c>
      <c r="AV65" s="18">
        <v>0</v>
      </c>
      <c r="AW65" s="18">
        <v>0</v>
      </c>
      <c r="AX65" s="18">
        <v>460.48762499999992</v>
      </c>
      <c r="AY65" s="18">
        <v>323.39787999999993</v>
      </c>
      <c r="AZ65" s="18">
        <v>632.39149999999995</v>
      </c>
      <c r="BA65" s="18">
        <v>0</v>
      </c>
      <c r="BB65" s="18">
        <v>0</v>
      </c>
      <c r="BC65" s="18">
        <v>0</v>
      </c>
      <c r="BD65" s="18">
        <v>460.48762499999992</v>
      </c>
      <c r="BE65" s="18">
        <v>323.39787999999993</v>
      </c>
      <c r="BF65" s="18">
        <v>632.39149999999995</v>
      </c>
      <c r="BG65" s="18">
        <v>0</v>
      </c>
      <c r="BH65" s="18">
        <v>0</v>
      </c>
      <c r="BI65" s="18">
        <v>0</v>
      </c>
      <c r="BJ65" s="18">
        <v>460.48762499999992</v>
      </c>
      <c r="BK65" s="18">
        <v>323.39787999999993</v>
      </c>
      <c r="BL65" s="18">
        <v>632.39149999999995</v>
      </c>
      <c r="BM65" s="18">
        <v>0</v>
      </c>
      <c r="BN65" s="18">
        <v>0</v>
      </c>
      <c r="BO65" s="18">
        <v>0</v>
      </c>
      <c r="BP65" s="18"/>
      <c r="BQ65" s="18"/>
      <c r="BR65" s="18"/>
      <c r="BS65" s="18"/>
      <c r="BT65" s="10">
        <f>Tabelle58971121[[#This Row],[Mindestauslastung durch]]*Tabelle58971121[[#This Row],[installierte Leistung MW durch]]</f>
        <v>207.08999999999997</v>
      </c>
      <c r="BU65" s="10">
        <f>Tabelle58971121[[#This Row],[Mindestauslastung min]]*Tabelle58971121[[#This Row],[installierte Leistung MW min]]</f>
        <v>190.983</v>
      </c>
      <c r="BV65" s="10">
        <f>Tabelle58971121[[#This Row],[Mindestauslastung max]]*Tabelle58971121[[#This Row],[installierte Leistung MW max]]</f>
        <v>223.197</v>
      </c>
      <c r="BW65" s="8">
        <v>0.15</v>
      </c>
      <c r="BX65" s="8">
        <v>0.15</v>
      </c>
      <c r="BY65" s="8">
        <v>0.15</v>
      </c>
      <c r="BZ65" s="8"/>
      <c r="CA65" s="8">
        <v>0.33354166666666663</v>
      </c>
      <c r="CB65" s="8">
        <v>0.254</v>
      </c>
      <c r="CC65" s="8">
        <v>0.42499999999999999</v>
      </c>
      <c r="CD65" s="8">
        <v>0.33354166666666663</v>
      </c>
      <c r="CE65" s="8">
        <v>0.254</v>
      </c>
      <c r="CF65" s="8">
        <v>0.42499999999999999</v>
      </c>
      <c r="CG65" s="8">
        <v>0.33354166666666663</v>
      </c>
      <c r="CH65" s="8">
        <v>0.254</v>
      </c>
      <c r="CI65" s="8">
        <v>0.42499999999999999</v>
      </c>
      <c r="CJ65" s="8">
        <v>0.33354166666666663</v>
      </c>
      <c r="CK65" s="8">
        <v>0.254</v>
      </c>
      <c r="CL65" s="8">
        <v>0.42499999999999999</v>
      </c>
      <c r="CM65" s="8">
        <v>0.33354166666666663</v>
      </c>
      <c r="CN65" s="8">
        <v>0.254</v>
      </c>
      <c r="CO65" s="8">
        <v>0.42499999999999999</v>
      </c>
      <c r="CP65" s="8">
        <v>0.33354166666666663</v>
      </c>
      <c r="CQ65" s="8">
        <v>0.254</v>
      </c>
      <c r="CR65" s="8">
        <v>0.42499999999999999</v>
      </c>
      <c r="CS65" s="8">
        <v>0.33354166666666663</v>
      </c>
      <c r="CT65" s="8">
        <v>0.254</v>
      </c>
      <c r="CU65" s="8">
        <v>0.42499999999999999</v>
      </c>
      <c r="CV65" s="8">
        <v>0.33354166666666663</v>
      </c>
      <c r="CW65" s="8">
        <v>0.254</v>
      </c>
      <c r="CX65" s="8">
        <v>0.42499999999999999</v>
      </c>
      <c r="CY65" s="8">
        <v>0.33354166666666663</v>
      </c>
      <c r="CZ65" s="8">
        <v>0.254</v>
      </c>
      <c r="DA65" s="8">
        <v>0.42499999999999999</v>
      </c>
      <c r="DB65" s="8"/>
      <c r="DC65" s="8"/>
      <c r="DD65" s="8"/>
      <c r="DE65" s="48">
        <f>Tabelle58971121[[#This Row],[Durchschnittsauslastung min]]*Tabelle58971121[[#This Row],[installierte Leistung MW min]]</f>
        <v>0</v>
      </c>
      <c r="DF65" s="48">
        <f>Tabelle58971121[[#This Row],[Durchschnittsauslastung durch]]*Tabelle58971121[[#This Row],[installierte Leistung MW durch]]</f>
        <v>0</v>
      </c>
      <c r="DG65" s="48">
        <f>Tabelle58971121[[#This Row],[Durchschnittsauslastung max]]*Tabelle58971121[[#This Row],[installierte Leistung MW max]]</f>
        <v>0</v>
      </c>
      <c r="DH65" s="87">
        <f>Tabelle58971121[[#This Row],[Maximalauslastung durch]]*Tabelle58971121[[#This Row],[installierte Leistung MW min]]</f>
        <v>1273.22</v>
      </c>
      <c r="DI65" s="48">
        <f>Tabelle58971121[[#This Row],[Maximalauslastung durch]]*Tabelle58971121[[#This Row],[installierte Leistung MW durch]]</f>
        <v>1380.6</v>
      </c>
      <c r="DJ65" s="18">
        <f>Tabelle58971121[[#This Row],[Maximalauslastung max]]*Tabelle58971121[[#This Row],[installierte Leistung MW durch]]</f>
        <v>1380.6</v>
      </c>
      <c r="DK65" s="8">
        <v>1</v>
      </c>
      <c r="DL65" s="8">
        <v>1</v>
      </c>
      <c r="DM65" s="8">
        <v>1</v>
      </c>
      <c r="DN65" s="1">
        <v>1380.6</v>
      </c>
      <c r="DO65" s="1">
        <v>1273.22</v>
      </c>
      <c r="DP65" s="1">
        <v>1487.98</v>
      </c>
      <c r="DQ65" s="18"/>
      <c r="DR65" s="18"/>
      <c r="DW65" s="1">
        <v>0.25</v>
      </c>
      <c r="DX65" s="1">
        <v>0.2</v>
      </c>
      <c r="DY65" s="1">
        <v>0.3</v>
      </c>
      <c r="DZ65" s="1">
        <v>0.25</v>
      </c>
      <c r="EA65" s="1">
        <v>0.2</v>
      </c>
      <c r="EB65" s="1">
        <v>0.3</v>
      </c>
      <c r="EC65" s="1">
        <v>4.5</v>
      </c>
      <c r="ED65" s="1">
        <v>3</v>
      </c>
      <c r="EE65" s="1">
        <v>6</v>
      </c>
      <c r="EF65" s="1">
        <v>0.4</v>
      </c>
      <c r="EG65" s="1">
        <v>0.3</v>
      </c>
      <c r="EH65" s="1">
        <v>0.5</v>
      </c>
      <c r="EL65" s="1">
        <v>6570</v>
      </c>
      <c r="EM65" s="1">
        <v>4380</v>
      </c>
      <c r="EN65" s="1">
        <v>8760</v>
      </c>
      <c r="EO65" s="10"/>
      <c r="EP65" s="10"/>
      <c r="EQ65" s="10"/>
      <c r="ER65" s="1">
        <v>6570</v>
      </c>
      <c r="ES65" s="1">
        <v>4380</v>
      </c>
      <c r="ET65" s="1">
        <v>8760</v>
      </c>
      <c r="EU65" s="1">
        <v>25.848235294117643</v>
      </c>
      <c r="EV65" s="18">
        <v>23.30411764705882</v>
      </c>
      <c r="EW65" s="18">
        <v>28.392352941176469</v>
      </c>
      <c r="EX65" s="18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>
        <v>38.670588235294112</v>
      </c>
      <c r="FK65" s="7">
        <v>34.803529411764707</v>
      </c>
      <c r="FL65" s="7">
        <v>42.537647058823524</v>
      </c>
      <c r="FO65" s="1">
        <v>67</v>
      </c>
      <c r="FP65" s="1">
        <v>67</v>
      </c>
      <c r="FQ65" s="1">
        <v>67</v>
      </c>
      <c r="FR65" s="12" t="s">
        <v>743</v>
      </c>
      <c r="FS65" s="12" t="s">
        <v>743</v>
      </c>
      <c r="FT65" s="12" t="s">
        <v>743</v>
      </c>
      <c r="FU65" s="12"/>
      <c r="FV65" s="12" t="s">
        <v>743</v>
      </c>
      <c r="FW65" s="12" t="s">
        <v>743</v>
      </c>
      <c r="FX65" s="12" t="s">
        <v>743</v>
      </c>
      <c r="FY65" s="12" t="s">
        <v>743</v>
      </c>
      <c r="FZ65" s="12" t="s">
        <v>743</v>
      </c>
      <c r="GA65" s="12" t="s">
        <v>743</v>
      </c>
      <c r="GB65" s="12" t="s">
        <v>743</v>
      </c>
      <c r="GE65" s="12" t="s">
        <v>743</v>
      </c>
      <c r="GF65" s="12" t="s">
        <v>743</v>
      </c>
      <c r="GH65" s="12" t="s">
        <v>743</v>
      </c>
    </row>
    <row r="66" spans="1:190" ht="12.75" customHeight="1" x14ac:dyDescent="0.2">
      <c r="A66" s="1" t="s">
        <v>286</v>
      </c>
      <c r="B66" s="1" t="s">
        <v>286</v>
      </c>
      <c r="E66" s="1" t="s">
        <v>142</v>
      </c>
      <c r="F66" s="1">
        <v>2</v>
      </c>
      <c r="G66" s="1">
        <v>2015</v>
      </c>
      <c r="H66" s="1">
        <v>0</v>
      </c>
      <c r="I66" s="1">
        <v>0</v>
      </c>
      <c r="J66" s="1">
        <v>1</v>
      </c>
      <c r="K66" s="18"/>
      <c r="L66" s="18"/>
      <c r="M66" s="18"/>
      <c r="N66" s="18">
        <v>0</v>
      </c>
      <c r="O66" s="18">
        <v>0</v>
      </c>
      <c r="P66" s="18">
        <v>470.57400000000013</v>
      </c>
      <c r="Q66" s="18">
        <v>484.8205833333335</v>
      </c>
      <c r="R66" s="18">
        <v>0</v>
      </c>
      <c r="S66" s="18">
        <v>1986.8679999999999</v>
      </c>
      <c r="T66" s="18">
        <v>0</v>
      </c>
      <c r="U66" s="18">
        <v>0</v>
      </c>
      <c r="V66" s="18">
        <v>470.57400000000013</v>
      </c>
      <c r="W66" s="18">
        <v>484.8205833333335</v>
      </c>
      <c r="X66" s="18">
        <v>0</v>
      </c>
      <c r="Y66" s="18">
        <v>1986.8679999999999</v>
      </c>
      <c r="Z66" s="18">
        <v>0</v>
      </c>
      <c r="AA66" s="18">
        <v>0</v>
      </c>
      <c r="AB66" s="18">
        <v>470.57400000000013</v>
      </c>
      <c r="AC66" s="18">
        <v>484.8205833333335</v>
      </c>
      <c r="AD66" s="18">
        <v>0</v>
      </c>
      <c r="AE66" s="18">
        <v>1986.8679999999999</v>
      </c>
      <c r="AF66" s="18">
        <v>0</v>
      </c>
      <c r="AG66" s="18">
        <v>0</v>
      </c>
      <c r="AH66" s="18">
        <v>470.57400000000013</v>
      </c>
      <c r="AI66" s="18">
        <v>484.8205833333335</v>
      </c>
      <c r="AJ66" s="18">
        <v>0</v>
      </c>
      <c r="AK66" s="18">
        <v>1986.8679999999999</v>
      </c>
      <c r="AL66" s="18">
        <v>0</v>
      </c>
      <c r="AM66" s="18">
        <v>0</v>
      </c>
      <c r="AN66" s="18">
        <v>470.57400000000013</v>
      </c>
      <c r="AO66" s="18">
        <v>484.8205833333335</v>
      </c>
      <c r="AP66" s="18">
        <v>0</v>
      </c>
      <c r="AQ66" s="18">
        <v>1986.8679999999999</v>
      </c>
      <c r="AR66" s="18">
        <v>0</v>
      </c>
      <c r="AS66" s="18">
        <v>0</v>
      </c>
      <c r="AT66" s="18">
        <v>470.57400000000013</v>
      </c>
      <c r="AU66" s="18">
        <v>484.8205833333335</v>
      </c>
      <c r="AV66" s="18">
        <v>0</v>
      </c>
      <c r="AW66" s="18">
        <v>1986.8679999999999</v>
      </c>
      <c r="AX66" s="18">
        <v>0</v>
      </c>
      <c r="AY66" s="18">
        <v>0</v>
      </c>
      <c r="AZ66" s="18">
        <v>470.57400000000013</v>
      </c>
      <c r="BA66" s="18">
        <v>484.8205833333335</v>
      </c>
      <c r="BB66" s="18">
        <v>0</v>
      </c>
      <c r="BC66" s="18">
        <v>1986.8679999999999</v>
      </c>
      <c r="BD66" s="18">
        <v>0</v>
      </c>
      <c r="BE66" s="18">
        <v>0</v>
      </c>
      <c r="BF66" s="18">
        <v>470.57400000000013</v>
      </c>
      <c r="BG66" s="18">
        <v>484.8205833333335</v>
      </c>
      <c r="BH66" s="18">
        <v>0</v>
      </c>
      <c r="BI66" s="18">
        <v>1986.8679999999999</v>
      </c>
      <c r="BJ66" s="18">
        <v>0</v>
      </c>
      <c r="BK66" s="18">
        <v>0</v>
      </c>
      <c r="BL66" s="18">
        <v>470.57400000000013</v>
      </c>
      <c r="BM66" s="18">
        <v>484.8205833333335</v>
      </c>
      <c r="BN66" s="18">
        <v>0</v>
      </c>
      <c r="BO66" s="18">
        <v>1986.8679999999999</v>
      </c>
      <c r="BP66" s="18"/>
      <c r="BQ66" s="18"/>
      <c r="BR66" s="18"/>
      <c r="BS66" s="18"/>
      <c r="BT66" s="10">
        <f>Tabelle58971121[[#This Row],[Mindestauslastung durch]]*Tabelle58971121[[#This Row],[installierte Leistung MW durch]]</f>
        <v>678.31399999999996</v>
      </c>
      <c r="BU66" s="10">
        <f>Tabelle58971121[[#This Row],[Mindestauslastung min]]*Tabelle58971121[[#This Row],[installierte Leistung MW min]]</f>
        <v>676.91</v>
      </c>
      <c r="BV66" s="10">
        <f>Tabelle58971121[[#This Row],[Mindestauslastung max]]*Tabelle58971121[[#This Row],[installierte Leistung MW max]]</f>
        <v>679.71799999999996</v>
      </c>
      <c r="BW66" s="8">
        <v>1.2999999999999999E-2</v>
      </c>
      <c r="BX66" s="8">
        <v>1.2999999999999999E-2</v>
      </c>
      <c r="BY66" s="8">
        <v>1.2999999999999999E-2</v>
      </c>
      <c r="BZ66" s="8"/>
      <c r="CA66" s="8">
        <v>1.270833333333333E-2</v>
      </c>
      <c r="CB66" s="8">
        <v>4.0000000000000001E-3</v>
      </c>
      <c r="CC66" s="8">
        <v>2.1999999999999999E-2</v>
      </c>
      <c r="CD66" s="8">
        <v>1.270833333333333E-2</v>
      </c>
      <c r="CE66" s="8">
        <v>4.0000000000000001E-3</v>
      </c>
      <c r="CF66" s="8">
        <v>2.1999999999999999E-2</v>
      </c>
      <c r="CG66" s="8">
        <v>1.270833333333333E-2</v>
      </c>
      <c r="CH66" s="8">
        <v>4.0000000000000001E-3</v>
      </c>
      <c r="CI66" s="8">
        <v>2.1999999999999999E-2</v>
      </c>
      <c r="CJ66" s="8">
        <v>1.270833333333333E-2</v>
      </c>
      <c r="CK66" s="8">
        <v>4.0000000000000001E-3</v>
      </c>
      <c r="CL66" s="8">
        <v>2.1999999999999999E-2</v>
      </c>
      <c r="CM66" s="8">
        <v>1.270833333333333E-2</v>
      </c>
      <c r="CN66" s="8">
        <v>4.0000000000000001E-3</v>
      </c>
      <c r="CO66" s="8">
        <v>2.1999999999999999E-2</v>
      </c>
      <c r="CP66" s="8">
        <v>1.270833333333333E-2</v>
      </c>
      <c r="CQ66" s="8">
        <v>4.0000000000000001E-3</v>
      </c>
      <c r="CR66" s="8">
        <v>2.1999999999999999E-2</v>
      </c>
      <c r="CS66" s="8">
        <v>1.270833333333333E-2</v>
      </c>
      <c r="CT66" s="8">
        <v>4.0000000000000001E-3</v>
      </c>
      <c r="CU66" s="8">
        <v>2.1999999999999999E-2</v>
      </c>
      <c r="CV66" s="8">
        <v>1.270833333333333E-2</v>
      </c>
      <c r="CW66" s="8">
        <v>4.0000000000000001E-3</v>
      </c>
      <c r="CX66" s="8">
        <v>2.1999999999999999E-2</v>
      </c>
      <c r="CY66" s="8">
        <v>1.270833333333333E-2</v>
      </c>
      <c r="CZ66" s="8">
        <v>4.0000000000000001E-3</v>
      </c>
      <c r="DA66" s="8">
        <v>2.1999999999999999E-2</v>
      </c>
      <c r="DB66" s="8"/>
      <c r="DC66" s="8"/>
      <c r="DD66" s="8"/>
      <c r="DE66" s="48">
        <f>Tabelle58971121[[#This Row],[Durchschnittsauslastung min]]*Tabelle58971121[[#This Row],[installierte Leistung MW min]]</f>
        <v>0</v>
      </c>
      <c r="DF66" s="48">
        <f>Tabelle58971121[[#This Row],[Durchschnittsauslastung durch]]*Tabelle58971121[[#This Row],[installierte Leistung MW durch]]</f>
        <v>0</v>
      </c>
      <c r="DG66" s="48">
        <f>Tabelle58971121[[#This Row],[Durchschnittsauslastung max]]*Tabelle58971121[[#This Row],[installierte Leistung MW max]]</f>
        <v>0</v>
      </c>
      <c r="DH66" s="87">
        <f>Tabelle58971121[[#This Row],[Maximalauslastung durch]]*Tabelle58971121[[#This Row],[installierte Leistung MW min]]</f>
        <v>1145.54</v>
      </c>
      <c r="DI66" s="48">
        <f>Tabelle58971121[[#This Row],[Maximalauslastung durch]]*Tabelle58971121[[#This Row],[installierte Leistung MW durch]]</f>
        <v>1147.9159999999999</v>
      </c>
      <c r="DJ66" s="18">
        <f>Tabelle58971121[[#This Row],[Maximalauslastung max]]*Tabelle58971121[[#This Row],[installierte Leistung MW durch]]</f>
        <v>2191.4760000000001</v>
      </c>
      <c r="DK66" s="8">
        <v>2.1999999999999999E-2</v>
      </c>
      <c r="DL66" s="8">
        <v>2.0000000000000022E-3</v>
      </c>
      <c r="DM66" s="8">
        <v>4.2000000000000003E-2</v>
      </c>
      <c r="DN66" s="1">
        <v>52178</v>
      </c>
      <c r="DO66" s="1">
        <v>52070</v>
      </c>
      <c r="DP66" s="1">
        <v>52286</v>
      </c>
      <c r="DQ66" s="18"/>
      <c r="DR66" s="18"/>
      <c r="DW66" s="1">
        <v>2.25</v>
      </c>
      <c r="DX66" s="1">
        <v>1.5</v>
      </c>
      <c r="DY66" s="1">
        <v>3</v>
      </c>
      <c r="DZ66" s="1">
        <v>2.25</v>
      </c>
      <c r="EA66" s="1">
        <v>1.5</v>
      </c>
      <c r="EB66" s="1">
        <v>3</v>
      </c>
      <c r="EC66" s="1">
        <v>18</v>
      </c>
      <c r="ED66" s="1">
        <v>12</v>
      </c>
      <c r="EE66" s="1">
        <v>24</v>
      </c>
      <c r="EF66" s="1">
        <v>18</v>
      </c>
      <c r="EG66" s="1">
        <v>18</v>
      </c>
      <c r="EH66" s="1">
        <v>18</v>
      </c>
      <c r="EL66" s="1" t="s">
        <v>1046</v>
      </c>
      <c r="EM66" s="1" t="s">
        <v>1046</v>
      </c>
      <c r="EN66" s="1" t="s">
        <v>1046</v>
      </c>
      <c r="EO66" s="10"/>
      <c r="EP66" s="10"/>
      <c r="EQ66" s="10"/>
      <c r="ER66" s="1">
        <v>280</v>
      </c>
      <c r="ES66" s="1">
        <v>252</v>
      </c>
      <c r="ET66" s="1">
        <v>308</v>
      </c>
      <c r="EU66" s="1">
        <v>92.50411764705882</v>
      </c>
      <c r="EV66" s="18">
        <v>83.243529411764712</v>
      </c>
      <c r="EW66" s="18">
        <v>101.76470588235293</v>
      </c>
      <c r="EX66" s="18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>
        <v>753.05882352941171</v>
      </c>
      <c r="FK66" s="7">
        <v>745.52823529411762</v>
      </c>
      <c r="FL66" s="7">
        <v>760.5894117647058</v>
      </c>
      <c r="FO66" s="1">
        <v>67</v>
      </c>
      <c r="FP66" s="1">
        <v>67</v>
      </c>
      <c r="FQ66" s="1">
        <v>67</v>
      </c>
      <c r="FR66" s="12" t="s">
        <v>743</v>
      </c>
      <c r="FS66" s="12" t="s">
        <v>743</v>
      </c>
      <c r="FT66" s="12" t="s">
        <v>743</v>
      </c>
      <c r="FU66" s="12"/>
      <c r="FV66" s="12" t="s">
        <v>743</v>
      </c>
      <c r="FW66" s="12" t="s">
        <v>743</v>
      </c>
      <c r="FX66" s="12" t="s">
        <v>743</v>
      </c>
      <c r="FY66" s="12" t="s">
        <v>743</v>
      </c>
      <c r="FZ66" s="12" t="s">
        <v>743</v>
      </c>
      <c r="GA66" s="12" t="s">
        <v>743</v>
      </c>
      <c r="GB66" s="12" t="s">
        <v>743</v>
      </c>
      <c r="GE66" s="12" t="s">
        <v>743</v>
      </c>
      <c r="GF66" s="12" t="s">
        <v>743</v>
      </c>
      <c r="GH66" s="12" t="s">
        <v>743</v>
      </c>
    </row>
    <row r="67" spans="1:190" ht="12.75" customHeight="1" x14ac:dyDescent="0.2">
      <c r="A67" s="1" t="s">
        <v>286</v>
      </c>
      <c r="B67" s="1" t="s">
        <v>286</v>
      </c>
      <c r="E67" s="1" t="s">
        <v>142</v>
      </c>
      <c r="F67" s="1">
        <v>2</v>
      </c>
      <c r="G67" s="1">
        <v>2020</v>
      </c>
      <c r="H67" s="1">
        <v>0</v>
      </c>
      <c r="I67" s="1">
        <v>0</v>
      </c>
      <c r="J67" s="1">
        <v>1</v>
      </c>
      <c r="K67" s="18"/>
      <c r="L67" s="18"/>
      <c r="M67" s="18"/>
      <c r="N67" s="18">
        <v>0</v>
      </c>
      <c r="O67" s="18">
        <v>0</v>
      </c>
      <c r="P67" s="18">
        <v>418.8108600000001</v>
      </c>
      <c r="Q67" s="18">
        <v>431.49031916666684</v>
      </c>
      <c r="R67" s="18">
        <v>0</v>
      </c>
      <c r="S67" s="18">
        <v>1768.3125199999999</v>
      </c>
      <c r="T67" s="18">
        <v>0</v>
      </c>
      <c r="U67" s="18">
        <v>0</v>
      </c>
      <c r="V67" s="18">
        <v>418.8108600000001</v>
      </c>
      <c r="W67" s="18">
        <v>431.49031916666684</v>
      </c>
      <c r="X67" s="18">
        <v>0</v>
      </c>
      <c r="Y67" s="18">
        <v>1768.3125199999999</v>
      </c>
      <c r="Z67" s="18">
        <v>0</v>
      </c>
      <c r="AA67" s="18">
        <v>0</v>
      </c>
      <c r="AB67" s="18">
        <v>418.8108600000001</v>
      </c>
      <c r="AC67" s="18">
        <v>431.49031916666684</v>
      </c>
      <c r="AD67" s="18">
        <v>0</v>
      </c>
      <c r="AE67" s="18">
        <v>1768.3125199999999</v>
      </c>
      <c r="AF67" s="18">
        <v>0</v>
      </c>
      <c r="AG67" s="18">
        <v>0</v>
      </c>
      <c r="AH67" s="18">
        <v>418.8108600000001</v>
      </c>
      <c r="AI67" s="18">
        <v>431.49031916666684</v>
      </c>
      <c r="AJ67" s="18">
        <v>0</v>
      </c>
      <c r="AK67" s="18">
        <v>1768.3125199999999</v>
      </c>
      <c r="AL67" s="18">
        <v>0</v>
      </c>
      <c r="AM67" s="18">
        <v>0</v>
      </c>
      <c r="AN67" s="18">
        <v>418.8108600000001</v>
      </c>
      <c r="AO67" s="18">
        <v>431.49031916666684</v>
      </c>
      <c r="AP67" s="18">
        <v>0</v>
      </c>
      <c r="AQ67" s="18">
        <v>1768.3125199999999</v>
      </c>
      <c r="AR67" s="18">
        <v>0</v>
      </c>
      <c r="AS67" s="18">
        <v>0</v>
      </c>
      <c r="AT67" s="18">
        <v>418.8108600000001</v>
      </c>
      <c r="AU67" s="18">
        <v>431.49031916666684</v>
      </c>
      <c r="AV67" s="18">
        <v>0</v>
      </c>
      <c r="AW67" s="18">
        <v>1768.3125199999999</v>
      </c>
      <c r="AX67" s="18">
        <v>0</v>
      </c>
      <c r="AY67" s="18">
        <v>0</v>
      </c>
      <c r="AZ67" s="18">
        <v>418.8108600000001</v>
      </c>
      <c r="BA67" s="18">
        <v>431.49031916666684</v>
      </c>
      <c r="BB67" s="18">
        <v>0</v>
      </c>
      <c r="BC67" s="18">
        <v>1768.3125199999999</v>
      </c>
      <c r="BD67" s="18">
        <v>0</v>
      </c>
      <c r="BE67" s="18">
        <v>0</v>
      </c>
      <c r="BF67" s="18">
        <v>418.8108600000001</v>
      </c>
      <c r="BG67" s="18">
        <v>431.49031916666684</v>
      </c>
      <c r="BH67" s="18">
        <v>0</v>
      </c>
      <c r="BI67" s="18">
        <v>1768.3125199999999</v>
      </c>
      <c r="BJ67" s="18">
        <v>0</v>
      </c>
      <c r="BK67" s="18">
        <v>0</v>
      </c>
      <c r="BL67" s="18">
        <v>418.8108600000001</v>
      </c>
      <c r="BM67" s="18">
        <v>431.49031916666684</v>
      </c>
      <c r="BN67" s="18">
        <v>0</v>
      </c>
      <c r="BO67" s="18">
        <v>1768.3125199999999</v>
      </c>
      <c r="BP67" s="18"/>
      <c r="BQ67" s="18"/>
      <c r="BR67" s="18"/>
      <c r="BS67" s="18"/>
      <c r="BT67" s="10">
        <f>Tabelle58971121[[#This Row],[Mindestauslastung durch]]*Tabelle58971121[[#This Row],[installierte Leistung MW durch]]</f>
        <v>603.69945999999993</v>
      </c>
      <c r="BU67" s="10">
        <f>Tabelle58971121[[#This Row],[Mindestauslastung min]]*Tabelle58971121[[#This Row],[installierte Leistung MW min]]</f>
        <v>602.44989999999996</v>
      </c>
      <c r="BV67" s="10">
        <f>Tabelle58971121[[#This Row],[Mindestauslastung max]]*Tabelle58971121[[#This Row],[installierte Leistung MW max]]</f>
        <v>604.94902000000002</v>
      </c>
      <c r="BW67" s="8">
        <v>1.2999999999999999E-2</v>
      </c>
      <c r="BX67" s="8">
        <v>1.2999999999999999E-2</v>
      </c>
      <c r="BY67" s="8">
        <v>1.2999999999999999E-2</v>
      </c>
      <c r="BZ67" s="8"/>
      <c r="CA67" s="8">
        <v>1.270833333333333E-2</v>
      </c>
      <c r="CB67" s="8">
        <v>4.0000000000000001E-3</v>
      </c>
      <c r="CC67" s="8">
        <v>2.1999999999999999E-2</v>
      </c>
      <c r="CD67" s="8">
        <v>1.270833333333333E-2</v>
      </c>
      <c r="CE67" s="8">
        <v>4.0000000000000001E-3</v>
      </c>
      <c r="CF67" s="8">
        <v>2.1999999999999999E-2</v>
      </c>
      <c r="CG67" s="8">
        <v>1.270833333333333E-2</v>
      </c>
      <c r="CH67" s="8">
        <v>4.0000000000000001E-3</v>
      </c>
      <c r="CI67" s="8">
        <v>2.1999999999999999E-2</v>
      </c>
      <c r="CJ67" s="8">
        <v>1.270833333333333E-2</v>
      </c>
      <c r="CK67" s="8">
        <v>4.0000000000000001E-3</v>
      </c>
      <c r="CL67" s="8">
        <v>2.1999999999999999E-2</v>
      </c>
      <c r="CM67" s="8">
        <v>1.270833333333333E-2</v>
      </c>
      <c r="CN67" s="8">
        <v>4.0000000000000001E-3</v>
      </c>
      <c r="CO67" s="8">
        <v>2.1999999999999999E-2</v>
      </c>
      <c r="CP67" s="8">
        <v>1.270833333333333E-2</v>
      </c>
      <c r="CQ67" s="8">
        <v>4.0000000000000001E-3</v>
      </c>
      <c r="CR67" s="8">
        <v>2.1999999999999999E-2</v>
      </c>
      <c r="CS67" s="8">
        <v>1.270833333333333E-2</v>
      </c>
      <c r="CT67" s="8">
        <v>4.0000000000000001E-3</v>
      </c>
      <c r="CU67" s="8">
        <v>2.1999999999999999E-2</v>
      </c>
      <c r="CV67" s="8">
        <v>1.270833333333333E-2</v>
      </c>
      <c r="CW67" s="8">
        <v>4.0000000000000001E-3</v>
      </c>
      <c r="CX67" s="8">
        <v>2.1999999999999999E-2</v>
      </c>
      <c r="CY67" s="8">
        <v>1.270833333333333E-2</v>
      </c>
      <c r="CZ67" s="8">
        <v>4.0000000000000001E-3</v>
      </c>
      <c r="DA67" s="8">
        <v>2.1999999999999999E-2</v>
      </c>
      <c r="DB67" s="8"/>
      <c r="DC67" s="8"/>
      <c r="DD67" s="8"/>
      <c r="DE67" s="48">
        <f>Tabelle58971121[[#This Row],[Durchschnittsauslastung min]]*Tabelle58971121[[#This Row],[installierte Leistung MW min]]</f>
        <v>0</v>
      </c>
      <c r="DF67" s="48">
        <f>Tabelle58971121[[#This Row],[Durchschnittsauslastung durch]]*Tabelle58971121[[#This Row],[installierte Leistung MW durch]]</f>
        <v>0</v>
      </c>
      <c r="DG67" s="48">
        <f>Tabelle58971121[[#This Row],[Durchschnittsauslastung max]]*Tabelle58971121[[#This Row],[installierte Leistung MW max]]</f>
        <v>0</v>
      </c>
      <c r="DH67" s="87">
        <f>Tabelle58971121[[#This Row],[Maximalauslastung durch]]*Tabelle58971121[[#This Row],[installierte Leistung MW min]]</f>
        <v>1019.5306</v>
      </c>
      <c r="DI67" s="48">
        <f>Tabelle58971121[[#This Row],[Maximalauslastung durch]]*Tabelle58971121[[#This Row],[installierte Leistung MW durch]]</f>
        <v>1021.6452399999999</v>
      </c>
      <c r="DJ67" s="18">
        <f>Tabelle58971121[[#This Row],[Maximalauslastung max]]*Tabelle58971121[[#This Row],[installierte Leistung MW durch]]</f>
        <v>1950.41364</v>
      </c>
      <c r="DK67" s="8">
        <v>2.1999999999999999E-2</v>
      </c>
      <c r="DL67" s="8">
        <v>2.0000000000000022E-3</v>
      </c>
      <c r="DM67" s="8">
        <v>4.2000000000000003E-2</v>
      </c>
      <c r="DN67" s="1">
        <v>46438.42</v>
      </c>
      <c r="DO67" s="1">
        <v>46342.3</v>
      </c>
      <c r="DP67" s="1">
        <v>46534.54</v>
      </c>
      <c r="DQ67" s="18"/>
      <c r="DR67" s="18"/>
      <c r="DW67" s="1">
        <v>2.25</v>
      </c>
      <c r="DX67" s="1">
        <v>1.5</v>
      </c>
      <c r="DY67" s="1">
        <v>3</v>
      </c>
      <c r="DZ67" s="1">
        <v>2.25</v>
      </c>
      <c r="EA67" s="1">
        <v>1.5</v>
      </c>
      <c r="EB67" s="1">
        <v>3</v>
      </c>
      <c r="EC67" s="1">
        <v>18</v>
      </c>
      <c r="ED67" s="1">
        <v>12</v>
      </c>
      <c r="EE67" s="1">
        <v>24</v>
      </c>
      <c r="EF67" s="1">
        <v>18</v>
      </c>
      <c r="EG67" s="1">
        <v>18</v>
      </c>
      <c r="EH67" s="1">
        <v>18</v>
      </c>
      <c r="EL67" s="1" t="s">
        <v>1046</v>
      </c>
      <c r="EM67" s="1" t="s">
        <v>1046</v>
      </c>
      <c r="EN67" s="1" t="s">
        <v>1046</v>
      </c>
      <c r="EO67" s="10"/>
      <c r="EP67" s="10"/>
      <c r="EQ67" s="10"/>
      <c r="ER67" s="1">
        <v>280</v>
      </c>
      <c r="ES67" s="1">
        <v>252</v>
      </c>
      <c r="ET67" s="1">
        <v>308</v>
      </c>
      <c r="EU67" s="1">
        <v>92.50411764705882</v>
      </c>
      <c r="EV67" s="18">
        <v>83.243529411764712</v>
      </c>
      <c r="EW67" s="18">
        <v>101.76470588235293</v>
      </c>
      <c r="EX67" s="18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>
        <v>753.05882352941171</v>
      </c>
      <c r="FK67" s="7">
        <v>745.52823529411762</v>
      </c>
      <c r="FL67" s="7">
        <v>760.5894117647058</v>
      </c>
      <c r="FO67" s="1">
        <v>67</v>
      </c>
      <c r="FP67" s="1">
        <v>67</v>
      </c>
      <c r="FQ67" s="1">
        <v>67</v>
      </c>
      <c r="FR67" s="12" t="s">
        <v>743</v>
      </c>
      <c r="FS67" s="12" t="s">
        <v>743</v>
      </c>
      <c r="FT67" s="12" t="s">
        <v>743</v>
      </c>
      <c r="FU67" s="12"/>
      <c r="FV67" s="12" t="s">
        <v>743</v>
      </c>
      <c r="FW67" s="12" t="s">
        <v>743</v>
      </c>
      <c r="FX67" s="12" t="s">
        <v>743</v>
      </c>
      <c r="FY67" s="12" t="s">
        <v>743</v>
      </c>
      <c r="FZ67" s="12" t="s">
        <v>743</v>
      </c>
      <c r="GA67" s="12" t="s">
        <v>743</v>
      </c>
      <c r="GB67" s="12" t="s">
        <v>743</v>
      </c>
      <c r="GE67" s="12" t="s">
        <v>743</v>
      </c>
      <c r="GF67" s="12" t="s">
        <v>743</v>
      </c>
      <c r="GH67" s="12" t="s">
        <v>743</v>
      </c>
    </row>
    <row r="68" spans="1:190" ht="12.75" customHeight="1" x14ac:dyDescent="0.2">
      <c r="A68" s="1" t="s">
        <v>286</v>
      </c>
      <c r="B68" s="1" t="s">
        <v>286</v>
      </c>
      <c r="E68" s="1" t="s">
        <v>142</v>
      </c>
      <c r="F68" s="1">
        <v>2</v>
      </c>
      <c r="G68" s="1">
        <v>2025</v>
      </c>
      <c r="H68" s="1">
        <v>0</v>
      </c>
      <c r="I68" s="1">
        <v>0</v>
      </c>
      <c r="J68" s="1">
        <v>1</v>
      </c>
      <c r="K68" s="18"/>
      <c r="L68" s="18"/>
      <c r="M68" s="18"/>
      <c r="N68" s="18">
        <v>0</v>
      </c>
      <c r="O68" s="18">
        <v>0</v>
      </c>
      <c r="P68" s="18">
        <v>385.87068000000011</v>
      </c>
      <c r="Q68" s="18">
        <v>397.55287833333347</v>
      </c>
      <c r="R68" s="18">
        <v>0</v>
      </c>
      <c r="S68" s="18">
        <v>1629.2317599999999</v>
      </c>
      <c r="T68" s="18">
        <v>0</v>
      </c>
      <c r="U68" s="18">
        <v>0</v>
      </c>
      <c r="V68" s="18">
        <v>385.87068000000011</v>
      </c>
      <c r="W68" s="18">
        <v>397.55287833333347</v>
      </c>
      <c r="X68" s="18">
        <v>0</v>
      </c>
      <c r="Y68" s="18">
        <v>1629.2317599999999</v>
      </c>
      <c r="Z68" s="18">
        <v>0</v>
      </c>
      <c r="AA68" s="18">
        <v>0</v>
      </c>
      <c r="AB68" s="18">
        <v>385.87068000000011</v>
      </c>
      <c r="AC68" s="18">
        <v>397.55287833333347</v>
      </c>
      <c r="AD68" s="18">
        <v>0</v>
      </c>
      <c r="AE68" s="18">
        <v>1629.2317599999999</v>
      </c>
      <c r="AF68" s="18">
        <v>0</v>
      </c>
      <c r="AG68" s="18">
        <v>0</v>
      </c>
      <c r="AH68" s="18">
        <v>385.87068000000011</v>
      </c>
      <c r="AI68" s="18">
        <v>397.55287833333347</v>
      </c>
      <c r="AJ68" s="18">
        <v>0</v>
      </c>
      <c r="AK68" s="18">
        <v>1629.2317599999999</v>
      </c>
      <c r="AL68" s="18">
        <v>0</v>
      </c>
      <c r="AM68" s="18">
        <v>0</v>
      </c>
      <c r="AN68" s="18">
        <v>385.87068000000011</v>
      </c>
      <c r="AO68" s="18">
        <v>397.55287833333347</v>
      </c>
      <c r="AP68" s="18">
        <v>0</v>
      </c>
      <c r="AQ68" s="18">
        <v>1629.2317599999999</v>
      </c>
      <c r="AR68" s="18">
        <v>0</v>
      </c>
      <c r="AS68" s="18">
        <v>0</v>
      </c>
      <c r="AT68" s="18">
        <v>385.87068000000011</v>
      </c>
      <c r="AU68" s="18">
        <v>397.55287833333347</v>
      </c>
      <c r="AV68" s="18">
        <v>0</v>
      </c>
      <c r="AW68" s="18">
        <v>1629.2317599999999</v>
      </c>
      <c r="AX68" s="18">
        <v>0</v>
      </c>
      <c r="AY68" s="18">
        <v>0</v>
      </c>
      <c r="AZ68" s="18">
        <v>385.87068000000011</v>
      </c>
      <c r="BA68" s="18">
        <v>397.55287833333347</v>
      </c>
      <c r="BB68" s="18">
        <v>0</v>
      </c>
      <c r="BC68" s="18">
        <v>1629.2317599999999</v>
      </c>
      <c r="BD68" s="18">
        <v>0</v>
      </c>
      <c r="BE68" s="18">
        <v>0</v>
      </c>
      <c r="BF68" s="18">
        <v>385.87068000000011</v>
      </c>
      <c r="BG68" s="18">
        <v>397.55287833333347</v>
      </c>
      <c r="BH68" s="18">
        <v>0</v>
      </c>
      <c r="BI68" s="18">
        <v>1629.2317599999999</v>
      </c>
      <c r="BJ68" s="18">
        <v>0</v>
      </c>
      <c r="BK68" s="18">
        <v>0</v>
      </c>
      <c r="BL68" s="18">
        <v>385.87068000000011</v>
      </c>
      <c r="BM68" s="18">
        <v>397.55287833333347</v>
      </c>
      <c r="BN68" s="18">
        <v>0</v>
      </c>
      <c r="BO68" s="18">
        <v>1629.2317599999999</v>
      </c>
      <c r="BP68" s="18"/>
      <c r="BQ68" s="18"/>
      <c r="BR68" s="18"/>
      <c r="BS68" s="18"/>
      <c r="BT68" s="10">
        <f>Tabelle58971121[[#This Row],[Mindestauslastung durch]]*Tabelle58971121[[#This Row],[installierte Leistung MW durch]]</f>
        <v>556.21747999999991</v>
      </c>
      <c r="BU68" s="10">
        <f>Tabelle58971121[[#This Row],[Mindestauslastung min]]*Tabelle58971121[[#This Row],[installierte Leistung MW min]]</f>
        <v>555.06619999999998</v>
      </c>
      <c r="BV68" s="10">
        <f>Tabelle58971121[[#This Row],[Mindestauslastung max]]*Tabelle58971121[[#This Row],[installierte Leistung MW max]]</f>
        <v>557.36875999999995</v>
      </c>
      <c r="BW68" s="8">
        <v>1.2999999999999999E-2</v>
      </c>
      <c r="BX68" s="8">
        <v>1.2999999999999999E-2</v>
      </c>
      <c r="BY68" s="8">
        <v>1.2999999999999999E-2</v>
      </c>
      <c r="BZ68" s="8"/>
      <c r="CA68" s="8">
        <v>1.270833333333333E-2</v>
      </c>
      <c r="CB68" s="8">
        <v>4.0000000000000001E-3</v>
      </c>
      <c r="CC68" s="8">
        <v>2.1999999999999999E-2</v>
      </c>
      <c r="CD68" s="8">
        <v>1.270833333333333E-2</v>
      </c>
      <c r="CE68" s="8">
        <v>4.0000000000000001E-3</v>
      </c>
      <c r="CF68" s="8">
        <v>2.1999999999999999E-2</v>
      </c>
      <c r="CG68" s="8">
        <v>1.270833333333333E-2</v>
      </c>
      <c r="CH68" s="8">
        <v>4.0000000000000001E-3</v>
      </c>
      <c r="CI68" s="8">
        <v>2.1999999999999999E-2</v>
      </c>
      <c r="CJ68" s="8">
        <v>1.270833333333333E-2</v>
      </c>
      <c r="CK68" s="8">
        <v>4.0000000000000001E-3</v>
      </c>
      <c r="CL68" s="8">
        <v>2.1999999999999999E-2</v>
      </c>
      <c r="CM68" s="8">
        <v>1.270833333333333E-2</v>
      </c>
      <c r="CN68" s="8">
        <v>4.0000000000000001E-3</v>
      </c>
      <c r="CO68" s="8">
        <v>2.1999999999999999E-2</v>
      </c>
      <c r="CP68" s="8">
        <v>1.270833333333333E-2</v>
      </c>
      <c r="CQ68" s="8">
        <v>4.0000000000000001E-3</v>
      </c>
      <c r="CR68" s="8">
        <v>2.1999999999999999E-2</v>
      </c>
      <c r="CS68" s="8">
        <v>1.270833333333333E-2</v>
      </c>
      <c r="CT68" s="8">
        <v>4.0000000000000001E-3</v>
      </c>
      <c r="CU68" s="8">
        <v>2.1999999999999999E-2</v>
      </c>
      <c r="CV68" s="8">
        <v>1.270833333333333E-2</v>
      </c>
      <c r="CW68" s="8">
        <v>4.0000000000000001E-3</v>
      </c>
      <c r="CX68" s="8">
        <v>2.1999999999999999E-2</v>
      </c>
      <c r="CY68" s="8">
        <v>1.270833333333333E-2</v>
      </c>
      <c r="CZ68" s="8">
        <v>4.0000000000000001E-3</v>
      </c>
      <c r="DA68" s="8">
        <v>2.1999999999999999E-2</v>
      </c>
      <c r="DB68" s="8"/>
      <c r="DC68" s="8"/>
      <c r="DD68" s="8"/>
      <c r="DE68" s="48">
        <f>Tabelle58971121[[#This Row],[Durchschnittsauslastung min]]*Tabelle58971121[[#This Row],[installierte Leistung MW min]]</f>
        <v>0</v>
      </c>
      <c r="DF68" s="48">
        <f>Tabelle58971121[[#This Row],[Durchschnittsauslastung durch]]*Tabelle58971121[[#This Row],[installierte Leistung MW durch]]</f>
        <v>0</v>
      </c>
      <c r="DG68" s="48">
        <f>Tabelle58971121[[#This Row],[Durchschnittsauslastung max]]*Tabelle58971121[[#This Row],[installierte Leistung MW max]]</f>
        <v>0</v>
      </c>
      <c r="DH68" s="87">
        <f>Tabelle58971121[[#This Row],[Maximalauslastung durch]]*Tabelle58971121[[#This Row],[installierte Leistung MW min]]</f>
        <v>939.34280000000001</v>
      </c>
      <c r="DI68" s="48">
        <f>Tabelle58971121[[#This Row],[Maximalauslastung durch]]*Tabelle58971121[[#This Row],[installierte Leistung MW durch]]</f>
        <v>941.29111999999998</v>
      </c>
      <c r="DJ68" s="18">
        <f>Tabelle58971121[[#This Row],[Maximalauslastung max]]*Tabelle58971121[[#This Row],[installierte Leistung MW durch]]</f>
        <v>1797.0103200000001</v>
      </c>
      <c r="DK68" s="8">
        <v>2.1999999999999999E-2</v>
      </c>
      <c r="DL68" s="8">
        <v>2.0000000000000022E-3</v>
      </c>
      <c r="DM68" s="8">
        <v>4.2000000000000003E-2</v>
      </c>
      <c r="DN68" s="1">
        <v>42785.96</v>
      </c>
      <c r="DO68" s="1">
        <v>42697.4</v>
      </c>
      <c r="DP68" s="1">
        <v>42874.52</v>
      </c>
      <c r="DQ68" s="18"/>
      <c r="DR68" s="18"/>
      <c r="DW68" s="1">
        <v>2.25</v>
      </c>
      <c r="DX68" s="1">
        <v>1.5</v>
      </c>
      <c r="DY68" s="1">
        <v>3</v>
      </c>
      <c r="DZ68" s="1">
        <v>2.25</v>
      </c>
      <c r="EA68" s="1">
        <v>1.5</v>
      </c>
      <c r="EB68" s="1">
        <v>3</v>
      </c>
      <c r="EC68" s="1">
        <v>18</v>
      </c>
      <c r="ED68" s="1">
        <v>12</v>
      </c>
      <c r="EE68" s="1">
        <v>24</v>
      </c>
      <c r="EF68" s="1">
        <v>18</v>
      </c>
      <c r="EG68" s="1">
        <v>18</v>
      </c>
      <c r="EH68" s="1">
        <v>18</v>
      </c>
      <c r="EL68" s="1" t="s">
        <v>1046</v>
      </c>
      <c r="EM68" s="1" t="s">
        <v>1046</v>
      </c>
      <c r="EN68" s="1" t="s">
        <v>1046</v>
      </c>
      <c r="EO68" s="10"/>
      <c r="EP68" s="10"/>
      <c r="EQ68" s="10"/>
      <c r="ER68" s="1">
        <v>280</v>
      </c>
      <c r="ES68" s="1">
        <v>252</v>
      </c>
      <c r="ET68" s="1">
        <v>308</v>
      </c>
      <c r="EU68" s="1">
        <v>92.50411764705882</v>
      </c>
      <c r="EV68" s="18">
        <v>83.243529411764712</v>
      </c>
      <c r="EW68" s="18">
        <v>101.76470588235293</v>
      </c>
      <c r="EX68" s="18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>
        <v>753.05882352941171</v>
      </c>
      <c r="FK68" s="7">
        <v>745.52823529411762</v>
      </c>
      <c r="FL68" s="7">
        <v>760.5894117647058</v>
      </c>
      <c r="FO68" s="1">
        <v>67</v>
      </c>
      <c r="FP68" s="1">
        <v>67</v>
      </c>
      <c r="FQ68" s="1">
        <v>67</v>
      </c>
      <c r="FR68" s="12" t="s">
        <v>743</v>
      </c>
      <c r="FS68" s="12" t="s">
        <v>743</v>
      </c>
      <c r="FT68" s="12" t="s">
        <v>743</v>
      </c>
      <c r="FU68" s="12"/>
      <c r="FV68" s="12" t="s">
        <v>743</v>
      </c>
      <c r="FW68" s="12" t="s">
        <v>743</v>
      </c>
      <c r="FX68" s="12" t="s">
        <v>743</v>
      </c>
      <c r="FY68" s="12" t="s">
        <v>743</v>
      </c>
      <c r="FZ68" s="12" t="s">
        <v>743</v>
      </c>
      <c r="GA68" s="12" t="s">
        <v>743</v>
      </c>
      <c r="GB68" s="12" t="s">
        <v>743</v>
      </c>
      <c r="GE68" s="12" t="s">
        <v>743</v>
      </c>
      <c r="GF68" s="12" t="s">
        <v>743</v>
      </c>
      <c r="GH68" s="12" t="s">
        <v>743</v>
      </c>
    </row>
    <row r="69" spans="1:190" ht="12.75" customHeight="1" x14ac:dyDescent="0.2">
      <c r="A69" s="1" t="s">
        <v>286</v>
      </c>
      <c r="B69" s="1" t="s">
        <v>286</v>
      </c>
      <c r="E69" s="1" t="s">
        <v>142</v>
      </c>
      <c r="F69" s="1">
        <v>2</v>
      </c>
      <c r="G69" s="1">
        <v>2030</v>
      </c>
      <c r="H69" s="1">
        <v>0</v>
      </c>
      <c r="I69" s="1">
        <v>0</v>
      </c>
      <c r="J69" s="1">
        <v>1</v>
      </c>
      <c r="K69" s="18"/>
      <c r="L69" s="18"/>
      <c r="M69" s="18"/>
      <c r="N69" s="18">
        <v>0</v>
      </c>
      <c r="O69" s="18">
        <v>0</v>
      </c>
      <c r="P69" s="18">
        <v>348.22476000000012</v>
      </c>
      <c r="Q69" s="18">
        <v>358.76723166666676</v>
      </c>
      <c r="R69" s="18">
        <v>0</v>
      </c>
      <c r="S69" s="18">
        <v>1470.28232</v>
      </c>
      <c r="T69" s="18">
        <v>0</v>
      </c>
      <c r="U69" s="18">
        <v>0</v>
      </c>
      <c r="V69" s="18">
        <v>348.22476000000012</v>
      </c>
      <c r="W69" s="18">
        <v>358.76723166666676</v>
      </c>
      <c r="X69" s="18">
        <v>0</v>
      </c>
      <c r="Y69" s="18">
        <v>1470.28232</v>
      </c>
      <c r="Z69" s="18">
        <v>0</v>
      </c>
      <c r="AA69" s="18">
        <v>0</v>
      </c>
      <c r="AB69" s="18">
        <v>348.22476000000012</v>
      </c>
      <c r="AC69" s="18">
        <v>358.76723166666676</v>
      </c>
      <c r="AD69" s="18">
        <v>0</v>
      </c>
      <c r="AE69" s="18">
        <v>1470.28232</v>
      </c>
      <c r="AF69" s="18">
        <v>0</v>
      </c>
      <c r="AG69" s="18">
        <v>0</v>
      </c>
      <c r="AH69" s="18">
        <v>348.22476000000012</v>
      </c>
      <c r="AI69" s="18">
        <v>358.76723166666676</v>
      </c>
      <c r="AJ69" s="18">
        <v>0</v>
      </c>
      <c r="AK69" s="18">
        <v>1470.28232</v>
      </c>
      <c r="AL69" s="18">
        <v>0</v>
      </c>
      <c r="AM69" s="18">
        <v>0</v>
      </c>
      <c r="AN69" s="18">
        <v>348.22476000000012</v>
      </c>
      <c r="AO69" s="18">
        <v>358.76723166666676</v>
      </c>
      <c r="AP69" s="18">
        <v>0</v>
      </c>
      <c r="AQ69" s="18">
        <v>1470.28232</v>
      </c>
      <c r="AR69" s="18">
        <v>0</v>
      </c>
      <c r="AS69" s="18">
        <v>0</v>
      </c>
      <c r="AT69" s="18">
        <v>348.22476000000012</v>
      </c>
      <c r="AU69" s="18">
        <v>358.76723166666676</v>
      </c>
      <c r="AV69" s="18">
        <v>0</v>
      </c>
      <c r="AW69" s="18">
        <v>1470.28232</v>
      </c>
      <c r="AX69" s="18">
        <v>0</v>
      </c>
      <c r="AY69" s="18">
        <v>0</v>
      </c>
      <c r="AZ69" s="18">
        <v>348.22476000000012</v>
      </c>
      <c r="BA69" s="18">
        <v>358.76723166666676</v>
      </c>
      <c r="BB69" s="18">
        <v>0</v>
      </c>
      <c r="BC69" s="18">
        <v>1470.28232</v>
      </c>
      <c r="BD69" s="18">
        <v>0</v>
      </c>
      <c r="BE69" s="18">
        <v>0</v>
      </c>
      <c r="BF69" s="18">
        <v>348.22476000000012</v>
      </c>
      <c r="BG69" s="18">
        <v>358.76723166666676</v>
      </c>
      <c r="BH69" s="18">
        <v>0</v>
      </c>
      <c r="BI69" s="18">
        <v>1470.28232</v>
      </c>
      <c r="BJ69" s="18">
        <v>0</v>
      </c>
      <c r="BK69" s="18">
        <v>0</v>
      </c>
      <c r="BL69" s="18">
        <v>348.22476000000012</v>
      </c>
      <c r="BM69" s="18">
        <v>358.76723166666676</v>
      </c>
      <c r="BN69" s="18">
        <v>0</v>
      </c>
      <c r="BO69" s="18">
        <v>1470.28232</v>
      </c>
      <c r="BP69" s="18"/>
      <c r="BQ69" s="18"/>
      <c r="BR69" s="18"/>
      <c r="BS69" s="18"/>
      <c r="BT69" s="10">
        <f>Tabelle58971121[[#This Row],[Mindestauslastung durch]]*Tabelle58971121[[#This Row],[installierte Leistung MW durch]]</f>
        <v>501.95236</v>
      </c>
      <c r="BU69" s="10">
        <f>Tabelle58971121[[#This Row],[Mindestauslastung min]]*Tabelle58971121[[#This Row],[installierte Leistung MW min]]</f>
        <v>500.91340000000002</v>
      </c>
      <c r="BV69" s="10">
        <f>Tabelle58971121[[#This Row],[Mindestauslastung max]]*Tabelle58971121[[#This Row],[installierte Leistung MW max]]</f>
        <v>502.99131999999997</v>
      </c>
      <c r="BW69" s="8">
        <v>1.2999999999999999E-2</v>
      </c>
      <c r="BX69" s="8">
        <v>1.2999999999999999E-2</v>
      </c>
      <c r="BY69" s="8">
        <v>1.2999999999999999E-2</v>
      </c>
      <c r="BZ69" s="8"/>
      <c r="CA69" s="8">
        <v>1.270833333333333E-2</v>
      </c>
      <c r="CB69" s="8">
        <v>4.0000000000000001E-3</v>
      </c>
      <c r="CC69" s="8">
        <v>2.1999999999999999E-2</v>
      </c>
      <c r="CD69" s="8">
        <v>1.270833333333333E-2</v>
      </c>
      <c r="CE69" s="8">
        <v>4.0000000000000001E-3</v>
      </c>
      <c r="CF69" s="8">
        <v>2.1999999999999999E-2</v>
      </c>
      <c r="CG69" s="8">
        <v>1.270833333333333E-2</v>
      </c>
      <c r="CH69" s="8">
        <v>4.0000000000000001E-3</v>
      </c>
      <c r="CI69" s="8">
        <v>2.1999999999999999E-2</v>
      </c>
      <c r="CJ69" s="8">
        <v>1.270833333333333E-2</v>
      </c>
      <c r="CK69" s="8">
        <v>4.0000000000000001E-3</v>
      </c>
      <c r="CL69" s="8">
        <v>2.1999999999999999E-2</v>
      </c>
      <c r="CM69" s="8">
        <v>1.270833333333333E-2</v>
      </c>
      <c r="CN69" s="8">
        <v>4.0000000000000001E-3</v>
      </c>
      <c r="CO69" s="8">
        <v>2.1999999999999999E-2</v>
      </c>
      <c r="CP69" s="8">
        <v>1.270833333333333E-2</v>
      </c>
      <c r="CQ69" s="8">
        <v>4.0000000000000001E-3</v>
      </c>
      <c r="CR69" s="8">
        <v>2.1999999999999999E-2</v>
      </c>
      <c r="CS69" s="8">
        <v>1.270833333333333E-2</v>
      </c>
      <c r="CT69" s="8">
        <v>4.0000000000000001E-3</v>
      </c>
      <c r="CU69" s="8">
        <v>2.1999999999999999E-2</v>
      </c>
      <c r="CV69" s="8">
        <v>1.270833333333333E-2</v>
      </c>
      <c r="CW69" s="8">
        <v>4.0000000000000001E-3</v>
      </c>
      <c r="CX69" s="8">
        <v>2.1999999999999999E-2</v>
      </c>
      <c r="CY69" s="8">
        <v>1.270833333333333E-2</v>
      </c>
      <c r="CZ69" s="8">
        <v>4.0000000000000001E-3</v>
      </c>
      <c r="DA69" s="8">
        <v>2.1999999999999999E-2</v>
      </c>
      <c r="DB69" s="8"/>
      <c r="DC69" s="8"/>
      <c r="DD69" s="8"/>
      <c r="DE69" s="48">
        <f>Tabelle58971121[[#This Row],[Durchschnittsauslastung min]]*Tabelle58971121[[#This Row],[installierte Leistung MW min]]</f>
        <v>0</v>
      </c>
      <c r="DF69" s="48">
        <f>Tabelle58971121[[#This Row],[Durchschnittsauslastung durch]]*Tabelle58971121[[#This Row],[installierte Leistung MW durch]]</f>
        <v>0</v>
      </c>
      <c r="DG69" s="48">
        <f>Tabelle58971121[[#This Row],[Durchschnittsauslastung max]]*Tabelle58971121[[#This Row],[installierte Leistung MW max]]</f>
        <v>0</v>
      </c>
      <c r="DH69" s="87">
        <f>Tabelle58971121[[#This Row],[Maximalauslastung durch]]*Tabelle58971121[[#This Row],[installierte Leistung MW min]]</f>
        <v>847.69960000000003</v>
      </c>
      <c r="DI69" s="48">
        <f>Tabelle58971121[[#This Row],[Maximalauslastung durch]]*Tabelle58971121[[#This Row],[installierte Leistung MW durch]]</f>
        <v>849.45784000000003</v>
      </c>
      <c r="DJ69" s="18">
        <f>Tabelle58971121[[#This Row],[Maximalauslastung max]]*Tabelle58971121[[#This Row],[installierte Leistung MW durch]]</f>
        <v>1621.6922400000001</v>
      </c>
      <c r="DK69" s="8">
        <v>2.1999999999999999E-2</v>
      </c>
      <c r="DL69" s="8">
        <v>2.0000000000000022E-3</v>
      </c>
      <c r="DM69" s="8">
        <v>4.2000000000000003E-2</v>
      </c>
      <c r="DN69" s="1">
        <v>38611.72</v>
      </c>
      <c r="DO69" s="1">
        <v>38531.800000000003</v>
      </c>
      <c r="DP69" s="1">
        <v>38691.64</v>
      </c>
      <c r="DQ69" s="18"/>
      <c r="DR69" s="18"/>
      <c r="DW69" s="1">
        <v>2.25</v>
      </c>
      <c r="DX69" s="1">
        <v>1.5</v>
      </c>
      <c r="DY69" s="1">
        <v>3</v>
      </c>
      <c r="DZ69" s="1">
        <v>2.25</v>
      </c>
      <c r="EA69" s="1">
        <v>1.5</v>
      </c>
      <c r="EB69" s="1">
        <v>3</v>
      </c>
      <c r="EC69" s="1">
        <v>18</v>
      </c>
      <c r="ED69" s="1">
        <v>12</v>
      </c>
      <c r="EE69" s="1">
        <v>24</v>
      </c>
      <c r="EF69" s="1">
        <v>18</v>
      </c>
      <c r="EG69" s="1">
        <v>18</v>
      </c>
      <c r="EH69" s="1">
        <v>18</v>
      </c>
      <c r="EL69" s="1" t="s">
        <v>1046</v>
      </c>
      <c r="EM69" s="1" t="s">
        <v>1046</v>
      </c>
      <c r="EN69" s="1" t="s">
        <v>1046</v>
      </c>
      <c r="EO69" s="10"/>
      <c r="EP69" s="10"/>
      <c r="EQ69" s="10"/>
      <c r="ER69" s="1">
        <v>280</v>
      </c>
      <c r="ES69" s="1">
        <v>252</v>
      </c>
      <c r="ET69" s="1">
        <v>308</v>
      </c>
      <c r="EU69" s="1">
        <v>92.50411764705882</v>
      </c>
      <c r="EV69" s="18">
        <v>83.243529411764712</v>
      </c>
      <c r="EW69" s="18">
        <v>101.76470588235293</v>
      </c>
      <c r="EX69" s="18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>
        <v>753.05882352941171</v>
      </c>
      <c r="FK69" s="7">
        <v>745.52823529411762</v>
      </c>
      <c r="FL69" s="7">
        <v>760.5894117647058</v>
      </c>
      <c r="FO69" s="1">
        <v>67</v>
      </c>
      <c r="FP69" s="1">
        <v>67</v>
      </c>
      <c r="FQ69" s="1">
        <v>67</v>
      </c>
      <c r="FR69" s="12" t="s">
        <v>743</v>
      </c>
      <c r="FS69" s="12" t="s">
        <v>743</v>
      </c>
      <c r="FT69" s="12" t="s">
        <v>743</v>
      </c>
      <c r="FU69" s="12"/>
      <c r="FV69" s="12" t="s">
        <v>743</v>
      </c>
      <c r="FW69" s="12" t="s">
        <v>743</v>
      </c>
      <c r="FX69" s="12" t="s">
        <v>743</v>
      </c>
      <c r="FY69" s="12" t="s">
        <v>743</v>
      </c>
      <c r="FZ69" s="12" t="s">
        <v>743</v>
      </c>
      <c r="GA69" s="12" t="s">
        <v>743</v>
      </c>
      <c r="GB69" s="12" t="s">
        <v>743</v>
      </c>
      <c r="GE69" s="12" t="s">
        <v>743</v>
      </c>
      <c r="GF69" s="12" t="s">
        <v>743</v>
      </c>
      <c r="GH69" s="12" t="s">
        <v>743</v>
      </c>
    </row>
    <row r="70" spans="1:190" ht="12.75" customHeight="1" x14ac:dyDescent="0.2">
      <c r="A70" s="1" t="s">
        <v>286</v>
      </c>
      <c r="B70" s="1" t="s">
        <v>286</v>
      </c>
      <c r="E70" s="1" t="s">
        <v>142</v>
      </c>
      <c r="F70" s="1">
        <v>2</v>
      </c>
      <c r="G70" s="1">
        <v>2035</v>
      </c>
      <c r="H70" s="1">
        <v>0</v>
      </c>
      <c r="I70" s="1">
        <v>0</v>
      </c>
      <c r="J70" s="1">
        <v>1</v>
      </c>
      <c r="K70" s="18"/>
      <c r="L70" s="18"/>
      <c r="M70" s="18"/>
      <c r="N70" s="18">
        <v>0</v>
      </c>
      <c r="O70" s="18">
        <v>0</v>
      </c>
      <c r="P70" s="18">
        <v>334.10754000000009</v>
      </c>
      <c r="Q70" s="18">
        <v>344.22261416666674</v>
      </c>
      <c r="R70" s="18">
        <v>0</v>
      </c>
      <c r="S70" s="18">
        <v>1410.6762799999999</v>
      </c>
      <c r="T70" s="18">
        <v>0</v>
      </c>
      <c r="U70" s="18">
        <v>0</v>
      </c>
      <c r="V70" s="18">
        <v>334.10754000000009</v>
      </c>
      <c r="W70" s="18">
        <v>344.22261416666674</v>
      </c>
      <c r="X70" s="18">
        <v>0</v>
      </c>
      <c r="Y70" s="18">
        <v>1410.6762799999999</v>
      </c>
      <c r="Z70" s="18">
        <v>0</v>
      </c>
      <c r="AA70" s="18">
        <v>0</v>
      </c>
      <c r="AB70" s="18">
        <v>334.10754000000009</v>
      </c>
      <c r="AC70" s="18">
        <v>344.22261416666674</v>
      </c>
      <c r="AD70" s="18">
        <v>0</v>
      </c>
      <c r="AE70" s="18">
        <v>1410.6762799999999</v>
      </c>
      <c r="AF70" s="18">
        <v>0</v>
      </c>
      <c r="AG70" s="18">
        <v>0</v>
      </c>
      <c r="AH70" s="18">
        <v>334.10754000000009</v>
      </c>
      <c r="AI70" s="18">
        <v>344.22261416666674</v>
      </c>
      <c r="AJ70" s="18">
        <v>0</v>
      </c>
      <c r="AK70" s="18">
        <v>1410.6762799999999</v>
      </c>
      <c r="AL70" s="18">
        <v>0</v>
      </c>
      <c r="AM70" s="18">
        <v>0</v>
      </c>
      <c r="AN70" s="18">
        <v>334.10754000000009</v>
      </c>
      <c r="AO70" s="18">
        <v>344.22261416666674</v>
      </c>
      <c r="AP70" s="18">
        <v>0</v>
      </c>
      <c r="AQ70" s="18">
        <v>1410.6762799999999</v>
      </c>
      <c r="AR70" s="18">
        <v>0</v>
      </c>
      <c r="AS70" s="18">
        <v>0</v>
      </c>
      <c r="AT70" s="18">
        <v>334.10754000000009</v>
      </c>
      <c r="AU70" s="18">
        <v>344.22261416666674</v>
      </c>
      <c r="AV70" s="18">
        <v>0</v>
      </c>
      <c r="AW70" s="18">
        <v>1410.6762799999999</v>
      </c>
      <c r="AX70" s="18">
        <v>0</v>
      </c>
      <c r="AY70" s="18">
        <v>0</v>
      </c>
      <c r="AZ70" s="18">
        <v>334.10754000000009</v>
      </c>
      <c r="BA70" s="18">
        <v>344.22261416666674</v>
      </c>
      <c r="BB70" s="18">
        <v>0</v>
      </c>
      <c r="BC70" s="18">
        <v>1410.6762799999999</v>
      </c>
      <c r="BD70" s="18">
        <v>0</v>
      </c>
      <c r="BE70" s="18">
        <v>0</v>
      </c>
      <c r="BF70" s="18">
        <v>334.10754000000009</v>
      </c>
      <c r="BG70" s="18">
        <v>344.22261416666674</v>
      </c>
      <c r="BH70" s="18">
        <v>0</v>
      </c>
      <c r="BI70" s="18">
        <v>1410.6762799999999</v>
      </c>
      <c r="BJ70" s="18">
        <v>0</v>
      </c>
      <c r="BK70" s="18">
        <v>0</v>
      </c>
      <c r="BL70" s="18">
        <v>334.10754000000009</v>
      </c>
      <c r="BM70" s="18">
        <v>344.22261416666674</v>
      </c>
      <c r="BN70" s="18">
        <v>0</v>
      </c>
      <c r="BO70" s="18">
        <v>1410.6762799999999</v>
      </c>
      <c r="BP70" s="18"/>
      <c r="BQ70" s="18"/>
      <c r="BR70" s="18"/>
      <c r="BS70" s="18"/>
      <c r="BT70" s="10">
        <f>Tabelle58971121[[#This Row],[Mindestauslastung durch]]*Tabelle58971121[[#This Row],[installierte Leistung MW durch]]</f>
        <v>481.60293999999993</v>
      </c>
      <c r="BU70" s="10">
        <f>Tabelle58971121[[#This Row],[Mindestauslastung min]]*Tabelle58971121[[#This Row],[installierte Leistung MW min]]</f>
        <v>480.60609999999991</v>
      </c>
      <c r="BV70" s="10">
        <f>Tabelle58971121[[#This Row],[Mindestauslastung max]]*Tabelle58971121[[#This Row],[installierte Leistung MW max]]</f>
        <v>482.59977999999995</v>
      </c>
      <c r="BW70" s="8">
        <v>1.2999999999999999E-2</v>
      </c>
      <c r="BX70" s="8">
        <v>1.2999999999999999E-2</v>
      </c>
      <c r="BY70" s="8">
        <v>1.2999999999999999E-2</v>
      </c>
      <c r="BZ70" s="8"/>
      <c r="CA70" s="8">
        <v>1.270833333333333E-2</v>
      </c>
      <c r="CB70" s="8">
        <v>4.0000000000000001E-3</v>
      </c>
      <c r="CC70" s="8">
        <v>2.1999999999999999E-2</v>
      </c>
      <c r="CD70" s="8">
        <v>1.270833333333333E-2</v>
      </c>
      <c r="CE70" s="8">
        <v>4.0000000000000001E-3</v>
      </c>
      <c r="CF70" s="8">
        <v>2.1999999999999999E-2</v>
      </c>
      <c r="CG70" s="8">
        <v>1.270833333333333E-2</v>
      </c>
      <c r="CH70" s="8">
        <v>4.0000000000000001E-3</v>
      </c>
      <c r="CI70" s="8">
        <v>2.1999999999999999E-2</v>
      </c>
      <c r="CJ70" s="8">
        <v>1.270833333333333E-2</v>
      </c>
      <c r="CK70" s="8">
        <v>4.0000000000000001E-3</v>
      </c>
      <c r="CL70" s="8">
        <v>2.1999999999999999E-2</v>
      </c>
      <c r="CM70" s="8">
        <v>1.270833333333333E-2</v>
      </c>
      <c r="CN70" s="8">
        <v>4.0000000000000001E-3</v>
      </c>
      <c r="CO70" s="8">
        <v>2.1999999999999999E-2</v>
      </c>
      <c r="CP70" s="8">
        <v>1.270833333333333E-2</v>
      </c>
      <c r="CQ70" s="8">
        <v>4.0000000000000001E-3</v>
      </c>
      <c r="CR70" s="8">
        <v>2.1999999999999999E-2</v>
      </c>
      <c r="CS70" s="8">
        <v>1.270833333333333E-2</v>
      </c>
      <c r="CT70" s="8">
        <v>4.0000000000000001E-3</v>
      </c>
      <c r="CU70" s="8">
        <v>2.1999999999999999E-2</v>
      </c>
      <c r="CV70" s="8">
        <v>1.270833333333333E-2</v>
      </c>
      <c r="CW70" s="8">
        <v>4.0000000000000001E-3</v>
      </c>
      <c r="CX70" s="8">
        <v>2.1999999999999999E-2</v>
      </c>
      <c r="CY70" s="8">
        <v>1.270833333333333E-2</v>
      </c>
      <c r="CZ70" s="8">
        <v>4.0000000000000001E-3</v>
      </c>
      <c r="DA70" s="8">
        <v>2.1999999999999999E-2</v>
      </c>
      <c r="DB70" s="8"/>
      <c r="DC70" s="8"/>
      <c r="DD70" s="8"/>
      <c r="DE70" s="48">
        <f>Tabelle58971121[[#This Row],[Durchschnittsauslastung min]]*Tabelle58971121[[#This Row],[installierte Leistung MW min]]</f>
        <v>0</v>
      </c>
      <c r="DF70" s="48">
        <f>Tabelle58971121[[#This Row],[Durchschnittsauslastung durch]]*Tabelle58971121[[#This Row],[installierte Leistung MW durch]]</f>
        <v>0</v>
      </c>
      <c r="DG70" s="48">
        <f>Tabelle58971121[[#This Row],[Durchschnittsauslastung max]]*Tabelle58971121[[#This Row],[installierte Leistung MW max]]</f>
        <v>0</v>
      </c>
      <c r="DH70" s="87">
        <f>Tabelle58971121[[#This Row],[Maximalauslastung durch]]*Tabelle58971121[[#This Row],[installierte Leistung MW min]]</f>
        <v>813.33339999999987</v>
      </c>
      <c r="DI70" s="48">
        <f>Tabelle58971121[[#This Row],[Maximalauslastung durch]]*Tabelle58971121[[#This Row],[installierte Leistung MW durch]]</f>
        <v>815.02035999999987</v>
      </c>
      <c r="DJ70" s="18">
        <f>Tabelle58971121[[#This Row],[Maximalauslastung max]]*Tabelle58971121[[#This Row],[installierte Leistung MW durch]]</f>
        <v>1555.94796</v>
      </c>
      <c r="DK70" s="8">
        <v>2.1999999999999999E-2</v>
      </c>
      <c r="DL70" s="8">
        <v>2.0000000000000022E-3</v>
      </c>
      <c r="DM70" s="8">
        <v>4.2000000000000003E-2</v>
      </c>
      <c r="DN70" s="1">
        <v>37046.379999999997</v>
      </c>
      <c r="DO70" s="1">
        <v>36969.699999999997</v>
      </c>
      <c r="DP70" s="1">
        <v>37123.06</v>
      </c>
      <c r="DQ70" s="18"/>
      <c r="DR70" s="18"/>
      <c r="DW70" s="1">
        <v>2.25</v>
      </c>
      <c r="DX70" s="1">
        <v>1.5</v>
      </c>
      <c r="DY70" s="1">
        <v>3</v>
      </c>
      <c r="DZ70" s="1">
        <v>2.25</v>
      </c>
      <c r="EA70" s="1">
        <v>1.5</v>
      </c>
      <c r="EB70" s="1">
        <v>3</v>
      </c>
      <c r="EC70" s="1">
        <v>18</v>
      </c>
      <c r="ED70" s="1">
        <v>12</v>
      </c>
      <c r="EE70" s="1">
        <v>24</v>
      </c>
      <c r="EF70" s="1">
        <v>18</v>
      </c>
      <c r="EG70" s="1">
        <v>18</v>
      </c>
      <c r="EH70" s="1">
        <v>18</v>
      </c>
      <c r="EL70" s="1" t="s">
        <v>1046</v>
      </c>
      <c r="EM70" s="1" t="s">
        <v>1046</v>
      </c>
      <c r="EN70" s="1" t="s">
        <v>1046</v>
      </c>
      <c r="EO70" s="10"/>
      <c r="EP70" s="10"/>
      <c r="EQ70" s="10"/>
      <c r="ER70" s="1">
        <v>280</v>
      </c>
      <c r="ES70" s="1">
        <v>252</v>
      </c>
      <c r="ET70" s="1">
        <v>308</v>
      </c>
      <c r="EU70" s="1">
        <v>92.50411764705882</v>
      </c>
      <c r="EV70" s="18">
        <v>83.243529411764712</v>
      </c>
      <c r="EW70" s="18">
        <v>101.76470588235293</v>
      </c>
      <c r="EX70" s="18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>
        <v>753.05882352941171</v>
      </c>
      <c r="FK70" s="7">
        <v>745.52823529411762</v>
      </c>
      <c r="FL70" s="7">
        <v>760.5894117647058</v>
      </c>
      <c r="FO70" s="1">
        <v>67</v>
      </c>
      <c r="FP70" s="1">
        <v>67</v>
      </c>
      <c r="FQ70" s="1">
        <v>67</v>
      </c>
      <c r="FR70" s="12" t="s">
        <v>743</v>
      </c>
      <c r="FS70" s="12" t="s">
        <v>743</v>
      </c>
      <c r="FT70" s="12" t="s">
        <v>743</v>
      </c>
      <c r="FU70" s="12"/>
      <c r="FV70" s="12" t="s">
        <v>743</v>
      </c>
      <c r="FW70" s="12" t="s">
        <v>743</v>
      </c>
      <c r="FX70" s="12" t="s">
        <v>743</v>
      </c>
      <c r="FY70" s="12" t="s">
        <v>743</v>
      </c>
      <c r="FZ70" s="12" t="s">
        <v>743</v>
      </c>
      <c r="GA70" s="12" t="s">
        <v>743</v>
      </c>
      <c r="GB70" s="12" t="s">
        <v>743</v>
      </c>
      <c r="GE70" s="12" t="s">
        <v>743</v>
      </c>
      <c r="GF70" s="12" t="s">
        <v>743</v>
      </c>
      <c r="GH70" s="12" t="s">
        <v>743</v>
      </c>
    </row>
    <row r="71" spans="1:190" ht="12.75" customHeight="1" x14ac:dyDescent="0.2">
      <c r="A71" s="1" t="s">
        <v>286</v>
      </c>
      <c r="B71" s="1" t="s">
        <v>286</v>
      </c>
      <c r="E71" s="1" t="s">
        <v>142</v>
      </c>
      <c r="F71" s="1">
        <v>2</v>
      </c>
      <c r="G71" s="1">
        <v>2040</v>
      </c>
      <c r="H71" s="1">
        <v>0</v>
      </c>
      <c r="I71" s="1">
        <v>0</v>
      </c>
      <c r="J71" s="1">
        <v>1</v>
      </c>
      <c r="K71" s="18"/>
      <c r="L71" s="18"/>
      <c r="M71" s="18"/>
      <c r="N71" s="18">
        <v>0</v>
      </c>
      <c r="O71" s="18">
        <v>0</v>
      </c>
      <c r="P71" s="18">
        <v>315.28458000000012</v>
      </c>
      <c r="Q71" s="18">
        <v>324.82979083333345</v>
      </c>
      <c r="R71" s="18">
        <v>0</v>
      </c>
      <c r="S71" s="18">
        <v>1331.20156</v>
      </c>
      <c r="T71" s="18">
        <v>0</v>
      </c>
      <c r="U71" s="18">
        <v>0</v>
      </c>
      <c r="V71" s="18">
        <v>315.28458000000012</v>
      </c>
      <c r="W71" s="18">
        <v>324.82979083333345</v>
      </c>
      <c r="X71" s="18">
        <v>0</v>
      </c>
      <c r="Y71" s="18">
        <v>1331.20156</v>
      </c>
      <c r="Z71" s="18">
        <v>0</v>
      </c>
      <c r="AA71" s="18">
        <v>0</v>
      </c>
      <c r="AB71" s="18">
        <v>315.28458000000012</v>
      </c>
      <c r="AC71" s="18">
        <v>324.82979083333345</v>
      </c>
      <c r="AD71" s="18">
        <v>0</v>
      </c>
      <c r="AE71" s="18">
        <v>1331.20156</v>
      </c>
      <c r="AF71" s="18">
        <v>0</v>
      </c>
      <c r="AG71" s="18">
        <v>0</v>
      </c>
      <c r="AH71" s="18">
        <v>315.28458000000012</v>
      </c>
      <c r="AI71" s="18">
        <v>324.82979083333345</v>
      </c>
      <c r="AJ71" s="18">
        <v>0</v>
      </c>
      <c r="AK71" s="18">
        <v>1331.20156</v>
      </c>
      <c r="AL71" s="18">
        <v>0</v>
      </c>
      <c r="AM71" s="18">
        <v>0</v>
      </c>
      <c r="AN71" s="18">
        <v>315.28458000000012</v>
      </c>
      <c r="AO71" s="18">
        <v>324.82979083333345</v>
      </c>
      <c r="AP71" s="18">
        <v>0</v>
      </c>
      <c r="AQ71" s="18">
        <v>1331.20156</v>
      </c>
      <c r="AR71" s="18">
        <v>0</v>
      </c>
      <c r="AS71" s="18">
        <v>0</v>
      </c>
      <c r="AT71" s="18">
        <v>315.28458000000012</v>
      </c>
      <c r="AU71" s="18">
        <v>324.82979083333345</v>
      </c>
      <c r="AV71" s="18">
        <v>0</v>
      </c>
      <c r="AW71" s="18">
        <v>1331.20156</v>
      </c>
      <c r="AX71" s="18">
        <v>0</v>
      </c>
      <c r="AY71" s="18">
        <v>0</v>
      </c>
      <c r="AZ71" s="18">
        <v>315.28458000000012</v>
      </c>
      <c r="BA71" s="18">
        <v>324.82979083333345</v>
      </c>
      <c r="BB71" s="18">
        <v>0</v>
      </c>
      <c r="BC71" s="18">
        <v>1331.20156</v>
      </c>
      <c r="BD71" s="18">
        <v>0</v>
      </c>
      <c r="BE71" s="18">
        <v>0</v>
      </c>
      <c r="BF71" s="18">
        <v>315.28458000000012</v>
      </c>
      <c r="BG71" s="18">
        <v>324.82979083333345</v>
      </c>
      <c r="BH71" s="18">
        <v>0</v>
      </c>
      <c r="BI71" s="18">
        <v>1331.20156</v>
      </c>
      <c r="BJ71" s="18">
        <v>0</v>
      </c>
      <c r="BK71" s="18">
        <v>0</v>
      </c>
      <c r="BL71" s="18">
        <v>315.28458000000012</v>
      </c>
      <c r="BM71" s="18">
        <v>324.82979083333345</v>
      </c>
      <c r="BN71" s="18">
        <v>0</v>
      </c>
      <c r="BO71" s="18">
        <v>1331.20156</v>
      </c>
      <c r="BP71" s="18"/>
      <c r="BQ71" s="18"/>
      <c r="BR71" s="18"/>
      <c r="BS71" s="18"/>
      <c r="BT71" s="10">
        <f>Tabelle58971121[[#This Row],[Mindestauslastung durch]]*Tabelle58971121[[#This Row],[installierte Leistung MW durch]]</f>
        <v>454.47037999999998</v>
      </c>
      <c r="BU71" s="10">
        <f>Tabelle58971121[[#This Row],[Mindestauslastung min]]*Tabelle58971121[[#This Row],[installierte Leistung MW min]]</f>
        <v>453.52969999999999</v>
      </c>
      <c r="BV71" s="10">
        <f>Tabelle58971121[[#This Row],[Mindestauslastung max]]*Tabelle58971121[[#This Row],[installierte Leistung MW max]]</f>
        <v>455.41106000000002</v>
      </c>
      <c r="BW71" s="8">
        <v>1.2999999999999999E-2</v>
      </c>
      <c r="BX71" s="8">
        <v>1.2999999999999999E-2</v>
      </c>
      <c r="BY71" s="8">
        <v>1.2999999999999999E-2</v>
      </c>
      <c r="BZ71" s="8"/>
      <c r="CA71" s="8">
        <v>1.270833333333333E-2</v>
      </c>
      <c r="CB71" s="8">
        <v>4.0000000000000001E-3</v>
      </c>
      <c r="CC71" s="8">
        <v>2.1999999999999999E-2</v>
      </c>
      <c r="CD71" s="8">
        <v>1.270833333333333E-2</v>
      </c>
      <c r="CE71" s="8">
        <v>4.0000000000000001E-3</v>
      </c>
      <c r="CF71" s="8">
        <v>2.1999999999999999E-2</v>
      </c>
      <c r="CG71" s="8">
        <v>1.270833333333333E-2</v>
      </c>
      <c r="CH71" s="8">
        <v>4.0000000000000001E-3</v>
      </c>
      <c r="CI71" s="8">
        <v>2.1999999999999999E-2</v>
      </c>
      <c r="CJ71" s="8">
        <v>1.270833333333333E-2</v>
      </c>
      <c r="CK71" s="8">
        <v>4.0000000000000001E-3</v>
      </c>
      <c r="CL71" s="8">
        <v>2.1999999999999999E-2</v>
      </c>
      <c r="CM71" s="8">
        <v>1.270833333333333E-2</v>
      </c>
      <c r="CN71" s="8">
        <v>4.0000000000000001E-3</v>
      </c>
      <c r="CO71" s="8">
        <v>2.1999999999999999E-2</v>
      </c>
      <c r="CP71" s="8">
        <v>1.270833333333333E-2</v>
      </c>
      <c r="CQ71" s="8">
        <v>4.0000000000000001E-3</v>
      </c>
      <c r="CR71" s="8">
        <v>2.1999999999999999E-2</v>
      </c>
      <c r="CS71" s="8">
        <v>1.270833333333333E-2</v>
      </c>
      <c r="CT71" s="8">
        <v>4.0000000000000001E-3</v>
      </c>
      <c r="CU71" s="8">
        <v>2.1999999999999999E-2</v>
      </c>
      <c r="CV71" s="8">
        <v>1.270833333333333E-2</v>
      </c>
      <c r="CW71" s="8">
        <v>4.0000000000000001E-3</v>
      </c>
      <c r="CX71" s="8">
        <v>2.1999999999999999E-2</v>
      </c>
      <c r="CY71" s="8">
        <v>1.270833333333333E-2</v>
      </c>
      <c r="CZ71" s="8">
        <v>4.0000000000000001E-3</v>
      </c>
      <c r="DA71" s="8">
        <v>2.1999999999999999E-2</v>
      </c>
      <c r="DB71" s="8"/>
      <c r="DC71" s="8"/>
      <c r="DD71" s="8"/>
      <c r="DE71" s="48">
        <f>Tabelle58971121[[#This Row],[Durchschnittsauslastung min]]*Tabelle58971121[[#This Row],[installierte Leistung MW min]]</f>
        <v>0</v>
      </c>
      <c r="DF71" s="48">
        <f>Tabelle58971121[[#This Row],[Durchschnittsauslastung durch]]*Tabelle58971121[[#This Row],[installierte Leistung MW durch]]</f>
        <v>0</v>
      </c>
      <c r="DG71" s="48">
        <f>Tabelle58971121[[#This Row],[Durchschnittsauslastung max]]*Tabelle58971121[[#This Row],[installierte Leistung MW max]]</f>
        <v>0</v>
      </c>
      <c r="DH71" s="87">
        <f>Tabelle58971121[[#This Row],[Maximalauslastung durch]]*Tabelle58971121[[#This Row],[installierte Leistung MW min]]</f>
        <v>767.51179999999999</v>
      </c>
      <c r="DI71" s="48">
        <f>Tabelle58971121[[#This Row],[Maximalauslastung durch]]*Tabelle58971121[[#This Row],[installierte Leistung MW durch]]</f>
        <v>769.10371999999995</v>
      </c>
      <c r="DJ71" s="18">
        <f>Tabelle58971121[[#This Row],[Maximalauslastung max]]*Tabelle58971121[[#This Row],[installierte Leistung MW durch]]</f>
        <v>1468.2889200000002</v>
      </c>
      <c r="DK71" s="8">
        <v>2.1999999999999999E-2</v>
      </c>
      <c r="DL71" s="8">
        <v>2.0000000000000022E-3</v>
      </c>
      <c r="DM71" s="8">
        <v>4.2000000000000003E-2</v>
      </c>
      <c r="DN71" s="1">
        <v>34959.26</v>
      </c>
      <c r="DO71" s="1">
        <v>34886.9</v>
      </c>
      <c r="DP71" s="1">
        <v>35031.620000000003</v>
      </c>
      <c r="DQ71" s="18"/>
      <c r="DR71" s="18"/>
      <c r="DW71" s="1">
        <v>2.25</v>
      </c>
      <c r="DX71" s="1">
        <v>1.5</v>
      </c>
      <c r="DY71" s="1">
        <v>3</v>
      </c>
      <c r="DZ71" s="1">
        <v>2.25</v>
      </c>
      <c r="EA71" s="1">
        <v>1.5</v>
      </c>
      <c r="EB71" s="1">
        <v>3</v>
      </c>
      <c r="EC71" s="1">
        <v>18</v>
      </c>
      <c r="ED71" s="1">
        <v>12</v>
      </c>
      <c r="EE71" s="1">
        <v>24</v>
      </c>
      <c r="EF71" s="1">
        <v>18</v>
      </c>
      <c r="EG71" s="1">
        <v>18</v>
      </c>
      <c r="EH71" s="1">
        <v>18</v>
      </c>
      <c r="EL71" s="1" t="s">
        <v>1046</v>
      </c>
      <c r="EM71" s="1" t="s">
        <v>1046</v>
      </c>
      <c r="EN71" s="1" t="s">
        <v>1046</v>
      </c>
      <c r="EO71" s="10"/>
      <c r="EP71" s="10"/>
      <c r="EQ71" s="10"/>
      <c r="ER71" s="1">
        <v>280</v>
      </c>
      <c r="ES71" s="1">
        <v>252</v>
      </c>
      <c r="ET71" s="1">
        <v>308</v>
      </c>
      <c r="EU71" s="1">
        <v>92.50411764705882</v>
      </c>
      <c r="EV71" s="18">
        <v>83.243529411764712</v>
      </c>
      <c r="EW71" s="18">
        <v>101.76470588235293</v>
      </c>
      <c r="EX71" s="18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>
        <v>753.05882352941171</v>
      </c>
      <c r="FK71" s="7">
        <v>745.52823529411762</v>
      </c>
      <c r="FL71" s="7">
        <v>760.5894117647058</v>
      </c>
      <c r="FO71" s="1">
        <v>67</v>
      </c>
      <c r="FP71" s="1">
        <v>67</v>
      </c>
      <c r="FQ71" s="1">
        <v>67</v>
      </c>
      <c r="FR71" s="12" t="s">
        <v>743</v>
      </c>
      <c r="FS71" s="12" t="s">
        <v>743</v>
      </c>
      <c r="FT71" s="12" t="s">
        <v>743</v>
      </c>
      <c r="FU71" s="12"/>
      <c r="FV71" s="12" t="s">
        <v>743</v>
      </c>
      <c r="FW71" s="12" t="s">
        <v>743</v>
      </c>
      <c r="FX71" s="12" t="s">
        <v>743</v>
      </c>
      <c r="FY71" s="12" t="s">
        <v>743</v>
      </c>
      <c r="FZ71" s="12" t="s">
        <v>743</v>
      </c>
      <c r="GA71" s="12" t="s">
        <v>743</v>
      </c>
      <c r="GB71" s="12" t="s">
        <v>743</v>
      </c>
      <c r="GE71" s="12" t="s">
        <v>743</v>
      </c>
      <c r="GF71" s="12" t="s">
        <v>743</v>
      </c>
      <c r="GH71" s="12" t="s">
        <v>743</v>
      </c>
    </row>
    <row r="72" spans="1:190" ht="12.75" customHeight="1" x14ac:dyDescent="0.2">
      <c r="A72" s="1" t="s">
        <v>286</v>
      </c>
      <c r="B72" s="1" t="s">
        <v>286</v>
      </c>
      <c r="E72" s="1" t="s">
        <v>142</v>
      </c>
      <c r="F72" s="1">
        <v>2</v>
      </c>
      <c r="G72" s="1">
        <v>2045</v>
      </c>
      <c r="H72" s="1">
        <v>0</v>
      </c>
      <c r="I72" s="1">
        <v>0</v>
      </c>
      <c r="J72" s="1">
        <v>1</v>
      </c>
      <c r="K72" s="18"/>
      <c r="L72" s="18"/>
      <c r="M72" s="18"/>
      <c r="N72" s="18">
        <v>0</v>
      </c>
      <c r="O72" s="18">
        <v>0</v>
      </c>
      <c r="P72" s="18">
        <v>301.16736000000009</v>
      </c>
      <c r="Q72" s="18">
        <v>310.28517333333343</v>
      </c>
      <c r="R72" s="18">
        <v>0</v>
      </c>
      <c r="S72" s="18">
        <v>1271.5955200000001</v>
      </c>
      <c r="T72" s="18">
        <v>0</v>
      </c>
      <c r="U72" s="18">
        <v>0</v>
      </c>
      <c r="V72" s="18">
        <v>301.16736000000009</v>
      </c>
      <c r="W72" s="18">
        <v>310.28517333333343</v>
      </c>
      <c r="X72" s="18">
        <v>0</v>
      </c>
      <c r="Y72" s="18">
        <v>1271.5955200000001</v>
      </c>
      <c r="Z72" s="18">
        <v>0</v>
      </c>
      <c r="AA72" s="18">
        <v>0</v>
      </c>
      <c r="AB72" s="18">
        <v>301.16736000000009</v>
      </c>
      <c r="AC72" s="18">
        <v>310.28517333333343</v>
      </c>
      <c r="AD72" s="18">
        <v>0</v>
      </c>
      <c r="AE72" s="18">
        <v>1271.5955200000001</v>
      </c>
      <c r="AF72" s="18">
        <v>0</v>
      </c>
      <c r="AG72" s="18">
        <v>0</v>
      </c>
      <c r="AH72" s="18">
        <v>301.16736000000009</v>
      </c>
      <c r="AI72" s="18">
        <v>310.28517333333343</v>
      </c>
      <c r="AJ72" s="18">
        <v>0</v>
      </c>
      <c r="AK72" s="18">
        <v>1271.5955200000001</v>
      </c>
      <c r="AL72" s="18">
        <v>0</v>
      </c>
      <c r="AM72" s="18">
        <v>0</v>
      </c>
      <c r="AN72" s="18">
        <v>301.16736000000009</v>
      </c>
      <c r="AO72" s="18">
        <v>310.28517333333343</v>
      </c>
      <c r="AP72" s="18">
        <v>0</v>
      </c>
      <c r="AQ72" s="18">
        <v>1271.5955200000001</v>
      </c>
      <c r="AR72" s="18">
        <v>0</v>
      </c>
      <c r="AS72" s="18">
        <v>0</v>
      </c>
      <c r="AT72" s="18">
        <v>301.16736000000009</v>
      </c>
      <c r="AU72" s="18">
        <v>310.28517333333343</v>
      </c>
      <c r="AV72" s="18">
        <v>0</v>
      </c>
      <c r="AW72" s="18">
        <v>1271.5955200000001</v>
      </c>
      <c r="AX72" s="18">
        <v>0</v>
      </c>
      <c r="AY72" s="18">
        <v>0</v>
      </c>
      <c r="AZ72" s="18">
        <v>301.16736000000009</v>
      </c>
      <c r="BA72" s="18">
        <v>310.28517333333343</v>
      </c>
      <c r="BB72" s="18">
        <v>0</v>
      </c>
      <c r="BC72" s="18">
        <v>1271.5955200000001</v>
      </c>
      <c r="BD72" s="18">
        <v>0</v>
      </c>
      <c r="BE72" s="18">
        <v>0</v>
      </c>
      <c r="BF72" s="18">
        <v>301.16736000000009</v>
      </c>
      <c r="BG72" s="18">
        <v>310.28517333333343</v>
      </c>
      <c r="BH72" s="18">
        <v>0</v>
      </c>
      <c r="BI72" s="18">
        <v>1271.5955200000001</v>
      </c>
      <c r="BJ72" s="18">
        <v>0</v>
      </c>
      <c r="BK72" s="18">
        <v>0</v>
      </c>
      <c r="BL72" s="18">
        <v>301.16736000000009</v>
      </c>
      <c r="BM72" s="18">
        <v>310.28517333333343</v>
      </c>
      <c r="BN72" s="18">
        <v>0</v>
      </c>
      <c r="BO72" s="18">
        <v>1271.5955200000001</v>
      </c>
      <c r="BP72" s="18"/>
      <c r="BQ72" s="18"/>
      <c r="BR72" s="18"/>
      <c r="BS72" s="18"/>
      <c r="BT72" s="10">
        <f>Tabelle58971121[[#This Row],[Mindestauslastung durch]]*Tabelle58971121[[#This Row],[installierte Leistung MW durch]]</f>
        <v>434.12095999999997</v>
      </c>
      <c r="BU72" s="10">
        <f>Tabelle58971121[[#This Row],[Mindestauslastung min]]*Tabelle58971121[[#This Row],[installierte Leistung MW min]]</f>
        <v>433.22239999999999</v>
      </c>
      <c r="BV72" s="10">
        <f>Tabelle58971121[[#This Row],[Mindestauslastung max]]*Tabelle58971121[[#This Row],[installierte Leistung MW max]]</f>
        <v>435.01952</v>
      </c>
      <c r="BW72" s="8">
        <v>1.2999999999999999E-2</v>
      </c>
      <c r="BX72" s="8">
        <v>1.2999999999999999E-2</v>
      </c>
      <c r="BY72" s="8">
        <v>1.2999999999999999E-2</v>
      </c>
      <c r="BZ72" s="8"/>
      <c r="CA72" s="8">
        <v>1.270833333333333E-2</v>
      </c>
      <c r="CB72" s="8">
        <v>4.0000000000000001E-3</v>
      </c>
      <c r="CC72" s="8">
        <v>2.1999999999999999E-2</v>
      </c>
      <c r="CD72" s="8">
        <v>1.270833333333333E-2</v>
      </c>
      <c r="CE72" s="8">
        <v>4.0000000000000001E-3</v>
      </c>
      <c r="CF72" s="8">
        <v>2.1999999999999999E-2</v>
      </c>
      <c r="CG72" s="8">
        <v>1.270833333333333E-2</v>
      </c>
      <c r="CH72" s="8">
        <v>4.0000000000000001E-3</v>
      </c>
      <c r="CI72" s="8">
        <v>2.1999999999999999E-2</v>
      </c>
      <c r="CJ72" s="8">
        <v>1.270833333333333E-2</v>
      </c>
      <c r="CK72" s="8">
        <v>4.0000000000000001E-3</v>
      </c>
      <c r="CL72" s="8">
        <v>2.1999999999999999E-2</v>
      </c>
      <c r="CM72" s="8">
        <v>1.270833333333333E-2</v>
      </c>
      <c r="CN72" s="8">
        <v>4.0000000000000001E-3</v>
      </c>
      <c r="CO72" s="8">
        <v>2.1999999999999999E-2</v>
      </c>
      <c r="CP72" s="8">
        <v>1.270833333333333E-2</v>
      </c>
      <c r="CQ72" s="8">
        <v>4.0000000000000001E-3</v>
      </c>
      <c r="CR72" s="8">
        <v>2.1999999999999999E-2</v>
      </c>
      <c r="CS72" s="8">
        <v>1.270833333333333E-2</v>
      </c>
      <c r="CT72" s="8">
        <v>4.0000000000000001E-3</v>
      </c>
      <c r="CU72" s="8">
        <v>2.1999999999999999E-2</v>
      </c>
      <c r="CV72" s="8">
        <v>1.270833333333333E-2</v>
      </c>
      <c r="CW72" s="8">
        <v>4.0000000000000001E-3</v>
      </c>
      <c r="CX72" s="8">
        <v>2.1999999999999999E-2</v>
      </c>
      <c r="CY72" s="8">
        <v>1.270833333333333E-2</v>
      </c>
      <c r="CZ72" s="8">
        <v>4.0000000000000001E-3</v>
      </c>
      <c r="DA72" s="8">
        <v>2.1999999999999999E-2</v>
      </c>
      <c r="DB72" s="8"/>
      <c r="DC72" s="8"/>
      <c r="DD72" s="8"/>
      <c r="DE72" s="48">
        <f>Tabelle58971121[[#This Row],[Durchschnittsauslastung min]]*Tabelle58971121[[#This Row],[installierte Leistung MW min]]</f>
        <v>0</v>
      </c>
      <c r="DF72" s="48">
        <f>Tabelle58971121[[#This Row],[Durchschnittsauslastung durch]]*Tabelle58971121[[#This Row],[installierte Leistung MW durch]]</f>
        <v>0</v>
      </c>
      <c r="DG72" s="48">
        <f>Tabelle58971121[[#This Row],[Durchschnittsauslastung max]]*Tabelle58971121[[#This Row],[installierte Leistung MW max]]</f>
        <v>0</v>
      </c>
      <c r="DH72" s="87">
        <f>Tabelle58971121[[#This Row],[Maximalauslastung durch]]*Tabelle58971121[[#This Row],[installierte Leistung MW min]]</f>
        <v>733.14560000000006</v>
      </c>
      <c r="DI72" s="48">
        <f>Tabelle58971121[[#This Row],[Maximalauslastung durch]]*Tabelle58971121[[#This Row],[installierte Leistung MW durch]]</f>
        <v>734.6662399999999</v>
      </c>
      <c r="DJ72" s="18">
        <f>Tabelle58971121[[#This Row],[Maximalauslastung max]]*Tabelle58971121[[#This Row],[installierte Leistung MW durch]]</f>
        <v>1402.5446400000001</v>
      </c>
      <c r="DK72" s="8">
        <v>2.1999999999999999E-2</v>
      </c>
      <c r="DL72" s="8">
        <v>2.0000000000000022E-3</v>
      </c>
      <c r="DM72" s="8">
        <v>4.2000000000000003E-2</v>
      </c>
      <c r="DN72" s="1">
        <v>33393.919999999998</v>
      </c>
      <c r="DO72" s="1">
        <v>33324.800000000003</v>
      </c>
      <c r="DP72" s="1">
        <v>33463.040000000001</v>
      </c>
      <c r="DQ72" s="18"/>
      <c r="DR72" s="18"/>
      <c r="DW72" s="1">
        <v>2.25</v>
      </c>
      <c r="DX72" s="1">
        <v>1.5</v>
      </c>
      <c r="DY72" s="1">
        <v>3</v>
      </c>
      <c r="DZ72" s="1">
        <v>2.25</v>
      </c>
      <c r="EA72" s="1">
        <v>1.5</v>
      </c>
      <c r="EB72" s="1">
        <v>3</v>
      </c>
      <c r="EC72" s="1">
        <v>18</v>
      </c>
      <c r="ED72" s="1">
        <v>12</v>
      </c>
      <c r="EE72" s="1">
        <v>24</v>
      </c>
      <c r="EF72" s="1">
        <v>18</v>
      </c>
      <c r="EG72" s="1">
        <v>18</v>
      </c>
      <c r="EH72" s="1">
        <v>18</v>
      </c>
      <c r="EL72" s="1" t="s">
        <v>1046</v>
      </c>
      <c r="EM72" s="1" t="s">
        <v>1046</v>
      </c>
      <c r="EN72" s="1" t="s">
        <v>1046</v>
      </c>
      <c r="EO72" s="10"/>
      <c r="EP72" s="10"/>
      <c r="EQ72" s="10"/>
      <c r="ER72" s="1">
        <v>280</v>
      </c>
      <c r="ES72" s="1">
        <v>252</v>
      </c>
      <c r="ET72" s="1">
        <v>308</v>
      </c>
      <c r="EU72" s="1">
        <v>92.50411764705882</v>
      </c>
      <c r="EV72" s="18">
        <v>83.243529411764712</v>
      </c>
      <c r="EW72" s="18">
        <v>101.76470588235293</v>
      </c>
      <c r="EX72" s="18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>
        <v>753.05882352941171</v>
      </c>
      <c r="FK72" s="7">
        <v>745.52823529411762</v>
      </c>
      <c r="FL72" s="7">
        <v>760.5894117647058</v>
      </c>
      <c r="FO72" s="1">
        <v>67</v>
      </c>
      <c r="FP72" s="1">
        <v>67</v>
      </c>
      <c r="FQ72" s="1">
        <v>67</v>
      </c>
      <c r="FR72" s="12" t="s">
        <v>743</v>
      </c>
      <c r="FS72" s="12" t="s">
        <v>743</v>
      </c>
      <c r="FT72" s="12" t="s">
        <v>743</v>
      </c>
      <c r="FU72" s="12"/>
      <c r="FV72" s="12" t="s">
        <v>743</v>
      </c>
      <c r="FW72" s="12" t="s">
        <v>743</v>
      </c>
      <c r="FX72" s="12" t="s">
        <v>743</v>
      </c>
      <c r="FY72" s="12" t="s">
        <v>743</v>
      </c>
      <c r="FZ72" s="12" t="s">
        <v>743</v>
      </c>
      <c r="GA72" s="12" t="s">
        <v>743</v>
      </c>
      <c r="GB72" s="12" t="s">
        <v>743</v>
      </c>
      <c r="GE72" s="12" t="s">
        <v>743</v>
      </c>
      <c r="GF72" s="12" t="s">
        <v>743</v>
      </c>
      <c r="GH72" s="12" t="s">
        <v>743</v>
      </c>
    </row>
    <row r="73" spans="1:190" ht="12.75" customHeight="1" x14ac:dyDescent="0.2">
      <c r="A73" s="1" t="s">
        <v>286</v>
      </c>
      <c r="B73" s="1" t="s">
        <v>286</v>
      </c>
      <c r="E73" s="1" t="s">
        <v>142</v>
      </c>
      <c r="F73" s="1">
        <v>2</v>
      </c>
      <c r="G73" s="1">
        <v>2050</v>
      </c>
      <c r="H73" s="1">
        <v>0</v>
      </c>
      <c r="I73" s="1">
        <v>0</v>
      </c>
      <c r="J73" s="1">
        <v>1</v>
      </c>
      <c r="K73" s="18"/>
      <c r="L73" s="18"/>
      <c r="M73" s="18"/>
      <c r="N73" s="18">
        <v>0</v>
      </c>
      <c r="O73" s="18">
        <v>0</v>
      </c>
      <c r="P73" s="18">
        <v>277.63866000000007</v>
      </c>
      <c r="Q73" s="18">
        <v>286.04414416666674</v>
      </c>
      <c r="R73" s="18">
        <v>0</v>
      </c>
      <c r="S73" s="18">
        <v>1172.2521199999999</v>
      </c>
      <c r="T73" s="18">
        <v>0</v>
      </c>
      <c r="U73" s="18">
        <v>0</v>
      </c>
      <c r="V73" s="18">
        <v>277.63866000000007</v>
      </c>
      <c r="W73" s="18">
        <v>286.04414416666674</v>
      </c>
      <c r="X73" s="18">
        <v>0</v>
      </c>
      <c r="Y73" s="18">
        <v>1172.2521199999999</v>
      </c>
      <c r="Z73" s="18">
        <v>0</v>
      </c>
      <c r="AA73" s="18">
        <v>0</v>
      </c>
      <c r="AB73" s="18">
        <v>277.63866000000007</v>
      </c>
      <c r="AC73" s="18">
        <v>286.04414416666674</v>
      </c>
      <c r="AD73" s="18">
        <v>0</v>
      </c>
      <c r="AE73" s="18">
        <v>1172.2521199999999</v>
      </c>
      <c r="AF73" s="18">
        <v>0</v>
      </c>
      <c r="AG73" s="18">
        <v>0</v>
      </c>
      <c r="AH73" s="18">
        <v>277.63866000000007</v>
      </c>
      <c r="AI73" s="18">
        <v>286.04414416666674</v>
      </c>
      <c r="AJ73" s="18">
        <v>0</v>
      </c>
      <c r="AK73" s="18">
        <v>1172.2521199999999</v>
      </c>
      <c r="AL73" s="18">
        <v>0</v>
      </c>
      <c r="AM73" s="18">
        <v>0</v>
      </c>
      <c r="AN73" s="18">
        <v>277.63866000000007</v>
      </c>
      <c r="AO73" s="18">
        <v>286.04414416666674</v>
      </c>
      <c r="AP73" s="18">
        <v>0</v>
      </c>
      <c r="AQ73" s="18">
        <v>1172.2521199999999</v>
      </c>
      <c r="AR73" s="18">
        <v>0</v>
      </c>
      <c r="AS73" s="18">
        <v>0</v>
      </c>
      <c r="AT73" s="18">
        <v>277.63866000000007</v>
      </c>
      <c r="AU73" s="18">
        <v>286.04414416666674</v>
      </c>
      <c r="AV73" s="18">
        <v>0</v>
      </c>
      <c r="AW73" s="18">
        <v>1172.2521199999999</v>
      </c>
      <c r="AX73" s="18">
        <v>0</v>
      </c>
      <c r="AY73" s="18">
        <v>0</v>
      </c>
      <c r="AZ73" s="18">
        <v>277.63866000000007</v>
      </c>
      <c r="BA73" s="18">
        <v>286.04414416666674</v>
      </c>
      <c r="BB73" s="18">
        <v>0</v>
      </c>
      <c r="BC73" s="18">
        <v>1172.2521199999999</v>
      </c>
      <c r="BD73" s="18">
        <v>0</v>
      </c>
      <c r="BE73" s="18">
        <v>0</v>
      </c>
      <c r="BF73" s="18">
        <v>277.63866000000007</v>
      </c>
      <c r="BG73" s="18">
        <v>286.04414416666674</v>
      </c>
      <c r="BH73" s="18">
        <v>0</v>
      </c>
      <c r="BI73" s="18">
        <v>1172.2521199999999</v>
      </c>
      <c r="BJ73" s="18">
        <v>0</v>
      </c>
      <c r="BK73" s="18">
        <v>0</v>
      </c>
      <c r="BL73" s="18">
        <v>277.63866000000007</v>
      </c>
      <c r="BM73" s="18">
        <v>286.04414416666674</v>
      </c>
      <c r="BN73" s="18">
        <v>0</v>
      </c>
      <c r="BO73" s="18">
        <v>1172.2521199999999</v>
      </c>
      <c r="BP73" s="18"/>
      <c r="BQ73" s="18"/>
      <c r="BR73" s="18"/>
      <c r="BS73" s="18"/>
      <c r="BT73" s="10">
        <f>Tabelle58971121[[#This Row],[Mindestauslastung durch]]*Tabelle58971121[[#This Row],[installierte Leistung MW durch]]</f>
        <v>400.20526000000001</v>
      </c>
      <c r="BU73" s="10">
        <f>Tabelle58971121[[#This Row],[Mindestauslastung min]]*Tabelle58971121[[#This Row],[installierte Leistung MW min]]</f>
        <v>399.37689999999998</v>
      </c>
      <c r="BV73" s="10">
        <f>Tabelle58971121[[#This Row],[Mindestauslastung max]]*Tabelle58971121[[#This Row],[installierte Leistung MW max]]</f>
        <v>401.03361999999998</v>
      </c>
      <c r="BW73" s="8">
        <v>1.2999999999999999E-2</v>
      </c>
      <c r="BX73" s="8">
        <v>1.2999999999999999E-2</v>
      </c>
      <c r="BY73" s="8">
        <v>1.2999999999999999E-2</v>
      </c>
      <c r="BZ73" s="8"/>
      <c r="CA73" s="8">
        <v>1.270833333333333E-2</v>
      </c>
      <c r="CB73" s="8">
        <v>4.0000000000000001E-3</v>
      </c>
      <c r="CC73" s="8">
        <v>2.1999999999999999E-2</v>
      </c>
      <c r="CD73" s="8">
        <v>1.270833333333333E-2</v>
      </c>
      <c r="CE73" s="8">
        <v>4.0000000000000001E-3</v>
      </c>
      <c r="CF73" s="8">
        <v>2.1999999999999999E-2</v>
      </c>
      <c r="CG73" s="8">
        <v>1.270833333333333E-2</v>
      </c>
      <c r="CH73" s="8">
        <v>4.0000000000000001E-3</v>
      </c>
      <c r="CI73" s="8">
        <v>2.1999999999999999E-2</v>
      </c>
      <c r="CJ73" s="8">
        <v>1.270833333333333E-2</v>
      </c>
      <c r="CK73" s="8">
        <v>4.0000000000000001E-3</v>
      </c>
      <c r="CL73" s="8">
        <v>2.1999999999999999E-2</v>
      </c>
      <c r="CM73" s="8">
        <v>1.270833333333333E-2</v>
      </c>
      <c r="CN73" s="8">
        <v>4.0000000000000001E-3</v>
      </c>
      <c r="CO73" s="8">
        <v>2.1999999999999999E-2</v>
      </c>
      <c r="CP73" s="8">
        <v>1.270833333333333E-2</v>
      </c>
      <c r="CQ73" s="8">
        <v>4.0000000000000001E-3</v>
      </c>
      <c r="CR73" s="8">
        <v>2.1999999999999999E-2</v>
      </c>
      <c r="CS73" s="8">
        <v>1.270833333333333E-2</v>
      </c>
      <c r="CT73" s="8">
        <v>4.0000000000000001E-3</v>
      </c>
      <c r="CU73" s="8">
        <v>2.1999999999999999E-2</v>
      </c>
      <c r="CV73" s="8">
        <v>1.270833333333333E-2</v>
      </c>
      <c r="CW73" s="8">
        <v>4.0000000000000001E-3</v>
      </c>
      <c r="CX73" s="8">
        <v>2.1999999999999999E-2</v>
      </c>
      <c r="CY73" s="8">
        <v>1.270833333333333E-2</v>
      </c>
      <c r="CZ73" s="8">
        <v>4.0000000000000001E-3</v>
      </c>
      <c r="DA73" s="8">
        <v>2.1999999999999999E-2</v>
      </c>
      <c r="DB73" s="8"/>
      <c r="DC73" s="8"/>
      <c r="DD73" s="8"/>
      <c r="DE73" s="48">
        <f>Tabelle58971121[[#This Row],[Durchschnittsauslastung min]]*Tabelle58971121[[#This Row],[installierte Leistung MW min]]</f>
        <v>0</v>
      </c>
      <c r="DF73" s="48">
        <f>Tabelle58971121[[#This Row],[Durchschnittsauslastung durch]]*Tabelle58971121[[#This Row],[installierte Leistung MW durch]]</f>
        <v>0</v>
      </c>
      <c r="DG73" s="48">
        <f>Tabelle58971121[[#This Row],[Durchschnittsauslastung max]]*Tabelle58971121[[#This Row],[installierte Leistung MW max]]</f>
        <v>0</v>
      </c>
      <c r="DH73" s="87">
        <f>Tabelle58971121[[#This Row],[Maximalauslastung durch]]*Tabelle58971121[[#This Row],[installierte Leistung MW min]]</f>
        <v>675.8685999999999</v>
      </c>
      <c r="DI73" s="48">
        <f>Tabelle58971121[[#This Row],[Maximalauslastung durch]]*Tabelle58971121[[#This Row],[installierte Leistung MW durch]]</f>
        <v>677.27044000000001</v>
      </c>
      <c r="DJ73" s="18">
        <f>Tabelle58971121[[#This Row],[Maximalauslastung max]]*Tabelle58971121[[#This Row],[installierte Leistung MW durch]]</f>
        <v>1292.9708400000002</v>
      </c>
      <c r="DK73" s="8">
        <v>2.1999999999999999E-2</v>
      </c>
      <c r="DL73" s="8">
        <v>2.0000000000000022E-3</v>
      </c>
      <c r="DM73" s="8">
        <v>4.2000000000000003E-2</v>
      </c>
      <c r="DN73" s="1">
        <v>30785.02</v>
      </c>
      <c r="DO73" s="1">
        <v>30721.3</v>
      </c>
      <c r="DP73" s="1">
        <v>30848.74</v>
      </c>
      <c r="DQ73" s="18"/>
      <c r="DR73" s="18"/>
      <c r="DW73" s="1">
        <v>2.25</v>
      </c>
      <c r="DX73" s="1">
        <v>1.5</v>
      </c>
      <c r="DY73" s="1">
        <v>3</v>
      </c>
      <c r="DZ73" s="1">
        <v>2.25</v>
      </c>
      <c r="EA73" s="1">
        <v>1.5</v>
      </c>
      <c r="EB73" s="1">
        <v>3</v>
      </c>
      <c r="EC73" s="1">
        <v>18</v>
      </c>
      <c r="ED73" s="1">
        <v>12</v>
      </c>
      <c r="EE73" s="1">
        <v>24</v>
      </c>
      <c r="EF73" s="1">
        <v>18</v>
      </c>
      <c r="EG73" s="1">
        <v>18</v>
      </c>
      <c r="EH73" s="1">
        <v>18</v>
      </c>
      <c r="EL73" s="1" t="s">
        <v>1046</v>
      </c>
      <c r="EM73" s="1" t="s">
        <v>1046</v>
      </c>
      <c r="EN73" s="1" t="s">
        <v>1046</v>
      </c>
      <c r="EO73" s="10"/>
      <c r="EP73" s="10"/>
      <c r="EQ73" s="10"/>
      <c r="ER73" s="1">
        <v>280</v>
      </c>
      <c r="ES73" s="1">
        <v>252</v>
      </c>
      <c r="ET73" s="1">
        <v>308</v>
      </c>
      <c r="EU73" s="1">
        <v>92.50411764705882</v>
      </c>
      <c r="EV73" s="18">
        <v>83.243529411764712</v>
      </c>
      <c r="EW73" s="18">
        <v>101.76470588235293</v>
      </c>
      <c r="EX73" s="18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>
        <v>753.05882352941171</v>
      </c>
      <c r="FK73" s="7">
        <v>745.52823529411762</v>
      </c>
      <c r="FL73" s="7">
        <v>760.5894117647058</v>
      </c>
      <c r="FO73" s="1">
        <v>67</v>
      </c>
      <c r="FP73" s="1">
        <v>67</v>
      </c>
      <c r="FQ73" s="1">
        <v>67</v>
      </c>
      <c r="FR73" s="12" t="s">
        <v>743</v>
      </c>
      <c r="FS73" s="12" t="s">
        <v>743</v>
      </c>
      <c r="FT73" s="12" t="s">
        <v>743</v>
      </c>
      <c r="FU73" s="12"/>
      <c r="FV73" s="12" t="s">
        <v>743</v>
      </c>
      <c r="FW73" s="12" t="s">
        <v>743</v>
      </c>
      <c r="FX73" s="12" t="s">
        <v>743</v>
      </c>
      <c r="FY73" s="12" t="s">
        <v>743</v>
      </c>
      <c r="FZ73" s="12" t="s">
        <v>743</v>
      </c>
      <c r="GA73" s="12" t="s">
        <v>743</v>
      </c>
      <c r="GB73" s="12" t="s">
        <v>743</v>
      </c>
      <c r="GE73" s="12" t="s">
        <v>743</v>
      </c>
      <c r="GF73" s="12" t="s">
        <v>743</v>
      </c>
      <c r="GH73" s="12" t="s">
        <v>743</v>
      </c>
    </row>
    <row r="74" spans="1:190" ht="12.75" customHeight="1" x14ac:dyDescent="0.2">
      <c r="A74" s="1" t="s">
        <v>365</v>
      </c>
      <c r="B74" s="1" t="s">
        <v>645</v>
      </c>
      <c r="E74" s="1" t="s">
        <v>142</v>
      </c>
      <c r="F74" s="1">
        <v>2</v>
      </c>
      <c r="G74" s="1">
        <v>2015</v>
      </c>
      <c r="H74" s="1">
        <v>1</v>
      </c>
      <c r="I74" s="1">
        <v>0</v>
      </c>
      <c r="J74" s="1">
        <v>0</v>
      </c>
      <c r="K74" s="18"/>
      <c r="L74" s="18"/>
      <c r="M74" s="18"/>
      <c r="N74" s="18">
        <v>1496</v>
      </c>
      <c r="O74" s="18">
        <v>152.03</v>
      </c>
      <c r="P74" s="18">
        <v>4089.15</v>
      </c>
      <c r="Q74" s="18">
        <v>748</v>
      </c>
      <c r="R74" s="18">
        <v>0</v>
      </c>
      <c r="S74" s="18">
        <v>2355.63</v>
      </c>
      <c r="T74" s="18">
        <v>1496</v>
      </c>
      <c r="U74" s="18">
        <v>152.03</v>
      </c>
      <c r="V74" s="18">
        <v>4089.15</v>
      </c>
      <c r="W74" s="18">
        <v>748</v>
      </c>
      <c r="X74" s="18">
        <v>0</v>
      </c>
      <c r="Y74" s="18">
        <v>2355.63</v>
      </c>
      <c r="Z74" s="18">
        <v>1496</v>
      </c>
      <c r="AA74" s="18">
        <v>152.03</v>
      </c>
      <c r="AB74" s="18">
        <v>4089.15</v>
      </c>
      <c r="AC74" s="18">
        <v>748</v>
      </c>
      <c r="AD74" s="18">
        <v>0</v>
      </c>
      <c r="AE74" s="18">
        <v>2355.63</v>
      </c>
      <c r="AF74" s="18">
        <v>1496</v>
      </c>
      <c r="AG74" s="18">
        <v>152.03</v>
      </c>
      <c r="AH74" s="18">
        <v>4089.15</v>
      </c>
      <c r="AI74" s="18">
        <v>748</v>
      </c>
      <c r="AJ74" s="18">
        <v>0</v>
      </c>
      <c r="AK74" s="18">
        <v>2355.63</v>
      </c>
      <c r="AL74" s="18">
        <v>1496</v>
      </c>
      <c r="AM74" s="18">
        <v>152.03</v>
      </c>
      <c r="AN74" s="18">
        <v>4089.15</v>
      </c>
      <c r="AO74" s="18">
        <v>748</v>
      </c>
      <c r="AP74" s="18">
        <v>0</v>
      </c>
      <c r="AQ74" s="18">
        <v>2355.63</v>
      </c>
      <c r="AR74" s="18">
        <v>1496</v>
      </c>
      <c r="AS74" s="18">
        <v>152.03</v>
      </c>
      <c r="AT74" s="18">
        <v>4089.15</v>
      </c>
      <c r="AU74" s="18">
        <v>748</v>
      </c>
      <c r="AV74" s="18">
        <v>0</v>
      </c>
      <c r="AW74" s="18">
        <v>2355.63</v>
      </c>
      <c r="AX74" s="18">
        <v>1496</v>
      </c>
      <c r="AY74" s="18">
        <v>152.03</v>
      </c>
      <c r="AZ74" s="18">
        <v>4089.15</v>
      </c>
      <c r="BA74" s="18">
        <v>748</v>
      </c>
      <c r="BB74" s="18">
        <v>0</v>
      </c>
      <c r="BC74" s="18">
        <v>2355.63</v>
      </c>
      <c r="BD74" s="18">
        <v>1496</v>
      </c>
      <c r="BE74" s="18">
        <v>152.03</v>
      </c>
      <c r="BF74" s="18">
        <v>4089.15</v>
      </c>
      <c r="BG74" s="18">
        <v>748</v>
      </c>
      <c r="BH74" s="18">
        <v>0</v>
      </c>
      <c r="BI74" s="18">
        <v>2355.63</v>
      </c>
      <c r="BJ74" s="18">
        <v>1496</v>
      </c>
      <c r="BK74" s="18">
        <v>152.03</v>
      </c>
      <c r="BL74" s="18">
        <v>4089.15</v>
      </c>
      <c r="BM74" s="18">
        <v>748</v>
      </c>
      <c r="BN74" s="18">
        <v>0</v>
      </c>
      <c r="BO74" s="18">
        <v>2355.63</v>
      </c>
      <c r="BP74" s="18"/>
      <c r="BQ74" s="18"/>
      <c r="BR74" s="18"/>
      <c r="BS74" s="18"/>
      <c r="BT74" s="10">
        <f>Tabelle58971121[[#This Row],[Mindestauslastung durch]]*Tabelle58971121[[#This Row],[installierte Leistung MW durch]]</f>
        <v>1020</v>
      </c>
      <c r="BU74" s="10">
        <f>Tabelle58971121[[#This Row],[Mindestauslastung min]]*Tabelle58971121[[#This Row],[installierte Leistung MW min]]</f>
        <v>991.5</v>
      </c>
      <c r="BV74" s="10">
        <f>Tabelle58971121[[#This Row],[Mindestauslastung max]]*Tabelle58971121[[#This Row],[installierte Leistung MW max]]</f>
        <v>1048.5</v>
      </c>
      <c r="BW74" s="8">
        <v>0.15</v>
      </c>
      <c r="BX74" s="8">
        <v>0.15</v>
      </c>
      <c r="BY74" s="8">
        <v>0.15</v>
      </c>
      <c r="BZ74" s="8"/>
      <c r="CA74" s="8">
        <v>0.22</v>
      </c>
      <c r="CB74" s="8">
        <v>2.3E-2</v>
      </c>
      <c r="CC74" s="8">
        <v>0.58499999999999996</v>
      </c>
      <c r="CD74" s="8">
        <v>0.22</v>
      </c>
      <c r="CE74" s="8">
        <v>2.3E-2</v>
      </c>
      <c r="CF74" s="8">
        <v>0.58499999999999996</v>
      </c>
      <c r="CG74" s="8">
        <v>0.22</v>
      </c>
      <c r="CH74" s="8">
        <v>2.3E-2</v>
      </c>
      <c r="CI74" s="8">
        <v>0.58499999999999996</v>
      </c>
      <c r="CJ74" s="8">
        <v>0.22</v>
      </c>
      <c r="CK74" s="8">
        <v>2.3E-2</v>
      </c>
      <c r="CL74" s="8">
        <v>0.58499999999999996</v>
      </c>
      <c r="CM74" s="8">
        <v>0.22</v>
      </c>
      <c r="CN74" s="8">
        <v>2.3E-2</v>
      </c>
      <c r="CO74" s="8">
        <v>0.58499999999999996</v>
      </c>
      <c r="CP74" s="8">
        <v>0.22</v>
      </c>
      <c r="CQ74" s="8">
        <v>2.3E-2</v>
      </c>
      <c r="CR74" s="8">
        <v>0.58499999999999996</v>
      </c>
      <c r="CS74" s="8">
        <v>0.22</v>
      </c>
      <c r="CT74" s="8">
        <v>2.3E-2</v>
      </c>
      <c r="CU74" s="8">
        <v>0.58499999999999996</v>
      </c>
      <c r="CV74" s="8">
        <v>0.22</v>
      </c>
      <c r="CW74" s="8">
        <v>2.3E-2</v>
      </c>
      <c r="CX74" s="8">
        <v>0.58499999999999996</v>
      </c>
      <c r="CY74" s="8">
        <v>0.22</v>
      </c>
      <c r="CZ74" s="8">
        <v>2.3E-2</v>
      </c>
      <c r="DA74" s="8">
        <v>0.58499999999999996</v>
      </c>
      <c r="DB74" s="8"/>
      <c r="DC74" s="8"/>
      <c r="DD74" s="8"/>
      <c r="DE74" s="48">
        <f>Tabelle58971121[[#This Row],[Durchschnittsauslastung min]]*Tabelle58971121[[#This Row],[installierte Leistung MW min]]</f>
        <v>0</v>
      </c>
      <c r="DF74" s="48">
        <f>Tabelle58971121[[#This Row],[Durchschnittsauslastung durch]]*Tabelle58971121[[#This Row],[installierte Leistung MW durch]]</f>
        <v>0</v>
      </c>
      <c r="DG74" s="48">
        <f>Tabelle58971121[[#This Row],[Durchschnittsauslastung max]]*Tabelle58971121[[#This Row],[installierte Leistung MW max]]</f>
        <v>0</v>
      </c>
      <c r="DH74" s="87">
        <f>Tabelle58971121[[#This Row],[Maximalauslastung durch]]*Tabelle58971121[[#This Row],[installierte Leistung MW min]]</f>
        <v>2181.3000000000002</v>
      </c>
      <c r="DI74" s="48">
        <f>Tabelle58971121[[#This Row],[Maximalauslastung durch]]*Tabelle58971121[[#This Row],[installierte Leistung MW durch]]</f>
        <v>2244</v>
      </c>
      <c r="DJ74" s="18">
        <f>Tabelle58971121[[#This Row],[Maximalauslastung max]]*Tabelle58971121[[#This Row],[installierte Leistung MW durch]]</f>
        <v>2448</v>
      </c>
      <c r="DK74" s="8">
        <v>0.33</v>
      </c>
      <c r="DL74" s="8">
        <v>0.3</v>
      </c>
      <c r="DM74" s="8">
        <v>0.36</v>
      </c>
      <c r="DN74" s="1">
        <v>6800</v>
      </c>
      <c r="DO74" s="1">
        <v>6610</v>
      </c>
      <c r="DP74" s="1">
        <v>6990</v>
      </c>
      <c r="DQ74" s="18"/>
      <c r="DR74" s="18"/>
      <c r="DW74" s="1">
        <v>0.25</v>
      </c>
      <c r="DX74" s="1">
        <v>0.2</v>
      </c>
      <c r="DY74" s="1">
        <v>0.3</v>
      </c>
      <c r="DZ74" s="1">
        <v>0.25</v>
      </c>
      <c r="EA74" s="1">
        <v>0.2</v>
      </c>
      <c r="EB74" s="1">
        <v>0.3</v>
      </c>
      <c r="EC74" s="1">
        <v>0.5</v>
      </c>
      <c r="ED74" s="1">
        <v>0.4</v>
      </c>
      <c r="EE74" s="1">
        <v>0.6</v>
      </c>
      <c r="EF74" s="1">
        <v>0.5</v>
      </c>
      <c r="EG74" s="1">
        <v>0.5</v>
      </c>
      <c r="EH74" s="1">
        <v>0.5</v>
      </c>
      <c r="EL74" s="1">
        <v>365</v>
      </c>
      <c r="EM74" s="1">
        <v>328</v>
      </c>
      <c r="EN74" s="1">
        <v>402</v>
      </c>
      <c r="EO74" s="10"/>
      <c r="EP74" s="10"/>
      <c r="EQ74" s="10"/>
      <c r="ER74" s="1">
        <v>365</v>
      </c>
      <c r="ES74" s="1">
        <v>328</v>
      </c>
      <c r="ET74" s="1">
        <v>402</v>
      </c>
      <c r="EU74" s="1">
        <v>145.52352941176468</v>
      </c>
      <c r="EV74" s="18">
        <v>130.9711764705882</v>
      </c>
      <c r="EW74" s="18">
        <v>160.07588235294116</v>
      </c>
      <c r="EX74" s="18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>
        <v>9.972941176470588</v>
      </c>
      <c r="FK74" s="7">
        <v>3.5617647058823536</v>
      </c>
      <c r="FL74" s="7">
        <v>16.384117647058822</v>
      </c>
      <c r="FO74" s="1">
        <v>67</v>
      </c>
      <c r="FP74" s="1">
        <v>67</v>
      </c>
      <c r="FQ74" s="1">
        <v>67</v>
      </c>
      <c r="FR74" s="12" t="s">
        <v>743</v>
      </c>
      <c r="FS74" s="12" t="s">
        <v>743</v>
      </c>
      <c r="FT74" s="12" t="s">
        <v>743</v>
      </c>
      <c r="FU74" s="12"/>
      <c r="FV74" s="12" t="s">
        <v>743</v>
      </c>
      <c r="FW74" s="12" t="s">
        <v>743</v>
      </c>
      <c r="FX74" s="12" t="s">
        <v>743</v>
      </c>
      <c r="FY74" s="12" t="s">
        <v>743</v>
      </c>
      <c r="FZ74" s="12" t="s">
        <v>743</v>
      </c>
      <c r="GA74" s="12" t="s">
        <v>743</v>
      </c>
      <c r="GB74" s="12" t="s">
        <v>743</v>
      </c>
      <c r="GE74" s="12" t="s">
        <v>743</v>
      </c>
      <c r="GF74" s="12" t="s">
        <v>743</v>
      </c>
      <c r="GH74" s="12" t="s">
        <v>743</v>
      </c>
    </row>
    <row r="75" spans="1:190" ht="12.75" customHeight="1" x14ac:dyDescent="0.2">
      <c r="A75" s="1" t="s">
        <v>365</v>
      </c>
      <c r="B75" s="1" t="s">
        <v>645</v>
      </c>
      <c r="E75" s="1" t="s">
        <v>142</v>
      </c>
      <c r="F75" s="1">
        <v>2</v>
      </c>
      <c r="G75" s="1">
        <v>2020</v>
      </c>
      <c r="H75" s="1">
        <v>1</v>
      </c>
      <c r="I75" s="1">
        <v>0</v>
      </c>
      <c r="J75" s="1">
        <v>0</v>
      </c>
      <c r="K75" s="18"/>
      <c r="L75" s="18"/>
      <c r="M75" s="18"/>
      <c r="N75" s="18">
        <v>2154.2399999999998</v>
      </c>
      <c r="O75" s="18">
        <v>218.92319999999998</v>
      </c>
      <c r="P75" s="18">
        <v>5888.3760000000002</v>
      </c>
      <c r="Q75" s="18">
        <v>1077.1199999999999</v>
      </c>
      <c r="R75" s="18">
        <v>0</v>
      </c>
      <c r="S75" s="18">
        <v>3392.1071999999999</v>
      </c>
      <c r="T75" s="18">
        <v>2154.2399999999998</v>
      </c>
      <c r="U75" s="18">
        <v>218.92319999999998</v>
      </c>
      <c r="V75" s="18">
        <v>5888.3760000000002</v>
      </c>
      <c r="W75" s="18">
        <v>1077.1199999999999</v>
      </c>
      <c r="X75" s="18">
        <v>0</v>
      </c>
      <c r="Y75" s="18">
        <v>3392.1071999999999</v>
      </c>
      <c r="Z75" s="18">
        <v>2154.2399999999998</v>
      </c>
      <c r="AA75" s="18">
        <v>218.92319999999998</v>
      </c>
      <c r="AB75" s="18">
        <v>5888.3760000000002</v>
      </c>
      <c r="AC75" s="18">
        <v>1077.1199999999999</v>
      </c>
      <c r="AD75" s="18">
        <v>0</v>
      </c>
      <c r="AE75" s="18">
        <v>3392.1071999999999</v>
      </c>
      <c r="AF75" s="18">
        <v>2154.2399999999998</v>
      </c>
      <c r="AG75" s="18">
        <v>218.92319999999998</v>
      </c>
      <c r="AH75" s="18">
        <v>5888.3760000000002</v>
      </c>
      <c r="AI75" s="18">
        <v>1077.1199999999999</v>
      </c>
      <c r="AJ75" s="18">
        <v>0</v>
      </c>
      <c r="AK75" s="18">
        <v>3392.1071999999999</v>
      </c>
      <c r="AL75" s="18">
        <v>2154.2399999999998</v>
      </c>
      <c r="AM75" s="18">
        <v>218.92319999999998</v>
      </c>
      <c r="AN75" s="18">
        <v>5888.3760000000002</v>
      </c>
      <c r="AO75" s="18">
        <v>1077.1199999999999</v>
      </c>
      <c r="AP75" s="18">
        <v>0</v>
      </c>
      <c r="AQ75" s="18">
        <v>3392.1071999999999</v>
      </c>
      <c r="AR75" s="18">
        <v>2154.2399999999998</v>
      </c>
      <c r="AS75" s="18">
        <v>218.92319999999998</v>
      </c>
      <c r="AT75" s="18">
        <v>5888.3760000000002</v>
      </c>
      <c r="AU75" s="18">
        <v>1077.1199999999999</v>
      </c>
      <c r="AV75" s="18">
        <v>0</v>
      </c>
      <c r="AW75" s="18">
        <v>3392.1071999999999</v>
      </c>
      <c r="AX75" s="18">
        <v>2154.2399999999998</v>
      </c>
      <c r="AY75" s="18">
        <v>218.92319999999998</v>
      </c>
      <c r="AZ75" s="18">
        <v>5888.3760000000002</v>
      </c>
      <c r="BA75" s="18">
        <v>1077.1199999999999</v>
      </c>
      <c r="BB75" s="18">
        <v>0</v>
      </c>
      <c r="BC75" s="18">
        <v>3392.1071999999999</v>
      </c>
      <c r="BD75" s="18">
        <v>2154.2399999999998</v>
      </c>
      <c r="BE75" s="18">
        <v>218.92319999999998</v>
      </c>
      <c r="BF75" s="18">
        <v>5888.3760000000002</v>
      </c>
      <c r="BG75" s="18">
        <v>1077.1199999999999</v>
      </c>
      <c r="BH75" s="18">
        <v>0</v>
      </c>
      <c r="BI75" s="18">
        <v>3392.1071999999999</v>
      </c>
      <c r="BJ75" s="18">
        <v>2154.2399999999998</v>
      </c>
      <c r="BK75" s="18">
        <v>218.92319999999998</v>
      </c>
      <c r="BL75" s="18">
        <v>5888.3760000000002</v>
      </c>
      <c r="BM75" s="18">
        <v>1077.1199999999999</v>
      </c>
      <c r="BN75" s="18">
        <v>0</v>
      </c>
      <c r="BO75" s="18">
        <v>3392.1071999999999</v>
      </c>
      <c r="BP75" s="18"/>
      <c r="BQ75" s="18"/>
      <c r="BR75" s="18"/>
      <c r="BS75" s="18"/>
      <c r="BT75" s="10">
        <f>Tabelle58971121[[#This Row],[Mindestauslastung durch]]*Tabelle58971121[[#This Row],[installierte Leistung MW durch]]</f>
        <v>1468.8</v>
      </c>
      <c r="BU75" s="10">
        <f>Tabelle58971121[[#This Row],[Mindestauslastung min]]*Tabelle58971121[[#This Row],[installierte Leistung MW min]]</f>
        <v>1427.76</v>
      </c>
      <c r="BV75" s="10">
        <f>Tabelle58971121[[#This Row],[Mindestauslastung max]]*Tabelle58971121[[#This Row],[installierte Leistung MW max]]</f>
        <v>1509.84</v>
      </c>
      <c r="BW75" s="8">
        <v>0.15</v>
      </c>
      <c r="BX75" s="8">
        <v>0.15</v>
      </c>
      <c r="BY75" s="8">
        <v>0.15</v>
      </c>
      <c r="BZ75" s="8"/>
      <c r="CA75" s="8">
        <v>0.22</v>
      </c>
      <c r="CB75" s="8">
        <v>2.3E-2</v>
      </c>
      <c r="CC75" s="8">
        <v>0.58499999999999996</v>
      </c>
      <c r="CD75" s="8">
        <v>0.22</v>
      </c>
      <c r="CE75" s="8">
        <v>2.3E-2</v>
      </c>
      <c r="CF75" s="8">
        <v>0.58499999999999996</v>
      </c>
      <c r="CG75" s="8">
        <v>0.22</v>
      </c>
      <c r="CH75" s="8">
        <v>2.3E-2</v>
      </c>
      <c r="CI75" s="8">
        <v>0.58499999999999996</v>
      </c>
      <c r="CJ75" s="8">
        <v>0.22</v>
      </c>
      <c r="CK75" s="8">
        <v>2.3E-2</v>
      </c>
      <c r="CL75" s="8">
        <v>0.58499999999999996</v>
      </c>
      <c r="CM75" s="8">
        <v>0.22</v>
      </c>
      <c r="CN75" s="8">
        <v>2.3E-2</v>
      </c>
      <c r="CO75" s="8">
        <v>0.58499999999999996</v>
      </c>
      <c r="CP75" s="8">
        <v>0.22</v>
      </c>
      <c r="CQ75" s="8">
        <v>2.3E-2</v>
      </c>
      <c r="CR75" s="8">
        <v>0.58499999999999996</v>
      </c>
      <c r="CS75" s="8">
        <v>0.22</v>
      </c>
      <c r="CT75" s="8">
        <v>2.3E-2</v>
      </c>
      <c r="CU75" s="8">
        <v>0.58499999999999996</v>
      </c>
      <c r="CV75" s="8">
        <v>0.22</v>
      </c>
      <c r="CW75" s="8">
        <v>2.3E-2</v>
      </c>
      <c r="CX75" s="8">
        <v>0.58499999999999996</v>
      </c>
      <c r="CY75" s="8">
        <v>0.22</v>
      </c>
      <c r="CZ75" s="8">
        <v>2.3E-2</v>
      </c>
      <c r="DA75" s="8">
        <v>0.58499999999999996</v>
      </c>
      <c r="DB75" s="8"/>
      <c r="DC75" s="8"/>
      <c r="DD75" s="8"/>
      <c r="DE75" s="48">
        <f>Tabelle58971121[[#This Row],[Durchschnittsauslastung min]]*Tabelle58971121[[#This Row],[installierte Leistung MW min]]</f>
        <v>0</v>
      </c>
      <c r="DF75" s="48">
        <f>Tabelle58971121[[#This Row],[Durchschnittsauslastung durch]]*Tabelle58971121[[#This Row],[installierte Leistung MW durch]]</f>
        <v>0</v>
      </c>
      <c r="DG75" s="48">
        <f>Tabelle58971121[[#This Row],[Durchschnittsauslastung max]]*Tabelle58971121[[#This Row],[installierte Leistung MW max]]</f>
        <v>0</v>
      </c>
      <c r="DH75" s="87">
        <f>Tabelle58971121[[#This Row],[Maximalauslastung durch]]*Tabelle58971121[[#This Row],[installierte Leistung MW min]]</f>
        <v>3141.0720000000001</v>
      </c>
      <c r="DI75" s="48">
        <f>Tabelle58971121[[#This Row],[Maximalauslastung durch]]*Tabelle58971121[[#This Row],[installierte Leistung MW durch]]</f>
        <v>3231.36</v>
      </c>
      <c r="DJ75" s="18">
        <f>Tabelle58971121[[#This Row],[Maximalauslastung max]]*Tabelle58971121[[#This Row],[installierte Leistung MW durch]]</f>
        <v>3525.12</v>
      </c>
      <c r="DK75" s="8">
        <v>0.33</v>
      </c>
      <c r="DL75" s="8">
        <v>0.3</v>
      </c>
      <c r="DM75" s="8">
        <v>0.36</v>
      </c>
      <c r="DN75" s="1">
        <v>9792</v>
      </c>
      <c r="DO75" s="1">
        <v>9518.4</v>
      </c>
      <c r="DP75" s="1">
        <v>10065.6</v>
      </c>
      <c r="DQ75" s="18"/>
      <c r="DR75" s="18"/>
      <c r="DW75" s="1">
        <v>0.25</v>
      </c>
      <c r="DX75" s="1">
        <v>0.2</v>
      </c>
      <c r="DY75" s="1">
        <v>0.3</v>
      </c>
      <c r="DZ75" s="1">
        <v>0.25</v>
      </c>
      <c r="EA75" s="1">
        <v>0.2</v>
      </c>
      <c r="EB75" s="1">
        <v>0.3</v>
      </c>
      <c r="EC75" s="1">
        <v>0.5</v>
      </c>
      <c r="ED75" s="1">
        <v>0.4</v>
      </c>
      <c r="EE75" s="1">
        <v>0.6</v>
      </c>
      <c r="EF75" s="1">
        <v>0.5</v>
      </c>
      <c r="EG75" s="1">
        <v>0.5</v>
      </c>
      <c r="EH75" s="1">
        <v>0.5</v>
      </c>
      <c r="EL75" s="1">
        <v>365</v>
      </c>
      <c r="EM75" s="1">
        <v>328</v>
      </c>
      <c r="EN75" s="1">
        <v>402</v>
      </c>
      <c r="EO75" s="10"/>
      <c r="EP75" s="10"/>
      <c r="EQ75" s="10"/>
      <c r="ER75" s="1">
        <v>365</v>
      </c>
      <c r="ES75" s="1">
        <v>328</v>
      </c>
      <c r="ET75" s="1">
        <v>402</v>
      </c>
      <c r="EU75" s="1">
        <v>145.52352941176468</v>
      </c>
      <c r="EV75" s="18">
        <v>130.9711764705882</v>
      </c>
      <c r="EW75" s="18">
        <v>160.07588235294116</v>
      </c>
      <c r="EX75" s="18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>
        <v>9.972941176470588</v>
      </c>
      <c r="FK75" s="7">
        <v>3.5617647058823536</v>
      </c>
      <c r="FL75" s="7">
        <v>16.384117647058822</v>
      </c>
      <c r="FO75" s="1">
        <v>67</v>
      </c>
      <c r="FP75" s="1">
        <v>67</v>
      </c>
      <c r="FQ75" s="1">
        <v>67</v>
      </c>
      <c r="FR75" s="12" t="s">
        <v>743</v>
      </c>
      <c r="FS75" s="12" t="s">
        <v>743</v>
      </c>
      <c r="FT75" s="12" t="s">
        <v>743</v>
      </c>
      <c r="FU75" s="12"/>
      <c r="FV75" s="12" t="s">
        <v>743</v>
      </c>
      <c r="FW75" s="12" t="s">
        <v>743</v>
      </c>
      <c r="FX75" s="12" t="s">
        <v>743</v>
      </c>
      <c r="FY75" s="12" t="s">
        <v>743</v>
      </c>
      <c r="FZ75" s="12" t="s">
        <v>743</v>
      </c>
      <c r="GA75" s="12" t="s">
        <v>743</v>
      </c>
      <c r="GB75" s="12" t="s">
        <v>743</v>
      </c>
      <c r="GE75" s="12" t="s">
        <v>743</v>
      </c>
      <c r="GF75" s="12" t="s">
        <v>743</v>
      </c>
      <c r="GH75" s="12" t="s">
        <v>743</v>
      </c>
    </row>
    <row r="76" spans="1:190" ht="12.75" customHeight="1" x14ac:dyDescent="0.2">
      <c r="A76" s="1" t="s">
        <v>365</v>
      </c>
      <c r="B76" s="1" t="s">
        <v>645</v>
      </c>
      <c r="E76" s="1" t="s">
        <v>142</v>
      </c>
      <c r="F76" s="1">
        <v>2</v>
      </c>
      <c r="G76" s="1">
        <v>2025</v>
      </c>
      <c r="H76" s="1">
        <v>1</v>
      </c>
      <c r="I76" s="1">
        <v>0</v>
      </c>
      <c r="J76" s="1">
        <v>0</v>
      </c>
      <c r="K76" s="18"/>
      <c r="L76" s="18"/>
      <c r="M76" s="18"/>
      <c r="N76" s="18">
        <v>3201.44</v>
      </c>
      <c r="O76" s="18">
        <v>325.3442</v>
      </c>
      <c r="P76" s="18">
        <v>8750.7810000000009</v>
      </c>
      <c r="Q76" s="18">
        <v>1600.72</v>
      </c>
      <c r="R76" s="18">
        <v>0</v>
      </c>
      <c r="S76" s="18">
        <v>5041.0482000000002</v>
      </c>
      <c r="T76" s="18">
        <v>3201.44</v>
      </c>
      <c r="U76" s="18">
        <v>325.3442</v>
      </c>
      <c r="V76" s="18">
        <v>8750.7810000000009</v>
      </c>
      <c r="W76" s="18">
        <v>1600.72</v>
      </c>
      <c r="X76" s="18">
        <v>0</v>
      </c>
      <c r="Y76" s="18">
        <v>5041.0482000000002</v>
      </c>
      <c r="Z76" s="18">
        <v>3201.44</v>
      </c>
      <c r="AA76" s="18">
        <v>325.3442</v>
      </c>
      <c r="AB76" s="18">
        <v>8750.7810000000009</v>
      </c>
      <c r="AC76" s="18">
        <v>1600.72</v>
      </c>
      <c r="AD76" s="18">
        <v>0</v>
      </c>
      <c r="AE76" s="18">
        <v>5041.0482000000002</v>
      </c>
      <c r="AF76" s="18">
        <v>3201.44</v>
      </c>
      <c r="AG76" s="18">
        <v>325.3442</v>
      </c>
      <c r="AH76" s="18">
        <v>8750.7810000000009</v>
      </c>
      <c r="AI76" s="18">
        <v>1600.72</v>
      </c>
      <c r="AJ76" s="18">
        <v>0</v>
      </c>
      <c r="AK76" s="18">
        <v>5041.0482000000002</v>
      </c>
      <c r="AL76" s="18">
        <v>3201.44</v>
      </c>
      <c r="AM76" s="18">
        <v>325.3442</v>
      </c>
      <c r="AN76" s="18">
        <v>8750.7810000000009</v>
      </c>
      <c r="AO76" s="18">
        <v>1600.72</v>
      </c>
      <c r="AP76" s="18">
        <v>0</v>
      </c>
      <c r="AQ76" s="18">
        <v>5041.0482000000002</v>
      </c>
      <c r="AR76" s="18">
        <v>3201.44</v>
      </c>
      <c r="AS76" s="18">
        <v>325.3442</v>
      </c>
      <c r="AT76" s="18">
        <v>8750.7810000000009</v>
      </c>
      <c r="AU76" s="18">
        <v>1600.72</v>
      </c>
      <c r="AV76" s="18">
        <v>0</v>
      </c>
      <c r="AW76" s="18">
        <v>5041.0482000000002</v>
      </c>
      <c r="AX76" s="18">
        <v>3201.44</v>
      </c>
      <c r="AY76" s="18">
        <v>325.3442</v>
      </c>
      <c r="AZ76" s="18">
        <v>8750.7810000000009</v>
      </c>
      <c r="BA76" s="18">
        <v>1600.72</v>
      </c>
      <c r="BB76" s="18">
        <v>0</v>
      </c>
      <c r="BC76" s="18">
        <v>5041.0482000000002</v>
      </c>
      <c r="BD76" s="18">
        <v>3201.44</v>
      </c>
      <c r="BE76" s="18">
        <v>325.3442</v>
      </c>
      <c r="BF76" s="18">
        <v>8750.7810000000009</v>
      </c>
      <c r="BG76" s="18">
        <v>1600.72</v>
      </c>
      <c r="BH76" s="18">
        <v>0</v>
      </c>
      <c r="BI76" s="18">
        <v>5041.0482000000002</v>
      </c>
      <c r="BJ76" s="18">
        <v>3201.44</v>
      </c>
      <c r="BK76" s="18">
        <v>325.3442</v>
      </c>
      <c r="BL76" s="18">
        <v>8750.7810000000009</v>
      </c>
      <c r="BM76" s="18">
        <v>1600.72</v>
      </c>
      <c r="BN76" s="18">
        <v>0</v>
      </c>
      <c r="BO76" s="18">
        <v>5041.0482000000002</v>
      </c>
      <c r="BP76" s="18"/>
      <c r="BQ76" s="18"/>
      <c r="BR76" s="18"/>
      <c r="BS76" s="18"/>
      <c r="BT76" s="10">
        <f>Tabelle58971121[[#This Row],[Mindestauslastung durch]]*Tabelle58971121[[#This Row],[installierte Leistung MW durch]]</f>
        <v>2182.7999999999997</v>
      </c>
      <c r="BU76" s="10">
        <f>Tabelle58971121[[#This Row],[Mindestauslastung min]]*Tabelle58971121[[#This Row],[installierte Leistung MW min]]</f>
        <v>2121.81</v>
      </c>
      <c r="BV76" s="10">
        <f>Tabelle58971121[[#This Row],[Mindestauslastung max]]*Tabelle58971121[[#This Row],[installierte Leistung MW max]]</f>
        <v>2243.79</v>
      </c>
      <c r="BW76" s="8">
        <v>0.15</v>
      </c>
      <c r="BX76" s="8">
        <v>0.15</v>
      </c>
      <c r="BY76" s="8">
        <v>0.15</v>
      </c>
      <c r="BZ76" s="8"/>
      <c r="CA76" s="8">
        <v>0.22</v>
      </c>
      <c r="CB76" s="8">
        <v>2.3E-2</v>
      </c>
      <c r="CC76" s="8">
        <v>0.58499999999999996</v>
      </c>
      <c r="CD76" s="8">
        <v>0.22</v>
      </c>
      <c r="CE76" s="8">
        <v>2.3E-2</v>
      </c>
      <c r="CF76" s="8">
        <v>0.58499999999999996</v>
      </c>
      <c r="CG76" s="8">
        <v>0.22</v>
      </c>
      <c r="CH76" s="8">
        <v>2.3E-2</v>
      </c>
      <c r="CI76" s="8">
        <v>0.58499999999999996</v>
      </c>
      <c r="CJ76" s="8">
        <v>0.22</v>
      </c>
      <c r="CK76" s="8">
        <v>2.3E-2</v>
      </c>
      <c r="CL76" s="8">
        <v>0.58499999999999996</v>
      </c>
      <c r="CM76" s="8">
        <v>0.22</v>
      </c>
      <c r="CN76" s="8">
        <v>2.3E-2</v>
      </c>
      <c r="CO76" s="8">
        <v>0.58499999999999996</v>
      </c>
      <c r="CP76" s="8">
        <v>0.22</v>
      </c>
      <c r="CQ76" s="8">
        <v>2.3E-2</v>
      </c>
      <c r="CR76" s="8">
        <v>0.58499999999999996</v>
      </c>
      <c r="CS76" s="8">
        <v>0.22</v>
      </c>
      <c r="CT76" s="8">
        <v>2.3E-2</v>
      </c>
      <c r="CU76" s="8">
        <v>0.58499999999999996</v>
      </c>
      <c r="CV76" s="8">
        <v>0.22</v>
      </c>
      <c r="CW76" s="8">
        <v>2.3E-2</v>
      </c>
      <c r="CX76" s="8">
        <v>0.58499999999999996</v>
      </c>
      <c r="CY76" s="8">
        <v>0.22</v>
      </c>
      <c r="CZ76" s="8">
        <v>2.3E-2</v>
      </c>
      <c r="DA76" s="8">
        <v>0.58499999999999996</v>
      </c>
      <c r="DB76" s="8"/>
      <c r="DC76" s="8"/>
      <c r="DD76" s="8"/>
      <c r="DE76" s="48">
        <f>Tabelle58971121[[#This Row],[Durchschnittsauslastung min]]*Tabelle58971121[[#This Row],[installierte Leistung MW min]]</f>
        <v>0</v>
      </c>
      <c r="DF76" s="48">
        <f>Tabelle58971121[[#This Row],[Durchschnittsauslastung durch]]*Tabelle58971121[[#This Row],[installierte Leistung MW durch]]</f>
        <v>0</v>
      </c>
      <c r="DG76" s="48">
        <f>Tabelle58971121[[#This Row],[Durchschnittsauslastung max]]*Tabelle58971121[[#This Row],[installierte Leistung MW max]]</f>
        <v>0</v>
      </c>
      <c r="DH76" s="87">
        <f>Tabelle58971121[[#This Row],[Maximalauslastung durch]]*Tabelle58971121[[#This Row],[installierte Leistung MW min]]</f>
        <v>4667.982</v>
      </c>
      <c r="DI76" s="48">
        <f>Tabelle58971121[[#This Row],[Maximalauslastung durch]]*Tabelle58971121[[#This Row],[installierte Leistung MW durch]]</f>
        <v>4802.16</v>
      </c>
      <c r="DJ76" s="18">
        <f>Tabelle58971121[[#This Row],[Maximalauslastung max]]*Tabelle58971121[[#This Row],[installierte Leistung MW durch]]</f>
        <v>5238.72</v>
      </c>
      <c r="DK76" s="8">
        <v>0.33</v>
      </c>
      <c r="DL76" s="8">
        <v>0.3</v>
      </c>
      <c r="DM76" s="8">
        <v>0.36</v>
      </c>
      <c r="DN76" s="1">
        <v>14552</v>
      </c>
      <c r="DO76" s="1">
        <v>14145.4</v>
      </c>
      <c r="DP76" s="1">
        <v>14958.6</v>
      </c>
      <c r="DQ76" s="18"/>
      <c r="DR76" s="18"/>
      <c r="DW76" s="1">
        <v>0.25</v>
      </c>
      <c r="DX76" s="1">
        <v>0.2</v>
      </c>
      <c r="DY76" s="1">
        <v>0.3</v>
      </c>
      <c r="DZ76" s="1">
        <v>0.25</v>
      </c>
      <c r="EA76" s="1">
        <v>0.2</v>
      </c>
      <c r="EB76" s="1">
        <v>0.3</v>
      </c>
      <c r="EC76" s="1">
        <v>0.5</v>
      </c>
      <c r="ED76" s="1">
        <v>0.4</v>
      </c>
      <c r="EE76" s="1">
        <v>0.6</v>
      </c>
      <c r="EF76" s="1">
        <v>0.5</v>
      </c>
      <c r="EG76" s="1">
        <v>0.5</v>
      </c>
      <c r="EH76" s="1">
        <v>0.5</v>
      </c>
      <c r="EL76" s="1">
        <v>365</v>
      </c>
      <c r="EM76" s="1">
        <v>328</v>
      </c>
      <c r="EN76" s="1">
        <v>402</v>
      </c>
      <c r="EO76" s="10"/>
      <c r="EP76" s="10"/>
      <c r="EQ76" s="10"/>
      <c r="ER76" s="1">
        <v>365</v>
      </c>
      <c r="ES76" s="1">
        <v>328</v>
      </c>
      <c r="ET76" s="1">
        <v>402</v>
      </c>
      <c r="EU76" s="1">
        <v>145.52352941176468</v>
      </c>
      <c r="EV76" s="18">
        <v>130.9711764705882</v>
      </c>
      <c r="EW76" s="18">
        <v>160.07588235294116</v>
      </c>
      <c r="EX76" s="18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>
        <v>9.972941176470588</v>
      </c>
      <c r="FK76" s="7">
        <v>3.5617647058823536</v>
      </c>
      <c r="FL76" s="7">
        <v>16.384117647058822</v>
      </c>
      <c r="FO76" s="1">
        <v>67</v>
      </c>
      <c r="FP76" s="1">
        <v>67</v>
      </c>
      <c r="FQ76" s="1">
        <v>67</v>
      </c>
      <c r="FR76" s="12" t="s">
        <v>743</v>
      </c>
      <c r="FS76" s="12" t="s">
        <v>743</v>
      </c>
      <c r="FT76" s="12" t="s">
        <v>743</v>
      </c>
      <c r="FU76" s="12"/>
      <c r="FV76" s="12" t="s">
        <v>743</v>
      </c>
      <c r="FW76" s="12" t="s">
        <v>743</v>
      </c>
      <c r="FX76" s="12" t="s">
        <v>743</v>
      </c>
      <c r="FY76" s="12" t="s">
        <v>743</v>
      </c>
      <c r="FZ76" s="12" t="s">
        <v>743</v>
      </c>
      <c r="GA76" s="12" t="s">
        <v>743</v>
      </c>
      <c r="GB76" s="12" t="s">
        <v>743</v>
      </c>
      <c r="GE76" s="12" t="s">
        <v>743</v>
      </c>
      <c r="GF76" s="12" t="s">
        <v>743</v>
      </c>
      <c r="GH76" s="12" t="s">
        <v>743</v>
      </c>
    </row>
    <row r="77" spans="1:190" ht="12.75" customHeight="1" x14ac:dyDescent="0.2">
      <c r="A77" s="1" t="s">
        <v>365</v>
      </c>
      <c r="B77" s="1" t="s">
        <v>645</v>
      </c>
      <c r="E77" s="1" t="s">
        <v>142</v>
      </c>
      <c r="F77" s="1">
        <v>2</v>
      </c>
      <c r="G77" s="1">
        <v>2030</v>
      </c>
      <c r="H77" s="1">
        <v>1</v>
      </c>
      <c r="I77" s="1">
        <v>0</v>
      </c>
      <c r="J77" s="1">
        <v>0</v>
      </c>
      <c r="K77" s="18"/>
      <c r="L77" s="18"/>
      <c r="M77" s="18"/>
      <c r="N77" s="18">
        <v>4906.88</v>
      </c>
      <c r="O77" s="18">
        <v>498.65839999999997</v>
      </c>
      <c r="P77" s="18">
        <v>13412.412</v>
      </c>
      <c r="Q77" s="18">
        <v>2453.44</v>
      </c>
      <c r="R77" s="18">
        <v>0</v>
      </c>
      <c r="S77" s="18">
        <v>7726.4664000000002</v>
      </c>
      <c r="T77" s="18">
        <v>4906.88</v>
      </c>
      <c r="U77" s="18">
        <v>498.65839999999997</v>
      </c>
      <c r="V77" s="18">
        <v>13412.412</v>
      </c>
      <c r="W77" s="18">
        <v>2453.44</v>
      </c>
      <c r="X77" s="18">
        <v>0</v>
      </c>
      <c r="Y77" s="18">
        <v>7726.4664000000002</v>
      </c>
      <c r="Z77" s="18">
        <v>4906.88</v>
      </c>
      <c r="AA77" s="18">
        <v>498.65839999999997</v>
      </c>
      <c r="AB77" s="18">
        <v>13412.412</v>
      </c>
      <c r="AC77" s="18">
        <v>2453.44</v>
      </c>
      <c r="AD77" s="18">
        <v>0</v>
      </c>
      <c r="AE77" s="18">
        <v>7726.4664000000002</v>
      </c>
      <c r="AF77" s="18">
        <v>4906.88</v>
      </c>
      <c r="AG77" s="18">
        <v>498.65839999999997</v>
      </c>
      <c r="AH77" s="18">
        <v>13412.412</v>
      </c>
      <c r="AI77" s="18">
        <v>2453.44</v>
      </c>
      <c r="AJ77" s="18">
        <v>0</v>
      </c>
      <c r="AK77" s="18">
        <v>7726.4664000000002</v>
      </c>
      <c r="AL77" s="18">
        <v>4906.88</v>
      </c>
      <c r="AM77" s="18">
        <v>498.65839999999997</v>
      </c>
      <c r="AN77" s="18">
        <v>13412.412</v>
      </c>
      <c r="AO77" s="18">
        <v>2453.44</v>
      </c>
      <c r="AP77" s="18">
        <v>0</v>
      </c>
      <c r="AQ77" s="18">
        <v>7726.4664000000002</v>
      </c>
      <c r="AR77" s="18">
        <v>4906.88</v>
      </c>
      <c r="AS77" s="18">
        <v>498.65839999999997</v>
      </c>
      <c r="AT77" s="18">
        <v>13412.412</v>
      </c>
      <c r="AU77" s="18">
        <v>2453.44</v>
      </c>
      <c r="AV77" s="18">
        <v>0</v>
      </c>
      <c r="AW77" s="18">
        <v>7726.4664000000002</v>
      </c>
      <c r="AX77" s="18">
        <v>4906.88</v>
      </c>
      <c r="AY77" s="18">
        <v>498.65839999999997</v>
      </c>
      <c r="AZ77" s="18">
        <v>13412.412</v>
      </c>
      <c r="BA77" s="18">
        <v>2453.44</v>
      </c>
      <c r="BB77" s="18">
        <v>0</v>
      </c>
      <c r="BC77" s="18">
        <v>7726.4664000000002</v>
      </c>
      <c r="BD77" s="18">
        <v>4906.88</v>
      </c>
      <c r="BE77" s="18">
        <v>498.65839999999997</v>
      </c>
      <c r="BF77" s="18">
        <v>13412.412</v>
      </c>
      <c r="BG77" s="18">
        <v>2453.44</v>
      </c>
      <c r="BH77" s="18">
        <v>0</v>
      </c>
      <c r="BI77" s="18">
        <v>7726.4664000000002</v>
      </c>
      <c r="BJ77" s="18">
        <v>4906.88</v>
      </c>
      <c r="BK77" s="18">
        <v>498.65839999999997</v>
      </c>
      <c r="BL77" s="18">
        <v>13412.412</v>
      </c>
      <c r="BM77" s="18">
        <v>2453.44</v>
      </c>
      <c r="BN77" s="18">
        <v>0</v>
      </c>
      <c r="BO77" s="18">
        <v>7726.4664000000002</v>
      </c>
      <c r="BP77" s="18"/>
      <c r="BQ77" s="18"/>
      <c r="BR77" s="18"/>
      <c r="BS77" s="18"/>
      <c r="BT77" s="10">
        <f>Tabelle58971121[[#This Row],[Mindestauslastung durch]]*Tabelle58971121[[#This Row],[installierte Leistung MW durch]]</f>
        <v>3345.6</v>
      </c>
      <c r="BU77" s="10">
        <f>Tabelle58971121[[#This Row],[Mindestauslastung min]]*Tabelle58971121[[#This Row],[installierte Leistung MW min]]</f>
        <v>3252.12</v>
      </c>
      <c r="BV77" s="10">
        <f>Tabelle58971121[[#This Row],[Mindestauslastung max]]*Tabelle58971121[[#This Row],[installierte Leistung MW max]]</f>
        <v>3439.08</v>
      </c>
      <c r="BW77" s="8">
        <v>0.15</v>
      </c>
      <c r="BX77" s="8">
        <v>0.15</v>
      </c>
      <c r="BY77" s="8">
        <v>0.15</v>
      </c>
      <c r="BZ77" s="8"/>
      <c r="CA77" s="8">
        <v>0.22</v>
      </c>
      <c r="CB77" s="8">
        <v>2.3E-2</v>
      </c>
      <c r="CC77" s="8">
        <v>0.58499999999999996</v>
      </c>
      <c r="CD77" s="8">
        <v>0.22</v>
      </c>
      <c r="CE77" s="8">
        <v>2.3E-2</v>
      </c>
      <c r="CF77" s="8">
        <v>0.58499999999999996</v>
      </c>
      <c r="CG77" s="8">
        <v>0.22</v>
      </c>
      <c r="CH77" s="8">
        <v>2.3E-2</v>
      </c>
      <c r="CI77" s="8">
        <v>0.58499999999999996</v>
      </c>
      <c r="CJ77" s="8">
        <v>0.22</v>
      </c>
      <c r="CK77" s="8">
        <v>2.3E-2</v>
      </c>
      <c r="CL77" s="8">
        <v>0.58499999999999996</v>
      </c>
      <c r="CM77" s="8">
        <v>0.22</v>
      </c>
      <c r="CN77" s="8">
        <v>2.3E-2</v>
      </c>
      <c r="CO77" s="8">
        <v>0.58499999999999996</v>
      </c>
      <c r="CP77" s="8">
        <v>0.22</v>
      </c>
      <c r="CQ77" s="8">
        <v>2.3E-2</v>
      </c>
      <c r="CR77" s="8">
        <v>0.58499999999999996</v>
      </c>
      <c r="CS77" s="8">
        <v>0.22</v>
      </c>
      <c r="CT77" s="8">
        <v>2.3E-2</v>
      </c>
      <c r="CU77" s="8">
        <v>0.58499999999999996</v>
      </c>
      <c r="CV77" s="8">
        <v>0.22</v>
      </c>
      <c r="CW77" s="8">
        <v>2.3E-2</v>
      </c>
      <c r="CX77" s="8">
        <v>0.58499999999999996</v>
      </c>
      <c r="CY77" s="8">
        <v>0.22</v>
      </c>
      <c r="CZ77" s="8">
        <v>2.3E-2</v>
      </c>
      <c r="DA77" s="8">
        <v>0.58499999999999996</v>
      </c>
      <c r="DB77" s="8"/>
      <c r="DC77" s="8"/>
      <c r="DD77" s="8"/>
      <c r="DE77" s="48">
        <f>Tabelle58971121[[#This Row],[Durchschnittsauslastung min]]*Tabelle58971121[[#This Row],[installierte Leistung MW min]]</f>
        <v>0</v>
      </c>
      <c r="DF77" s="48">
        <f>Tabelle58971121[[#This Row],[Durchschnittsauslastung durch]]*Tabelle58971121[[#This Row],[installierte Leistung MW durch]]</f>
        <v>0</v>
      </c>
      <c r="DG77" s="48">
        <f>Tabelle58971121[[#This Row],[Durchschnittsauslastung max]]*Tabelle58971121[[#This Row],[installierte Leistung MW max]]</f>
        <v>0</v>
      </c>
      <c r="DH77" s="87">
        <f>Tabelle58971121[[#This Row],[Maximalauslastung durch]]*Tabelle58971121[[#This Row],[installierte Leistung MW min]]</f>
        <v>7154.6639999999998</v>
      </c>
      <c r="DI77" s="48">
        <f>Tabelle58971121[[#This Row],[Maximalauslastung durch]]*Tabelle58971121[[#This Row],[installierte Leistung MW durch]]</f>
        <v>7360.3200000000006</v>
      </c>
      <c r="DJ77" s="18">
        <f>Tabelle58971121[[#This Row],[Maximalauslastung max]]*Tabelle58971121[[#This Row],[installierte Leistung MW durch]]</f>
        <v>8029.44</v>
      </c>
      <c r="DK77" s="8">
        <v>0.33</v>
      </c>
      <c r="DL77" s="8">
        <v>0.3</v>
      </c>
      <c r="DM77" s="8">
        <v>0.36</v>
      </c>
      <c r="DN77" s="1">
        <v>22304</v>
      </c>
      <c r="DO77" s="1">
        <v>21680.799999999999</v>
      </c>
      <c r="DP77" s="1">
        <v>22927.200000000001</v>
      </c>
      <c r="DQ77" s="18"/>
      <c r="DR77" s="18"/>
      <c r="DW77" s="1">
        <v>0.25</v>
      </c>
      <c r="DX77" s="1">
        <v>0.2</v>
      </c>
      <c r="DY77" s="1">
        <v>0.3</v>
      </c>
      <c r="DZ77" s="1">
        <v>0.25</v>
      </c>
      <c r="EA77" s="1">
        <v>0.2</v>
      </c>
      <c r="EB77" s="1">
        <v>0.3</v>
      </c>
      <c r="EC77" s="1">
        <v>0.5</v>
      </c>
      <c r="ED77" s="1">
        <v>0.4</v>
      </c>
      <c r="EE77" s="1">
        <v>0.6</v>
      </c>
      <c r="EF77" s="1">
        <v>0.5</v>
      </c>
      <c r="EG77" s="1">
        <v>0.5</v>
      </c>
      <c r="EH77" s="1">
        <v>0.5</v>
      </c>
      <c r="EL77" s="1">
        <v>365</v>
      </c>
      <c r="EM77" s="1">
        <v>328</v>
      </c>
      <c r="EN77" s="1">
        <v>402</v>
      </c>
      <c r="EO77" s="10"/>
      <c r="EP77" s="10"/>
      <c r="EQ77" s="10"/>
      <c r="ER77" s="1">
        <v>365</v>
      </c>
      <c r="ES77" s="1">
        <v>328</v>
      </c>
      <c r="ET77" s="1">
        <v>402</v>
      </c>
      <c r="EU77" s="1">
        <v>145.52352941176468</v>
      </c>
      <c r="EV77" s="18">
        <v>130.9711764705882</v>
      </c>
      <c r="EW77" s="18">
        <v>160.07588235294116</v>
      </c>
      <c r="EX77" s="18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>
        <v>9.972941176470588</v>
      </c>
      <c r="FK77" s="7">
        <v>3.5617647058823536</v>
      </c>
      <c r="FL77" s="7">
        <v>16.384117647058822</v>
      </c>
      <c r="FO77" s="1">
        <v>67</v>
      </c>
      <c r="FP77" s="1">
        <v>67</v>
      </c>
      <c r="FQ77" s="1">
        <v>67</v>
      </c>
      <c r="FR77" s="12" t="s">
        <v>743</v>
      </c>
      <c r="FS77" s="12" t="s">
        <v>743</v>
      </c>
      <c r="FT77" s="12" t="s">
        <v>743</v>
      </c>
      <c r="FU77" s="12"/>
      <c r="FV77" s="12" t="s">
        <v>743</v>
      </c>
      <c r="FW77" s="12" t="s">
        <v>743</v>
      </c>
      <c r="FX77" s="12" t="s">
        <v>743</v>
      </c>
      <c r="FY77" s="12" t="s">
        <v>743</v>
      </c>
      <c r="FZ77" s="12" t="s">
        <v>743</v>
      </c>
      <c r="GA77" s="12" t="s">
        <v>743</v>
      </c>
      <c r="GB77" s="12" t="s">
        <v>743</v>
      </c>
      <c r="GE77" s="12" t="s">
        <v>743</v>
      </c>
      <c r="GF77" s="12" t="s">
        <v>743</v>
      </c>
      <c r="GH77" s="12" t="s">
        <v>743</v>
      </c>
    </row>
    <row r="78" spans="1:190" ht="12.75" customHeight="1" x14ac:dyDescent="0.2">
      <c r="A78" s="1" t="s">
        <v>365</v>
      </c>
      <c r="B78" s="1" t="s">
        <v>645</v>
      </c>
      <c r="E78" s="1" t="s">
        <v>142</v>
      </c>
      <c r="F78" s="1">
        <v>2</v>
      </c>
      <c r="G78" s="1">
        <v>2035</v>
      </c>
      <c r="H78" s="1">
        <v>1</v>
      </c>
      <c r="I78" s="1">
        <v>0</v>
      </c>
      <c r="J78" s="1">
        <v>0</v>
      </c>
      <c r="K78" s="18"/>
      <c r="L78" s="18"/>
      <c r="M78" s="18"/>
      <c r="N78" s="18">
        <v>5789.52</v>
      </c>
      <c r="O78" s="18">
        <v>588.35609999999997</v>
      </c>
      <c r="P78" s="18">
        <v>15825.0105</v>
      </c>
      <c r="Q78" s="18">
        <v>2894.76</v>
      </c>
      <c r="R78" s="18">
        <v>0</v>
      </c>
      <c r="S78" s="18">
        <v>9116.2881000000016</v>
      </c>
      <c r="T78" s="18">
        <v>5789.52</v>
      </c>
      <c r="U78" s="18">
        <v>588.35609999999997</v>
      </c>
      <c r="V78" s="18">
        <v>15825.0105</v>
      </c>
      <c r="W78" s="18">
        <v>2894.76</v>
      </c>
      <c r="X78" s="18">
        <v>0</v>
      </c>
      <c r="Y78" s="18">
        <v>9116.2881000000016</v>
      </c>
      <c r="Z78" s="18">
        <v>5789.52</v>
      </c>
      <c r="AA78" s="18">
        <v>588.35609999999997</v>
      </c>
      <c r="AB78" s="18">
        <v>15825.0105</v>
      </c>
      <c r="AC78" s="18">
        <v>2894.76</v>
      </c>
      <c r="AD78" s="18">
        <v>0</v>
      </c>
      <c r="AE78" s="18">
        <v>9116.2881000000016</v>
      </c>
      <c r="AF78" s="18">
        <v>5789.52</v>
      </c>
      <c r="AG78" s="18">
        <v>588.35609999999997</v>
      </c>
      <c r="AH78" s="18">
        <v>15825.0105</v>
      </c>
      <c r="AI78" s="18">
        <v>2894.76</v>
      </c>
      <c r="AJ78" s="18">
        <v>0</v>
      </c>
      <c r="AK78" s="18">
        <v>9116.2881000000016</v>
      </c>
      <c r="AL78" s="18">
        <v>5789.52</v>
      </c>
      <c r="AM78" s="18">
        <v>588.35609999999997</v>
      </c>
      <c r="AN78" s="18">
        <v>15825.0105</v>
      </c>
      <c r="AO78" s="18">
        <v>2894.76</v>
      </c>
      <c r="AP78" s="18">
        <v>0</v>
      </c>
      <c r="AQ78" s="18">
        <v>9116.2881000000016</v>
      </c>
      <c r="AR78" s="18">
        <v>5789.52</v>
      </c>
      <c r="AS78" s="18">
        <v>588.35609999999997</v>
      </c>
      <c r="AT78" s="18">
        <v>15825.0105</v>
      </c>
      <c r="AU78" s="18">
        <v>2894.76</v>
      </c>
      <c r="AV78" s="18">
        <v>0</v>
      </c>
      <c r="AW78" s="18">
        <v>9116.2881000000016</v>
      </c>
      <c r="AX78" s="18">
        <v>5789.52</v>
      </c>
      <c r="AY78" s="18">
        <v>588.35609999999997</v>
      </c>
      <c r="AZ78" s="18">
        <v>15825.0105</v>
      </c>
      <c r="BA78" s="18">
        <v>2894.76</v>
      </c>
      <c r="BB78" s="18">
        <v>0</v>
      </c>
      <c r="BC78" s="18">
        <v>9116.2881000000016</v>
      </c>
      <c r="BD78" s="18">
        <v>5789.52</v>
      </c>
      <c r="BE78" s="18">
        <v>588.35609999999997</v>
      </c>
      <c r="BF78" s="18">
        <v>15825.0105</v>
      </c>
      <c r="BG78" s="18">
        <v>2894.76</v>
      </c>
      <c r="BH78" s="18">
        <v>0</v>
      </c>
      <c r="BI78" s="18">
        <v>9116.2881000000016</v>
      </c>
      <c r="BJ78" s="18">
        <v>5789.52</v>
      </c>
      <c r="BK78" s="18">
        <v>588.35609999999997</v>
      </c>
      <c r="BL78" s="18">
        <v>15825.0105</v>
      </c>
      <c r="BM78" s="18">
        <v>2894.76</v>
      </c>
      <c r="BN78" s="18">
        <v>0</v>
      </c>
      <c r="BO78" s="18">
        <v>9116.2881000000016</v>
      </c>
      <c r="BP78" s="18"/>
      <c r="BQ78" s="18"/>
      <c r="BR78" s="18"/>
      <c r="BS78" s="18"/>
      <c r="BT78" s="10">
        <f>Tabelle58971121[[#This Row],[Mindestauslastung durch]]*Tabelle58971121[[#This Row],[installierte Leistung MW durch]]</f>
        <v>3947.3999999999996</v>
      </c>
      <c r="BU78" s="10">
        <f>Tabelle58971121[[#This Row],[Mindestauslastung min]]*Tabelle58971121[[#This Row],[installierte Leistung MW min]]</f>
        <v>3837.105</v>
      </c>
      <c r="BV78" s="10">
        <f>Tabelle58971121[[#This Row],[Mindestauslastung max]]*Tabelle58971121[[#This Row],[installierte Leistung MW max]]</f>
        <v>4057.6949999999997</v>
      </c>
      <c r="BW78" s="8">
        <v>0.15</v>
      </c>
      <c r="BX78" s="8">
        <v>0.15</v>
      </c>
      <c r="BY78" s="8">
        <v>0.15</v>
      </c>
      <c r="BZ78" s="8"/>
      <c r="CA78" s="8">
        <v>0.22</v>
      </c>
      <c r="CB78" s="8">
        <v>2.3E-2</v>
      </c>
      <c r="CC78" s="8">
        <v>0.58499999999999996</v>
      </c>
      <c r="CD78" s="8">
        <v>0.22</v>
      </c>
      <c r="CE78" s="8">
        <v>2.3E-2</v>
      </c>
      <c r="CF78" s="8">
        <v>0.58499999999999996</v>
      </c>
      <c r="CG78" s="8">
        <v>0.22</v>
      </c>
      <c r="CH78" s="8">
        <v>2.3E-2</v>
      </c>
      <c r="CI78" s="8">
        <v>0.58499999999999996</v>
      </c>
      <c r="CJ78" s="8">
        <v>0.22</v>
      </c>
      <c r="CK78" s="8">
        <v>2.3E-2</v>
      </c>
      <c r="CL78" s="8">
        <v>0.58499999999999996</v>
      </c>
      <c r="CM78" s="8">
        <v>0.22</v>
      </c>
      <c r="CN78" s="8">
        <v>2.3E-2</v>
      </c>
      <c r="CO78" s="8">
        <v>0.58499999999999996</v>
      </c>
      <c r="CP78" s="8">
        <v>0.22</v>
      </c>
      <c r="CQ78" s="8">
        <v>2.3E-2</v>
      </c>
      <c r="CR78" s="8">
        <v>0.58499999999999996</v>
      </c>
      <c r="CS78" s="8">
        <v>0.22</v>
      </c>
      <c r="CT78" s="8">
        <v>2.3E-2</v>
      </c>
      <c r="CU78" s="8">
        <v>0.58499999999999996</v>
      </c>
      <c r="CV78" s="8">
        <v>0.22</v>
      </c>
      <c r="CW78" s="8">
        <v>2.3E-2</v>
      </c>
      <c r="CX78" s="8">
        <v>0.58499999999999996</v>
      </c>
      <c r="CY78" s="8">
        <v>0.22</v>
      </c>
      <c r="CZ78" s="8">
        <v>2.3E-2</v>
      </c>
      <c r="DA78" s="8">
        <v>0.58499999999999996</v>
      </c>
      <c r="DB78" s="8"/>
      <c r="DC78" s="8"/>
      <c r="DD78" s="8"/>
      <c r="DE78" s="48">
        <f>Tabelle58971121[[#This Row],[Durchschnittsauslastung min]]*Tabelle58971121[[#This Row],[installierte Leistung MW min]]</f>
        <v>0</v>
      </c>
      <c r="DF78" s="48">
        <f>Tabelle58971121[[#This Row],[Durchschnittsauslastung durch]]*Tabelle58971121[[#This Row],[installierte Leistung MW durch]]</f>
        <v>0</v>
      </c>
      <c r="DG78" s="48">
        <f>Tabelle58971121[[#This Row],[Durchschnittsauslastung max]]*Tabelle58971121[[#This Row],[installierte Leistung MW max]]</f>
        <v>0</v>
      </c>
      <c r="DH78" s="87">
        <f>Tabelle58971121[[#This Row],[Maximalauslastung durch]]*Tabelle58971121[[#This Row],[installierte Leistung MW min]]</f>
        <v>8441.6310000000012</v>
      </c>
      <c r="DI78" s="48">
        <f>Tabelle58971121[[#This Row],[Maximalauslastung durch]]*Tabelle58971121[[#This Row],[installierte Leistung MW durch]]</f>
        <v>8684.2800000000007</v>
      </c>
      <c r="DJ78" s="18">
        <f>Tabelle58971121[[#This Row],[Maximalauslastung max]]*Tabelle58971121[[#This Row],[installierte Leistung MW durch]]</f>
        <v>9473.76</v>
      </c>
      <c r="DK78" s="8">
        <v>0.33</v>
      </c>
      <c r="DL78" s="8">
        <v>0.3</v>
      </c>
      <c r="DM78" s="8">
        <v>0.36</v>
      </c>
      <c r="DN78" s="1">
        <v>26316</v>
      </c>
      <c r="DO78" s="1">
        <v>25580.7</v>
      </c>
      <c r="DP78" s="1">
        <v>27051.3</v>
      </c>
      <c r="DQ78" s="18"/>
      <c r="DR78" s="18"/>
      <c r="DW78" s="1">
        <v>0.25</v>
      </c>
      <c r="DX78" s="1">
        <v>0.2</v>
      </c>
      <c r="DY78" s="1">
        <v>0.3</v>
      </c>
      <c r="DZ78" s="1">
        <v>0.25</v>
      </c>
      <c r="EA78" s="1">
        <v>0.2</v>
      </c>
      <c r="EB78" s="1">
        <v>0.3</v>
      </c>
      <c r="EC78" s="1">
        <v>0.5</v>
      </c>
      <c r="ED78" s="1">
        <v>0.4</v>
      </c>
      <c r="EE78" s="1">
        <v>0.6</v>
      </c>
      <c r="EF78" s="1">
        <v>0.5</v>
      </c>
      <c r="EG78" s="1">
        <v>0.5</v>
      </c>
      <c r="EH78" s="1">
        <v>0.5</v>
      </c>
      <c r="EL78" s="1">
        <v>365</v>
      </c>
      <c r="EM78" s="1">
        <v>328</v>
      </c>
      <c r="EN78" s="1">
        <v>402</v>
      </c>
      <c r="EO78" s="10"/>
      <c r="EP78" s="10"/>
      <c r="EQ78" s="10"/>
      <c r="ER78" s="1">
        <v>365</v>
      </c>
      <c r="ES78" s="1">
        <v>328</v>
      </c>
      <c r="ET78" s="1">
        <v>402</v>
      </c>
      <c r="EU78" s="1">
        <v>145.52352941176468</v>
      </c>
      <c r="EV78" s="18">
        <v>130.9711764705882</v>
      </c>
      <c r="EW78" s="18">
        <v>160.07588235294116</v>
      </c>
      <c r="EX78" s="18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>
        <v>9.972941176470588</v>
      </c>
      <c r="FK78" s="7">
        <v>3.5617647058823536</v>
      </c>
      <c r="FL78" s="7">
        <v>16.384117647058822</v>
      </c>
      <c r="FO78" s="1">
        <v>67</v>
      </c>
      <c r="FP78" s="1">
        <v>67</v>
      </c>
      <c r="FQ78" s="1">
        <v>67</v>
      </c>
      <c r="FR78" s="12" t="s">
        <v>743</v>
      </c>
      <c r="FS78" s="12" t="s">
        <v>743</v>
      </c>
      <c r="FT78" s="12" t="s">
        <v>743</v>
      </c>
      <c r="FU78" s="12"/>
      <c r="FV78" s="12" t="s">
        <v>743</v>
      </c>
      <c r="FW78" s="12" t="s">
        <v>743</v>
      </c>
      <c r="FX78" s="12" t="s">
        <v>743</v>
      </c>
      <c r="FY78" s="12" t="s">
        <v>743</v>
      </c>
      <c r="FZ78" s="12" t="s">
        <v>743</v>
      </c>
      <c r="GA78" s="12" t="s">
        <v>743</v>
      </c>
      <c r="GB78" s="12" t="s">
        <v>743</v>
      </c>
      <c r="GE78" s="12" t="s">
        <v>743</v>
      </c>
      <c r="GF78" s="12" t="s">
        <v>743</v>
      </c>
      <c r="GH78" s="12" t="s">
        <v>743</v>
      </c>
    </row>
    <row r="79" spans="1:190" ht="12.75" customHeight="1" x14ac:dyDescent="0.2">
      <c r="A79" s="1" t="s">
        <v>365</v>
      </c>
      <c r="B79" s="1" t="s">
        <v>645</v>
      </c>
      <c r="E79" s="1" t="s">
        <v>142</v>
      </c>
      <c r="F79" s="1">
        <v>2</v>
      </c>
      <c r="G79" s="1">
        <v>2040</v>
      </c>
      <c r="H79" s="1">
        <v>1</v>
      </c>
      <c r="I79" s="1">
        <v>0</v>
      </c>
      <c r="J79" s="1">
        <v>0</v>
      </c>
      <c r="K79" s="18"/>
      <c r="L79" s="18"/>
      <c r="M79" s="18"/>
      <c r="N79" s="18">
        <v>6821.7599999999993</v>
      </c>
      <c r="O79" s="18">
        <v>693.2568</v>
      </c>
      <c r="P79" s="18">
        <v>18646.523999999998</v>
      </c>
      <c r="Q79" s="18">
        <v>3410.8799999999997</v>
      </c>
      <c r="R79" s="18">
        <v>0</v>
      </c>
      <c r="S79" s="18">
        <v>10741.6728</v>
      </c>
      <c r="T79" s="18">
        <v>6821.7599999999993</v>
      </c>
      <c r="U79" s="18">
        <v>693.2568</v>
      </c>
      <c r="V79" s="18">
        <v>18646.523999999998</v>
      </c>
      <c r="W79" s="18">
        <v>3410.8799999999997</v>
      </c>
      <c r="X79" s="18">
        <v>0</v>
      </c>
      <c r="Y79" s="18">
        <v>10741.6728</v>
      </c>
      <c r="Z79" s="18">
        <v>6821.7599999999993</v>
      </c>
      <c r="AA79" s="18">
        <v>693.2568</v>
      </c>
      <c r="AB79" s="18">
        <v>18646.523999999998</v>
      </c>
      <c r="AC79" s="18">
        <v>3410.8799999999997</v>
      </c>
      <c r="AD79" s="18">
        <v>0</v>
      </c>
      <c r="AE79" s="18">
        <v>10741.6728</v>
      </c>
      <c r="AF79" s="18">
        <v>6821.7599999999993</v>
      </c>
      <c r="AG79" s="18">
        <v>693.2568</v>
      </c>
      <c r="AH79" s="18">
        <v>18646.523999999998</v>
      </c>
      <c r="AI79" s="18">
        <v>3410.8799999999997</v>
      </c>
      <c r="AJ79" s="18">
        <v>0</v>
      </c>
      <c r="AK79" s="18">
        <v>10741.6728</v>
      </c>
      <c r="AL79" s="18">
        <v>6821.7599999999993</v>
      </c>
      <c r="AM79" s="18">
        <v>693.2568</v>
      </c>
      <c r="AN79" s="18">
        <v>18646.523999999998</v>
      </c>
      <c r="AO79" s="18">
        <v>3410.8799999999997</v>
      </c>
      <c r="AP79" s="18">
        <v>0</v>
      </c>
      <c r="AQ79" s="18">
        <v>10741.6728</v>
      </c>
      <c r="AR79" s="18">
        <v>6821.7599999999993</v>
      </c>
      <c r="AS79" s="18">
        <v>693.2568</v>
      </c>
      <c r="AT79" s="18">
        <v>18646.523999999998</v>
      </c>
      <c r="AU79" s="18">
        <v>3410.8799999999997</v>
      </c>
      <c r="AV79" s="18">
        <v>0</v>
      </c>
      <c r="AW79" s="18">
        <v>10741.6728</v>
      </c>
      <c r="AX79" s="18">
        <v>6821.7599999999993</v>
      </c>
      <c r="AY79" s="18">
        <v>693.2568</v>
      </c>
      <c r="AZ79" s="18">
        <v>18646.523999999998</v>
      </c>
      <c r="BA79" s="18">
        <v>3410.8799999999997</v>
      </c>
      <c r="BB79" s="18">
        <v>0</v>
      </c>
      <c r="BC79" s="18">
        <v>10741.6728</v>
      </c>
      <c r="BD79" s="18">
        <v>6821.7599999999993</v>
      </c>
      <c r="BE79" s="18">
        <v>693.2568</v>
      </c>
      <c r="BF79" s="18">
        <v>18646.523999999998</v>
      </c>
      <c r="BG79" s="18">
        <v>3410.8799999999997</v>
      </c>
      <c r="BH79" s="18">
        <v>0</v>
      </c>
      <c r="BI79" s="18">
        <v>10741.6728</v>
      </c>
      <c r="BJ79" s="18">
        <v>6821.7599999999993</v>
      </c>
      <c r="BK79" s="18">
        <v>693.2568</v>
      </c>
      <c r="BL79" s="18">
        <v>18646.523999999998</v>
      </c>
      <c r="BM79" s="18">
        <v>3410.8799999999997</v>
      </c>
      <c r="BN79" s="18">
        <v>0</v>
      </c>
      <c r="BO79" s="18">
        <v>10741.6728</v>
      </c>
      <c r="BP79" s="18"/>
      <c r="BQ79" s="18"/>
      <c r="BR79" s="18"/>
      <c r="BS79" s="18"/>
      <c r="BT79" s="10">
        <f>Tabelle58971121[[#This Row],[Mindestauslastung durch]]*Tabelle58971121[[#This Row],[installierte Leistung MW durch]]</f>
        <v>4651.2</v>
      </c>
      <c r="BU79" s="10">
        <f>Tabelle58971121[[#This Row],[Mindestauslastung min]]*Tabelle58971121[[#This Row],[installierte Leistung MW min]]</f>
        <v>4521.24</v>
      </c>
      <c r="BV79" s="10">
        <f>Tabelle58971121[[#This Row],[Mindestauslastung max]]*Tabelle58971121[[#This Row],[installierte Leistung MW max]]</f>
        <v>4781.16</v>
      </c>
      <c r="BW79" s="8">
        <v>0.15</v>
      </c>
      <c r="BX79" s="8">
        <v>0.15</v>
      </c>
      <c r="BY79" s="8">
        <v>0.15</v>
      </c>
      <c r="BZ79" s="8"/>
      <c r="CA79" s="8">
        <v>0.22</v>
      </c>
      <c r="CB79" s="8">
        <v>2.3E-2</v>
      </c>
      <c r="CC79" s="8">
        <v>0.58499999999999996</v>
      </c>
      <c r="CD79" s="8">
        <v>0.22</v>
      </c>
      <c r="CE79" s="8">
        <v>2.3E-2</v>
      </c>
      <c r="CF79" s="8">
        <v>0.58499999999999996</v>
      </c>
      <c r="CG79" s="8">
        <v>0.22</v>
      </c>
      <c r="CH79" s="8">
        <v>2.3E-2</v>
      </c>
      <c r="CI79" s="8">
        <v>0.58499999999999996</v>
      </c>
      <c r="CJ79" s="8">
        <v>0.22</v>
      </c>
      <c r="CK79" s="8">
        <v>2.3E-2</v>
      </c>
      <c r="CL79" s="8">
        <v>0.58499999999999996</v>
      </c>
      <c r="CM79" s="8">
        <v>0.22</v>
      </c>
      <c r="CN79" s="8">
        <v>2.3E-2</v>
      </c>
      <c r="CO79" s="8">
        <v>0.58499999999999996</v>
      </c>
      <c r="CP79" s="8">
        <v>0.22</v>
      </c>
      <c r="CQ79" s="8">
        <v>2.3E-2</v>
      </c>
      <c r="CR79" s="8">
        <v>0.58499999999999996</v>
      </c>
      <c r="CS79" s="8">
        <v>0.22</v>
      </c>
      <c r="CT79" s="8">
        <v>2.3E-2</v>
      </c>
      <c r="CU79" s="8">
        <v>0.58499999999999996</v>
      </c>
      <c r="CV79" s="8">
        <v>0.22</v>
      </c>
      <c r="CW79" s="8">
        <v>2.3E-2</v>
      </c>
      <c r="CX79" s="8">
        <v>0.58499999999999996</v>
      </c>
      <c r="CY79" s="8">
        <v>0.22</v>
      </c>
      <c r="CZ79" s="8">
        <v>2.3E-2</v>
      </c>
      <c r="DA79" s="8">
        <v>0.58499999999999996</v>
      </c>
      <c r="DB79" s="8"/>
      <c r="DC79" s="8"/>
      <c r="DD79" s="8"/>
      <c r="DE79" s="48">
        <f>Tabelle58971121[[#This Row],[Durchschnittsauslastung min]]*Tabelle58971121[[#This Row],[installierte Leistung MW min]]</f>
        <v>0</v>
      </c>
      <c r="DF79" s="48">
        <f>Tabelle58971121[[#This Row],[Durchschnittsauslastung durch]]*Tabelle58971121[[#This Row],[installierte Leistung MW durch]]</f>
        <v>0</v>
      </c>
      <c r="DG79" s="48">
        <f>Tabelle58971121[[#This Row],[Durchschnittsauslastung max]]*Tabelle58971121[[#This Row],[installierte Leistung MW max]]</f>
        <v>0</v>
      </c>
      <c r="DH79" s="87">
        <f>Tabelle58971121[[#This Row],[Maximalauslastung durch]]*Tabelle58971121[[#This Row],[installierte Leistung MW min]]</f>
        <v>9946.7279999999992</v>
      </c>
      <c r="DI79" s="48">
        <f>Tabelle58971121[[#This Row],[Maximalauslastung durch]]*Tabelle58971121[[#This Row],[installierte Leistung MW durch]]</f>
        <v>10232.640000000001</v>
      </c>
      <c r="DJ79" s="18">
        <f>Tabelle58971121[[#This Row],[Maximalauslastung max]]*Tabelle58971121[[#This Row],[installierte Leistung MW durch]]</f>
        <v>11162.88</v>
      </c>
      <c r="DK79" s="8">
        <v>0.33</v>
      </c>
      <c r="DL79" s="8">
        <v>0.3</v>
      </c>
      <c r="DM79" s="8">
        <v>0.36</v>
      </c>
      <c r="DN79" s="1">
        <v>31008</v>
      </c>
      <c r="DO79" s="1">
        <v>30141.599999999999</v>
      </c>
      <c r="DP79" s="1">
        <v>31874.400000000001</v>
      </c>
      <c r="DQ79" s="18"/>
      <c r="DR79" s="18"/>
      <c r="DW79" s="1">
        <v>0.25</v>
      </c>
      <c r="DX79" s="1">
        <v>0.2</v>
      </c>
      <c r="DY79" s="1">
        <v>0.3</v>
      </c>
      <c r="DZ79" s="1">
        <v>0.25</v>
      </c>
      <c r="EA79" s="1">
        <v>0.2</v>
      </c>
      <c r="EB79" s="1">
        <v>0.3</v>
      </c>
      <c r="EC79" s="1">
        <v>0.5</v>
      </c>
      <c r="ED79" s="1">
        <v>0.4</v>
      </c>
      <c r="EE79" s="1">
        <v>0.6</v>
      </c>
      <c r="EF79" s="1">
        <v>0.5</v>
      </c>
      <c r="EG79" s="1">
        <v>0.5</v>
      </c>
      <c r="EH79" s="1">
        <v>0.5</v>
      </c>
      <c r="EL79" s="1">
        <v>365</v>
      </c>
      <c r="EM79" s="1">
        <v>328</v>
      </c>
      <c r="EN79" s="1">
        <v>402</v>
      </c>
      <c r="EO79" s="10"/>
      <c r="EP79" s="10"/>
      <c r="EQ79" s="10"/>
      <c r="ER79" s="1">
        <v>365</v>
      </c>
      <c r="ES79" s="1">
        <v>328</v>
      </c>
      <c r="ET79" s="1">
        <v>402</v>
      </c>
      <c r="EU79" s="1">
        <v>145.52352941176468</v>
      </c>
      <c r="EV79" s="18">
        <v>130.9711764705882</v>
      </c>
      <c r="EW79" s="18">
        <v>160.07588235294116</v>
      </c>
      <c r="EX79" s="18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>
        <v>9.972941176470588</v>
      </c>
      <c r="FK79" s="7">
        <v>3.5617647058823536</v>
      </c>
      <c r="FL79" s="7">
        <v>16.384117647058822</v>
      </c>
      <c r="FO79" s="1">
        <v>67</v>
      </c>
      <c r="FP79" s="1">
        <v>67</v>
      </c>
      <c r="FQ79" s="1">
        <v>67</v>
      </c>
      <c r="FR79" s="12" t="s">
        <v>743</v>
      </c>
      <c r="FS79" s="12" t="s">
        <v>743</v>
      </c>
      <c r="FT79" s="12" t="s">
        <v>743</v>
      </c>
      <c r="FU79" s="12"/>
      <c r="FV79" s="12" t="s">
        <v>743</v>
      </c>
      <c r="FW79" s="12" t="s">
        <v>743</v>
      </c>
      <c r="FX79" s="12" t="s">
        <v>743</v>
      </c>
      <c r="FY79" s="12" t="s">
        <v>743</v>
      </c>
      <c r="FZ79" s="12" t="s">
        <v>743</v>
      </c>
      <c r="GA79" s="12" t="s">
        <v>743</v>
      </c>
      <c r="GB79" s="12" t="s">
        <v>743</v>
      </c>
      <c r="GE79" s="12" t="s">
        <v>743</v>
      </c>
      <c r="GF79" s="12" t="s">
        <v>743</v>
      </c>
      <c r="GH79" s="12" t="s">
        <v>743</v>
      </c>
    </row>
    <row r="80" spans="1:190" ht="12.75" customHeight="1" x14ac:dyDescent="0.2">
      <c r="A80" s="1" t="s">
        <v>365</v>
      </c>
      <c r="B80" s="1" t="s">
        <v>645</v>
      </c>
      <c r="E80" s="1" t="s">
        <v>142</v>
      </c>
      <c r="F80" s="1">
        <v>2</v>
      </c>
      <c r="G80" s="1">
        <v>2045</v>
      </c>
      <c r="H80" s="1">
        <v>1</v>
      </c>
      <c r="I80" s="1">
        <v>0</v>
      </c>
      <c r="J80" s="1">
        <v>0</v>
      </c>
      <c r="K80" s="18"/>
      <c r="L80" s="18"/>
      <c r="M80" s="18"/>
      <c r="N80" s="18">
        <v>8063.44</v>
      </c>
      <c r="O80" s="18">
        <v>819.44169999999997</v>
      </c>
      <c r="P80" s="18">
        <v>22040.518499999998</v>
      </c>
      <c r="Q80" s="18">
        <v>4031.72</v>
      </c>
      <c r="R80" s="18">
        <v>0</v>
      </c>
      <c r="S80" s="18">
        <v>12696.8457</v>
      </c>
      <c r="T80" s="18">
        <v>8063.44</v>
      </c>
      <c r="U80" s="18">
        <v>819.44169999999997</v>
      </c>
      <c r="V80" s="18">
        <v>22040.518499999998</v>
      </c>
      <c r="W80" s="18">
        <v>4031.72</v>
      </c>
      <c r="X80" s="18">
        <v>0</v>
      </c>
      <c r="Y80" s="18">
        <v>12696.8457</v>
      </c>
      <c r="Z80" s="18">
        <v>8063.44</v>
      </c>
      <c r="AA80" s="18">
        <v>819.44169999999997</v>
      </c>
      <c r="AB80" s="18">
        <v>22040.518499999998</v>
      </c>
      <c r="AC80" s="18">
        <v>4031.72</v>
      </c>
      <c r="AD80" s="18">
        <v>0</v>
      </c>
      <c r="AE80" s="18">
        <v>12696.8457</v>
      </c>
      <c r="AF80" s="18">
        <v>8063.44</v>
      </c>
      <c r="AG80" s="18">
        <v>819.44169999999997</v>
      </c>
      <c r="AH80" s="18">
        <v>22040.518499999998</v>
      </c>
      <c r="AI80" s="18">
        <v>4031.72</v>
      </c>
      <c r="AJ80" s="18">
        <v>0</v>
      </c>
      <c r="AK80" s="18">
        <v>12696.8457</v>
      </c>
      <c r="AL80" s="18">
        <v>8063.44</v>
      </c>
      <c r="AM80" s="18">
        <v>819.44169999999997</v>
      </c>
      <c r="AN80" s="18">
        <v>22040.518499999998</v>
      </c>
      <c r="AO80" s="18">
        <v>4031.72</v>
      </c>
      <c r="AP80" s="18">
        <v>0</v>
      </c>
      <c r="AQ80" s="18">
        <v>12696.8457</v>
      </c>
      <c r="AR80" s="18">
        <v>8063.44</v>
      </c>
      <c r="AS80" s="18">
        <v>819.44169999999997</v>
      </c>
      <c r="AT80" s="18">
        <v>22040.518499999998</v>
      </c>
      <c r="AU80" s="18">
        <v>4031.72</v>
      </c>
      <c r="AV80" s="18">
        <v>0</v>
      </c>
      <c r="AW80" s="18">
        <v>12696.8457</v>
      </c>
      <c r="AX80" s="18">
        <v>8063.44</v>
      </c>
      <c r="AY80" s="18">
        <v>819.44169999999997</v>
      </c>
      <c r="AZ80" s="18">
        <v>22040.518499999998</v>
      </c>
      <c r="BA80" s="18">
        <v>4031.72</v>
      </c>
      <c r="BB80" s="18">
        <v>0</v>
      </c>
      <c r="BC80" s="18">
        <v>12696.8457</v>
      </c>
      <c r="BD80" s="18">
        <v>8063.44</v>
      </c>
      <c r="BE80" s="18">
        <v>819.44169999999997</v>
      </c>
      <c r="BF80" s="18">
        <v>22040.518499999998</v>
      </c>
      <c r="BG80" s="18">
        <v>4031.72</v>
      </c>
      <c r="BH80" s="18">
        <v>0</v>
      </c>
      <c r="BI80" s="18">
        <v>12696.8457</v>
      </c>
      <c r="BJ80" s="18">
        <v>8063.44</v>
      </c>
      <c r="BK80" s="18">
        <v>819.44169999999997</v>
      </c>
      <c r="BL80" s="18">
        <v>22040.518499999998</v>
      </c>
      <c r="BM80" s="18">
        <v>4031.72</v>
      </c>
      <c r="BN80" s="18">
        <v>0</v>
      </c>
      <c r="BO80" s="18">
        <v>12696.8457</v>
      </c>
      <c r="BP80" s="18"/>
      <c r="BQ80" s="18"/>
      <c r="BR80" s="18"/>
      <c r="BS80" s="18"/>
      <c r="BT80" s="10">
        <f>Tabelle58971121[[#This Row],[Mindestauslastung durch]]*Tabelle58971121[[#This Row],[installierte Leistung MW durch]]</f>
        <v>5497.8</v>
      </c>
      <c r="BU80" s="10">
        <f>Tabelle58971121[[#This Row],[Mindestauslastung min]]*Tabelle58971121[[#This Row],[installierte Leistung MW min]]</f>
        <v>5344.1850000000004</v>
      </c>
      <c r="BV80" s="10">
        <f>Tabelle58971121[[#This Row],[Mindestauslastung max]]*Tabelle58971121[[#This Row],[installierte Leistung MW max]]</f>
        <v>5651.415</v>
      </c>
      <c r="BW80" s="8">
        <v>0.15</v>
      </c>
      <c r="BX80" s="8">
        <v>0.15</v>
      </c>
      <c r="BY80" s="8">
        <v>0.15</v>
      </c>
      <c r="BZ80" s="8"/>
      <c r="CA80" s="8">
        <v>0.22</v>
      </c>
      <c r="CB80" s="8">
        <v>2.3E-2</v>
      </c>
      <c r="CC80" s="8">
        <v>0.58499999999999996</v>
      </c>
      <c r="CD80" s="8">
        <v>0.22</v>
      </c>
      <c r="CE80" s="8">
        <v>2.3E-2</v>
      </c>
      <c r="CF80" s="8">
        <v>0.58499999999999996</v>
      </c>
      <c r="CG80" s="8">
        <v>0.22</v>
      </c>
      <c r="CH80" s="8">
        <v>2.3E-2</v>
      </c>
      <c r="CI80" s="8">
        <v>0.58499999999999996</v>
      </c>
      <c r="CJ80" s="8">
        <v>0.22</v>
      </c>
      <c r="CK80" s="8">
        <v>2.3E-2</v>
      </c>
      <c r="CL80" s="8">
        <v>0.58499999999999996</v>
      </c>
      <c r="CM80" s="8">
        <v>0.22</v>
      </c>
      <c r="CN80" s="8">
        <v>2.3E-2</v>
      </c>
      <c r="CO80" s="8">
        <v>0.58499999999999996</v>
      </c>
      <c r="CP80" s="8">
        <v>0.22</v>
      </c>
      <c r="CQ80" s="8">
        <v>2.3E-2</v>
      </c>
      <c r="CR80" s="8">
        <v>0.58499999999999996</v>
      </c>
      <c r="CS80" s="8">
        <v>0.22</v>
      </c>
      <c r="CT80" s="8">
        <v>2.3E-2</v>
      </c>
      <c r="CU80" s="8">
        <v>0.58499999999999996</v>
      </c>
      <c r="CV80" s="8">
        <v>0.22</v>
      </c>
      <c r="CW80" s="8">
        <v>2.3E-2</v>
      </c>
      <c r="CX80" s="8">
        <v>0.58499999999999996</v>
      </c>
      <c r="CY80" s="8">
        <v>0.22</v>
      </c>
      <c r="CZ80" s="8">
        <v>2.3E-2</v>
      </c>
      <c r="DA80" s="8">
        <v>0.58499999999999996</v>
      </c>
      <c r="DB80" s="8"/>
      <c r="DC80" s="8"/>
      <c r="DD80" s="8"/>
      <c r="DE80" s="48">
        <f>Tabelle58971121[[#This Row],[Durchschnittsauslastung min]]*Tabelle58971121[[#This Row],[installierte Leistung MW min]]</f>
        <v>0</v>
      </c>
      <c r="DF80" s="48">
        <f>Tabelle58971121[[#This Row],[Durchschnittsauslastung durch]]*Tabelle58971121[[#This Row],[installierte Leistung MW durch]]</f>
        <v>0</v>
      </c>
      <c r="DG80" s="48">
        <f>Tabelle58971121[[#This Row],[Durchschnittsauslastung max]]*Tabelle58971121[[#This Row],[installierte Leistung MW max]]</f>
        <v>0</v>
      </c>
      <c r="DH80" s="87">
        <f>Tabelle58971121[[#This Row],[Maximalauslastung durch]]*Tabelle58971121[[#This Row],[installierte Leistung MW min]]</f>
        <v>11757.207</v>
      </c>
      <c r="DI80" s="48">
        <f>Tabelle58971121[[#This Row],[Maximalauslastung durch]]*Tabelle58971121[[#This Row],[installierte Leistung MW durch]]</f>
        <v>12095.16</v>
      </c>
      <c r="DJ80" s="18">
        <f>Tabelle58971121[[#This Row],[Maximalauslastung max]]*Tabelle58971121[[#This Row],[installierte Leistung MW durch]]</f>
        <v>13194.72</v>
      </c>
      <c r="DK80" s="8">
        <v>0.33</v>
      </c>
      <c r="DL80" s="8">
        <v>0.3</v>
      </c>
      <c r="DM80" s="8">
        <v>0.36</v>
      </c>
      <c r="DN80" s="1">
        <v>36652</v>
      </c>
      <c r="DO80" s="1">
        <v>35627.9</v>
      </c>
      <c r="DP80" s="1">
        <v>37676.1</v>
      </c>
      <c r="DQ80" s="18"/>
      <c r="DR80" s="18"/>
      <c r="DW80" s="1">
        <v>0.25</v>
      </c>
      <c r="DX80" s="1">
        <v>0.2</v>
      </c>
      <c r="DY80" s="1">
        <v>0.3</v>
      </c>
      <c r="DZ80" s="1">
        <v>0.25</v>
      </c>
      <c r="EA80" s="1">
        <v>0.2</v>
      </c>
      <c r="EB80" s="1">
        <v>0.3</v>
      </c>
      <c r="EC80" s="1">
        <v>0.5</v>
      </c>
      <c r="ED80" s="1">
        <v>0.4</v>
      </c>
      <c r="EE80" s="1">
        <v>0.6</v>
      </c>
      <c r="EF80" s="1">
        <v>0.5</v>
      </c>
      <c r="EG80" s="1">
        <v>0.5</v>
      </c>
      <c r="EH80" s="1">
        <v>0.5</v>
      </c>
      <c r="EL80" s="1">
        <v>365</v>
      </c>
      <c r="EM80" s="1">
        <v>328</v>
      </c>
      <c r="EN80" s="1">
        <v>402</v>
      </c>
      <c r="EO80" s="10"/>
      <c r="EP80" s="10"/>
      <c r="EQ80" s="10"/>
      <c r="ER80" s="1">
        <v>365</v>
      </c>
      <c r="ES80" s="1">
        <v>328</v>
      </c>
      <c r="ET80" s="1">
        <v>402</v>
      </c>
      <c r="EU80" s="1">
        <v>145.52352941176468</v>
      </c>
      <c r="EV80" s="18">
        <v>130.9711764705882</v>
      </c>
      <c r="EW80" s="18">
        <v>160.07588235294116</v>
      </c>
      <c r="EX80" s="18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>
        <v>9.972941176470588</v>
      </c>
      <c r="FK80" s="7">
        <v>3.5617647058823536</v>
      </c>
      <c r="FL80" s="7">
        <v>16.384117647058822</v>
      </c>
      <c r="FO80" s="1">
        <v>67</v>
      </c>
      <c r="FP80" s="1">
        <v>67</v>
      </c>
      <c r="FQ80" s="1">
        <v>67</v>
      </c>
      <c r="FR80" s="12" t="s">
        <v>743</v>
      </c>
      <c r="FS80" s="12" t="s">
        <v>743</v>
      </c>
      <c r="FT80" s="12" t="s">
        <v>743</v>
      </c>
      <c r="FU80" s="12"/>
      <c r="FV80" s="12" t="s">
        <v>743</v>
      </c>
      <c r="FW80" s="12" t="s">
        <v>743</v>
      </c>
      <c r="FX80" s="12" t="s">
        <v>743</v>
      </c>
      <c r="FY80" s="12" t="s">
        <v>743</v>
      </c>
      <c r="FZ80" s="12" t="s">
        <v>743</v>
      </c>
      <c r="GA80" s="12" t="s">
        <v>743</v>
      </c>
      <c r="GB80" s="12" t="s">
        <v>743</v>
      </c>
      <c r="GE80" s="12" t="s">
        <v>743</v>
      </c>
      <c r="GF80" s="12" t="s">
        <v>743</v>
      </c>
      <c r="GH80" s="12" t="s">
        <v>743</v>
      </c>
    </row>
    <row r="81" spans="1:190" ht="12.75" customHeight="1" x14ac:dyDescent="0.2">
      <c r="A81" s="1" t="s">
        <v>365</v>
      </c>
      <c r="B81" s="1" t="s">
        <v>645</v>
      </c>
      <c r="E81" s="1" t="s">
        <v>142</v>
      </c>
      <c r="F81" s="1">
        <v>2</v>
      </c>
      <c r="G81" s="1">
        <v>2050</v>
      </c>
      <c r="H81" s="1">
        <v>1</v>
      </c>
      <c r="I81" s="1">
        <v>0</v>
      </c>
      <c r="J81" s="1">
        <v>0</v>
      </c>
      <c r="K81" s="18"/>
      <c r="L81" s="18"/>
      <c r="M81" s="18"/>
      <c r="N81" s="18">
        <v>9110.64</v>
      </c>
      <c r="O81" s="18">
        <v>925.86270000000002</v>
      </c>
      <c r="P81" s="18">
        <v>24902.923500000001</v>
      </c>
      <c r="Q81" s="18">
        <v>4555.32</v>
      </c>
      <c r="R81" s="18">
        <v>0</v>
      </c>
      <c r="S81" s="18">
        <v>14345.786700000001</v>
      </c>
      <c r="T81" s="18">
        <v>9110.64</v>
      </c>
      <c r="U81" s="18">
        <v>925.86270000000002</v>
      </c>
      <c r="V81" s="18">
        <v>24902.923500000001</v>
      </c>
      <c r="W81" s="18">
        <v>4555.32</v>
      </c>
      <c r="X81" s="18">
        <v>0</v>
      </c>
      <c r="Y81" s="18">
        <v>14345.786700000001</v>
      </c>
      <c r="Z81" s="18">
        <v>9110.64</v>
      </c>
      <c r="AA81" s="18">
        <v>925.86270000000002</v>
      </c>
      <c r="AB81" s="18">
        <v>24902.923500000001</v>
      </c>
      <c r="AC81" s="18">
        <v>4555.32</v>
      </c>
      <c r="AD81" s="18">
        <v>0</v>
      </c>
      <c r="AE81" s="18">
        <v>14345.786700000001</v>
      </c>
      <c r="AF81" s="18">
        <v>9110.64</v>
      </c>
      <c r="AG81" s="18">
        <v>925.86270000000002</v>
      </c>
      <c r="AH81" s="18">
        <v>24902.923500000001</v>
      </c>
      <c r="AI81" s="18">
        <v>4555.32</v>
      </c>
      <c r="AJ81" s="18">
        <v>0</v>
      </c>
      <c r="AK81" s="18">
        <v>14345.786700000001</v>
      </c>
      <c r="AL81" s="18">
        <v>9110.64</v>
      </c>
      <c r="AM81" s="18">
        <v>925.86270000000002</v>
      </c>
      <c r="AN81" s="18">
        <v>24902.923500000001</v>
      </c>
      <c r="AO81" s="18">
        <v>4555.32</v>
      </c>
      <c r="AP81" s="18">
        <v>0</v>
      </c>
      <c r="AQ81" s="18">
        <v>14345.786700000001</v>
      </c>
      <c r="AR81" s="18">
        <v>9110.64</v>
      </c>
      <c r="AS81" s="18">
        <v>925.86270000000002</v>
      </c>
      <c r="AT81" s="18">
        <v>24902.923500000001</v>
      </c>
      <c r="AU81" s="18">
        <v>4555.32</v>
      </c>
      <c r="AV81" s="18">
        <v>0</v>
      </c>
      <c r="AW81" s="18">
        <v>14345.786700000001</v>
      </c>
      <c r="AX81" s="18">
        <v>9110.64</v>
      </c>
      <c r="AY81" s="18">
        <v>925.86270000000002</v>
      </c>
      <c r="AZ81" s="18">
        <v>24902.923500000001</v>
      </c>
      <c r="BA81" s="18">
        <v>4555.32</v>
      </c>
      <c r="BB81" s="18">
        <v>0</v>
      </c>
      <c r="BC81" s="18">
        <v>14345.786700000001</v>
      </c>
      <c r="BD81" s="18">
        <v>9110.64</v>
      </c>
      <c r="BE81" s="18">
        <v>925.86270000000002</v>
      </c>
      <c r="BF81" s="18">
        <v>24902.923500000001</v>
      </c>
      <c r="BG81" s="18">
        <v>4555.32</v>
      </c>
      <c r="BH81" s="18">
        <v>0</v>
      </c>
      <c r="BI81" s="18">
        <v>14345.786700000001</v>
      </c>
      <c r="BJ81" s="18">
        <v>9110.64</v>
      </c>
      <c r="BK81" s="18">
        <v>925.86270000000002</v>
      </c>
      <c r="BL81" s="18">
        <v>24902.923500000001</v>
      </c>
      <c r="BM81" s="18">
        <v>4555.32</v>
      </c>
      <c r="BN81" s="18">
        <v>0</v>
      </c>
      <c r="BO81" s="18">
        <v>14345.786700000001</v>
      </c>
      <c r="BP81" s="18"/>
      <c r="BQ81" s="18"/>
      <c r="BR81" s="18"/>
      <c r="BS81" s="18"/>
      <c r="BT81" s="10">
        <f>Tabelle58971121[[#This Row],[Mindestauslastung durch]]*Tabelle58971121[[#This Row],[installierte Leistung MW durch]]</f>
        <v>6211.8</v>
      </c>
      <c r="BU81" s="10">
        <f>Tabelle58971121[[#This Row],[Mindestauslastung min]]*Tabelle58971121[[#This Row],[installierte Leistung MW min]]</f>
        <v>6038.2349999999997</v>
      </c>
      <c r="BV81" s="10">
        <f>Tabelle58971121[[#This Row],[Mindestauslastung max]]*Tabelle58971121[[#This Row],[installierte Leistung MW max]]</f>
        <v>6385.3649999999998</v>
      </c>
      <c r="BW81" s="8">
        <v>0.15</v>
      </c>
      <c r="BX81" s="8">
        <v>0.15</v>
      </c>
      <c r="BY81" s="8">
        <v>0.15</v>
      </c>
      <c r="BZ81" s="8"/>
      <c r="CA81" s="8">
        <v>0.22</v>
      </c>
      <c r="CB81" s="8">
        <v>2.3E-2</v>
      </c>
      <c r="CC81" s="8">
        <v>0.58499999999999996</v>
      </c>
      <c r="CD81" s="8">
        <v>0.22</v>
      </c>
      <c r="CE81" s="8">
        <v>2.3E-2</v>
      </c>
      <c r="CF81" s="8">
        <v>0.58499999999999996</v>
      </c>
      <c r="CG81" s="8">
        <v>0.22</v>
      </c>
      <c r="CH81" s="8">
        <v>2.3E-2</v>
      </c>
      <c r="CI81" s="8">
        <v>0.58499999999999996</v>
      </c>
      <c r="CJ81" s="8">
        <v>0.22</v>
      </c>
      <c r="CK81" s="8">
        <v>2.3E-2</v>
      </c>
      <c r="CL81" s="8">
        <v>0.58499999999999996</v>
      </c>
      <c r="CM81" s="8">
        <v>0.22</v>
      </c>
      <c r="CN81" s="8">
        <v>2.3E-2</v>
      </c>
      <c r="CO81" s="8">
        <v>0.58499999999999996</v>
      </c>
      <c r="CP81" s="8">
        <v>0.22</v>
      </c>
      <c r="CQ81" s="8">
        <v>2.3E-2</v>
      </c>
      <c r="CR81" s="8">
        <v>0.58499999999999996</v>
      </c>
      <c r="CS81" s="8">
        <v>0.22</v>
      </c>
      <c r="CT81" s="8">
        <v>2.3E-2</v>
      </c>
      <c r="CU81" s="8">
        <v>0.58499999999999996</v>
      </c>
      <c r="CV81" s="8">
        <v>0.22</v>
      </c>
      <c r="CW81" s="8">
        <v>2.3E-2</v>
      </c>
      <c r="CX81" s="8">
        <v>0.58499999999999996</v>
      </c>
      <c r="CY81" s="8">
        <v>0.22</v>
      </c>
      <c r="CZ81" s="8">
        <v>2.3E-2</v>
      </c>
      <c r="DA81" s="8">
        <v>0.58499999999999996</v>
      </c>
      <c r="DB81" s="8"/>
      <c r="DC81" s="8"/>
      <c r="DD81" s="8"/>
      <c r="DE81" s="48">
        <f>Tabelle58971121[[#This Row],[Durchschnittsauslastung min]]*Tabelle58971121[[#This Row],[installierte Leistung MW min]]</f>
        <v>0</v>
      </c>
      <c r="DF81" s="48">
        <f>Tabelle58971121[[#This Row],[Durchschnittsauslastung durch]]*Tabelle58971121[[#This Row],[installierte Leistung MW durch]]</f>
        <v>0</v>
      </c>
      <c r="DG81" s="48">
        <f>Tabelle58971121[[#This Row],[Durchschnittsauslastung max]]*Tabelle58971121[[#This Row],[installierte Leistung MW max]]</f>
        <v>0</v>
      </c>
      <c r="DH81" s="87">
        <f>Tabelle58971121[[#This Row],[Maximalauslastung durch]]*Tabelle58971121[[#This Row],[installierte Leistung MW min]]</f>
        <v>13284.117000000002</v>
      </c>
      <c r="DI81" s="48">
        <f>Tabelle58971121[[#This Row],[Maximalauslastung durch]]*Tabelle58971121[[#This Row],[installierte Leistung MW durch]]</f>
        <v>13665.960000000001</v>
      </c>
      <c r="DJ81" s="18">
        <f>Tabelle58971121[[#This Row],[Maximalauslastung max]]*Tabelle58971121[[#This Row],[installierte Leistung MW durch]]</f>
        <v>14908.32</v>
      </c>
      <c r="DK81" s="8">
        <v>0.33</v>
      </c>
      <c r="DL81" s="8">
        <v>0.3</v>
      </c>
      <c r="DM81" s="8">
        <v>0.36</v>
      </c>
      <c r="DN81" s="1">
        <v>41412</v>
      </c>
      <c r="DO81" s="1">
        <v>40254.9</v>
      </c>
      <c r="DP81" s="1">
        <v>42569.1</v>
      </c>
      <c r="DQ81" s="18"/>
      <c r="DR81" s="18"/>
      <c r="DW81" s="1">
        <v>0.25</v>
      </c>
      <c r="DX81" s="1">
        <v>0.2</v>
      </c>
      <c r="DY81" s="1">
        <v>0.3</v>
      </c>
      <c r="DZ81" s="1">
        <v>0.25</v>
      </c>
      <c r="EA81" s="1">
        <v>0.2</v>
      </c>
      <c r="EB81" s="1">
        <v>0.3</v>
      </c>
      <c r="EC81" s="1">
        <v>0.5</v>
      </c>
      <c r="ED81" s="1">
        <v>0.4</v>
      </c>
      <c r="EE81" s="1">
        <v>0.6</v>
      </c>
      <c r="EF81" s="1">
        <v>0.5</v>
      </c>
      <c r="EG81" s="1">
        <v>0.5</v>
      </c>
      <c r="EH81" s="1">
        <v>0.5</v>
      </c>
      <c r="EL81" s="1">
        <v>365</v>
      </c>
      <c r="EM81" s="1">
        <v>328</v>
      </c>
      <c r="EN81" s="1">
        <v>402</v>
      </c>
      <c r="EO81" s="10"/>
      <c r="EP81" s="10"/>
      <c r="EQ81" s="10"/>
      <c r="ER81" s="1">
        <v>365</v>
      </c>
      <c r="ES81" s="1">
        <v>328</v>
      </c>
      <c r="ET81" s="1">
        <v>402</v>
      </c>
      <c r="EU81" s="1">
        <v>145.52352941176468</v>
      </c>
      <c r="EV81" s="18">
        <v>130.9711764705882</v>
      </c>
      <c r="EW81" s="18">
        <v>160.07588235294116</v>
      </c>
      <c r="EX81" s="18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>
        <v>9.972941176470588</v>
      </c>
      <c r="FK81" s="7">
        <v>3.5617647058823536</v>
      </c>
      <c r="FL81" s="7">
        <v>16.384117647058822</v>
      </c>
      <c r="FO81" s="1">
        <v>67</v>
      </c>
      <c r="FP81" s="1">
        <v>67</v>
      </c>
      <c r="FQ81" s="1">
        <v>67</v>
      </c>
      <c r="FR81" s="12" t="s">
        <v>743</v>
      </c>
      <c r="FS81" s="12" t="s">
        <v>743</v>
      </c>
      <c r="FT81" s="12" t="s">
        <v>743</v>
      </c>
      <c r="FU81" s="12"/>
      <c r="FV81" s="12" t="s">
        <v>743</v>
      </c>
      <c r="FW81" s="12" t="s">
        <v>743</v>
      </c>
      <c r="FX81" s="12" t="s">
        <v>743</v>
      </c>
      <c r="FY81" s="12" t="s">
        <v>743</v>
      </c>
      <c r="FZ81" s="12" t="s">
        <v>743</v>
      </c>
      <c r="GA81" s="12" t="s">
        <v>743</v>
      </c>
      <c r="GB81" s="12" t="s">
        <v>743</v>
      </c>
      <c r="GE81" s="12" t="s">
        <v>743</v>
      </c>
      <c r="GF81" s="12" t="s">
        <v>743</v>
      </c>
      <c r="GH81" s="12" t="s">
        <v>743</v>
      </c>
    </row>
    <row r="82" spans="1:190" ht="12.75" customHeight="1" x14ac:dyDescent="0.2">
      <c r="A82" s="1" t="s">
        <v>135</v>
      </c>
      <c r="B82" s="1" t="s">
        <v>648</v>
      </c>
      <c r="E82" s="1" t="s">
        <v>142</v>
      </c>
      <c r="F82" s="1">
        <v>2</v>
      </c>
      <c r="G82" s="1">
        <v>2015</v>
      </c>
      <c r="H82" s="1">
        <v>1</v>
      </c>
      <c r="I82" s="1">
        <v>0</v>
      </c>
      <c r="J82" s="1">
        <v>0</v>
      </c>
      <c r="K82" s="18"/>
      <c r="L82" s="18"/>
      <c r="M82" s="18"/>
      <c r="N82" s="18">
        <v>1317.1560416666671</v>
      </c>
      <c r="O82" s="18">
        <v>924.81399999999996</v>
      </c>
      <c r="P82" s="18">
        <v>1809.2249999999999</v>
      </c>
      <c r="Q82" s="18">
        <v>0</v>
      </c>
      <c r="R82" s="18">
        <v>0</v>
      </c>
      <c r="S82" s="18">
        <v>0</v>
      </c>
      <c r="T82" s="18">
        <v>1317.1560416666671</v>
      </c>
      <c r="U82" s="18">
        <v>924.81399999999996</v>
      </c>
      <c r="V82" s="18">
        <v>1809.2249999999999</v>
      </c>
      <c r="W82" s="18">
        <v>0</v>
      </c>
      <c r="X82" s="18">
        <v>0</v>
      </c>
      <c r="Y82" s="18">
        <v>0</v>
      </c>
      <c r="Z82" s="18">
        <v>1317.1560416666671</v>
      </c>
      <c r="AA82" s="18">
        <v>924.81399999999996</v>
      </c>
      <c r="AB82" s="18">
        <v>1809.2249999999999</v>
      </c>
      <c r="AC82" s="18">
        <v>0</v>
      </c>
      <c r="AD82" s="18">
        <v>0</v>
      </c>
      <c r="AE82" s="18">
        <v>0</v>
      </c>
      <c r="AF82" s="18">
        <v>1317.1560416666671</v>
      </c>
      <c r="AG82" s="18">
        <v>924.81399999999996</v>
      </c>
      <c r="AH82" s="18">
        <v>1809.2249999999999</v>
      </c>
      <c r="AI82" s="18">
        <v>0</v>
      </c>
      <c r="AJ82" s="18">
        <v>0</v>
      </c>
      <c r="AK82" s="18">
        <v>0</v>
      </c>
      <c r="AL82" s="18">
        <v>1317.1560416666671</v>
      </c>
      <c r="AM82" s="18">
        <v>924.81399999999996</v>
      </c>
      <c r="AN82" s="18">
        <v>1809.2249999999999</v>
      </c>
      <c r="AO82" s="18">
        <v>0</v>
      </c>
      <c r="AP82" s="18">
        <v>0</v>
      </c>
      <c r="AQ82" s="18">
        <v>0</v>
      </c>
      <c r="AR82" s="18">
        <v>1317.1560416666671</v>
      </c>
      <c r="AS82" s="18">
        <v>924.81399999999996</v>
      </c>
      <c r="AT82" s="18">
        <v>1809.2249999999999</v>
      </c>
      <c r="AU82" s="18">
        <v>0</v>
      </c>
      <c r="AV82" s="18">
        <v>0</v>
      </c>
      <c r="AW82" s="18">
        <v>0</v>
      </c>
      <c r="AX82" s="18">
        <v>1317.1560416666671</v>
      </c>
      <c r="AY82" s="18">
        <v>924.81399999999996</v>
      </c>
      <c r="AZ82" s="18">
        <v>1809.2249999999999</v>
      </c>
      <c r="BA82" s="18">
        <v>0</v>
      </c>
      <c r="BB82" s="18">
        <v>0</v>
      </c>
      <c r="BC82" s="18">
        <v>0</v>
      </c>
      <c r="BD82" s="18">
        <v>1317.1560416666671</v>
      </c>
      <c r="BE82" s="18">
        <v>924.81399999999996</v>
      </c>
      <c r="BF82" s="18">
        <v>1809.2249999999999</v>
      </c>
      <c r="BG82" s="18">
        <v>0</v>
      </c>
      <c r="BH82" s="18">
        <v>0</v>
      </c>
      <c r="BI82" s="18">
        <v>0</v>
      </c>
      <c r="BJ82" s="18">
        <v>1317.1560416666671</v>
      </c>
      <c r="BK82" s="18">
        <v>924.81399999999996</v>
      </c>
      <c r="BL82" s="18">
        <v>1809.2249999999999</v>
      </c>
      <c r="BM82" s="18">
        <v>0</v>
      </c>
      <c r="BN82" s="18">
        <v>0</v>
      </c>
      <c r="BO82" s="18">
        <v>0</v>
      </c>
      <c r="BP82" s="18"/>
      <c r="BQ82" s="18"/>
      <c r="BR82" s="18"/>
      <c r="BS82" s="18"/>
      <c r="BT82" s="10">
        <f>Tabelle58971121[[#This Row],[Mindestauslastung durch]]*Tabelle58971121[[#This Row],[installierte Leistung MW durch]]</f>
        <v>592.35</v>
      </c>
      <c r="BU82" s="10">
        <f>Tabelle58971121[[#This Row],[Mindestauslastung min]]*Tabelle58971121[[#This Row],[installierte Leistung MW min]]</f>
        <v>546.15</v>
      </c>
      <c r="BV82" s="10">
        <f>Tabelle58971121[[#This Row],[Mindestauslastung max]]*Tabelle58971121[[#This Row],[installierte Leistung MW max]]</f>
        <v>638.54999999999995</v>
      </c>
      <c r="BW82" s="8">
        <v>0.15</v>
      </c>
      <c r="BX82" s="8">
        <v>0.15</v>
      </c>
      <c r="BY82" s="8">
        <v>0.15</v>
      </c>
      <c r="BZ82" s="8"/>
      <c r="CA82" s="8">
        <v>0.33354166666666663</v>
      </c>
      <c r="CB82" s="8">
        <v>0.254</v>
      </c>
      <c r="CC82" s="8">
        <v>0.42499999999999999</v>
      </c>
      <c r="CD82" s="8">
        <v>0.33354166666666663</v>
      </c>
      <c r="CE82" s="8">
        <v>0.254</v>
      </c>
      <c r="CF82" s="8">
        <v>0.42499999999999999</v>
      </c>
      <c r="CG82" s="8">
        <v>0.33354166666666663</v>
      </c>
      <c r="CH82" s="8">
        <v>0.254</v>
      </c>
      <c r="CI82" s="8">
        <v>0.42499999999999999</v>
      </c>
      <c r="CJ82" s="8">
        <v>0.33354166666666663</v>
      </c>
      <c r="CK82" s="8">
        <v>0.254</v>
      </c>
      <c r="CL82" s="8">
        <v>0.42499999999999999</v>
      </c>
      <c r="CM82" s="8">
        <v>0.33354166666666663</v>
      </c>
      <c r="CN82" s="8">
        <v>0.254</v>
      </c>
      <c r="CO82" s="8">
        <v>0.42499999999999999</v>
      </c>
      <c r="CP82" s="8">
        <v>0.33354166666666663</v>
      </c>
      <c r="CQ82" s="8">
        <v>0.254</v>
      </c>
      <c r="CR82" s="8">
        <v>0.42499999999999999</v>
      </c>
      <c r="CS82" s="8">
        <v>0.33354166666666663</v>
      </c>
      <c r="CT82" s="8">
        <v>0.254</v>
      </c>
      <c r="CU82" s="8">
        <v>0.42499999999999999</v>
      </c>
      <c r="CV82" s="8">
        <v>0.33354166666666663</v>
      </c>
      <c r="CW82" s="8">
        <v>0.254</v>
      </c>
      <c r="CX82" s="8">
        <v>0.42499999999999999</v>
      </c>
      <c r="CY82" s="8">
        <v>0.33354166666666663</v>
      </c>
      <c r="CZ82" s="8">
        <v>0.254</v>
      </c>
      <c r="DA82" s="8">
        <v>0.42499999999999999</v>
      </c>
      <c r="DB82" s="8"/>
      <c r="DC82" s="8"/>
      <c r="DD82" s="8"/>
      <c r="DE82" s="48">
        <f>Tabelle58971121[[#This Row],[Durchschnittsauslastung min]]*Tabelle58971121[[#This Row],[installierte Leistung MW min]]</f>
        <v>0</v>
      </c>
      <c r="DF82" s="48">
        <f>Tabelle58971121[[#This Row],[Durchschnittsauslastung durch]]*Tabelle58971121[[#This Row],[installierte Leistung MW durch]]</f>
        <v>0</v>
      </c>
      <c r="DG82" s="48">
        <f>Tabelle58971121[[#This Row],[Durchschnittsauslastung max]]*Tabelle58971121[[#This Row],[installierte Leistung MW max]]</f>
        <v>0</v>
      </c>
      <c r="DH82" s="87">
        <f>Tabelle58971121[[#This Row],[Maximalauslastung durch]]*Tabelle58971121[[#This Row],[installierte Leistung MW min]]</f>
        <v>3641</v>
      </c>
      <c r="DI82" s="48">
        <f>Tabelle58971121[[#This Row],[Maximalauslastung durch]]*Tabelle58971121[[#This Row],[installierte Leistung MW durch]]</f>
        <v>3949</v>
      </c>
      <c r="DJ82" s="18">
        <f>Tabelle58971121[[#This Row],[Maximalauslastung max]]*Tabelle58971121[[#This Row],[installierte Leistung MW durch]]</f>
        <v>3949</v>
      </c>
      <c r="DK82" s="8">
        <v>1</v>
      </c>
      <c r="DL82" s="8">
        <v>1</v>
      </c>
      <c r="DM82" s="8">
        <v>1</v>
      </c>
      <c r="DN82" s="1">
        <v>3949</v>
      </c>
      <c r="DO82" s="1">
        <v>3641</v>
      </c>
      <c r="DP82" s="1">
        <v>4257</v>
      </c>
      <c r="DQ82" s="18"/>
      <c r="DR82" s="18"/>
      <c r="DW82" s="1">
        <v>0.25</v>
      </c>
      <c r="DX82" s="1">
        <v>0.2</v>
      </c>
      <c r="DY82" s="1">
        <v>0.3</v>
      </c>
      <c r="DZ82" s="1">
        <v>0.25</v>
      </c>
      <c r="EA82" s="1">
        <v>0.2</v>
      </c>
      <c r="EB82" s="1">
        <v>0.3</v>
      </c>
      <c r="EC82" s="1">
        <v>4.5</v>
      </c>
      <c r="ED82" s="1">
        <v>3</v>
      </c>
      <c r="EE82" s="1">
        <v>6</v>
      </c>
      <c r="EF82" s="1">
        <v>0.4</v>
      </c>
      <c r="EG82" s="1">
        <v>0.3</v>
      </c>
      <c r="EH82" s="1">
        <v>0.5</v>
      </c>
      <c r="EL82" s="1">
        <v>6570</v>
      </c>
      <c r="EM82" s="1">
        <v>4380</v>
      </c>
      <c r="EN82" s="1">
        <v>8760</v>
      </c>
      <c r="EO82" s="10"/>
      <c r="EP82" s="10"/>
      <c r="EQ82" s="10"/>
      <c r="ER82" s="1">
        <v>6570</v>
      </c>
      <c r="ES82" s="1">
        <v>4380</v>
      </c>
      <c r="ET82" s="1">
        <v>8760</v>
      </c>
      <c r="EU82" s="1">
        <v>64.315294117647056</v>
      </c>
      <c r="EV82" s="18">
        <v>57.904117647058833</v>
      </c>
      <c r="EW82" s="18">
        <v>70.726470588235287</v>
      </c>
      <c r="EX82" s="18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>
        <v>1211</v>
      </c>
      <c r="FK82" s="7">
        <v>1089.8999999999999</v>
      </c>
      <c r="FL82" s="7">
        <v>1332.1</v>
      </c>
      <c r="FO82" s="1">
        <v>67</v>
      </c>
      <c r="FP82" s="1">
        <v>67</v>
      </c>
      <c r="FQ82" s="1">
        <v>67</v>
      </c>
      <c r="FR82" s="12" t="s">
        <v>743</v>
      </c>
      <c r="FS82" s="12" t="s">
        <v>743</v>
      </c>
      <c r="FT82" s="12" t="s">
        <v>743</v>
      </c>
      <c r="FU82" s="12"/>
      <c r="FV82" s="12" t="s">
        <v>743</v>
      </c>
      <c r="FW82" s="12" t="s">
        <v>743</v>
      </c>
      <c r="FX82" s="12" t="s">
        <v>743</v>
      </c>
      <c r="FY82" s="12" t="s">
        <v>743</v>
      </c>
      <c r="FZ82" s="12" t="s">
        <v>743</v>
      </c>
      <c r="GA82" s="12" t="s">
        <v>743</v>
      </c>
      <c r="GB82" s="12" t="s">
        <v>743</v>
      </c>
      <c r="GE82" s="12" t="s">
        <v>743</v>
      </c>
      <c r="GF82" s="12" t="s">
        <v>743</v>
      </c>
      <c r="GH82" s="12" t="s">
        <v>743</v>
      </c>
    </row>
    <row r="83" spans="1:190" ht="12.75" customHeight="1" x14ac:dyDescent="0.2">
      <c r="A83" s="1" t="s">
        <v>135</v>
      </c>
      <c r="B83" s="1" t="s">
        <v>648</v>
      </c>
      <c r="E83" s="1" t="s">
        <v>142</v>
      </c>
      <c r="F83" s="1">
        <v>2</v>
      </c>
      <c r="G83" s="1">
        <v>2020</v>
      </c>
      <c r="H83" s="1">
        <v>1</v>
      </c>
      <c r="I83" s="1">
        <v>0</v>
      </c>
      <c r="J83" s="1">
        <v>0</v>
      </c>
      <c r="K83" s="18"/>
      <c r="L83" s="18"/>
      <c r="M83" s="18"/>
      <c r="N83" s="18">
        <v>1080.0679541666671</v>
      </c>
      <c r="O83" s="18">
        <v>758.3474799999999</v>
      </c>
      <c r="P83" s="18">
        <v>1483.5644999999997</v>
      </c>
      <c r="Q83" s="18">
        <v>0</v>
      </c>
      <c r="R83" s="18">
        <v>0</v>
      </c>
      <c r="S83" s="18">
        <v>0</v>
      </c>
      <c r="T83" s="18">
        <v>1080.0679541666671</v>
      </c>
      <c r="U83" s="18">
        <v>758.3474799999999</v>
      </c>
      <c r="V83" s="18">
        <v>1483.5644999999997</v>
      </c>
      <c r="W83" s="18">
        <v>0</v>
      </c>
      <c r="X83" s="18">
        <v>0</v>
      </c>
      <c r="Y83" s="18">
        <v>0</v>
      </c>
      <c r="Z83" s="18">
        <v>1080.0679541666671</v>
      </c>
      <c r="AA83" s="18">
        <v>758.3474799999999</v>
      </c>
      <c r="AB83" s="18">
        <v>1483.5644999999997</v>
      </c>
      <c r="AC83" s="18">
        <v>0</v>
      </c>
      <c r="AD83" s="18">
        <v>0</v>
      </c>
      <c r="AE83" s="18">
        <v>0</v>
      </c>
      <c r="AF83" s="18">
        <v>1080.0679541666671</v>
      </c>
      <c r="AG83" s="18">
        <v>758.3474799999999</v>
      </c>
      <c r="AH83" s="18">
        <v>1483.5644999999997</v>
      </c>
      <c r="AI83" s="18">
        <v>0</v>
      </c>
      <c r="AJ83" s="18">
        <v>0</v>
      </c>
      <c r="AK83" s="18">
        <v>0</v>
      </c>
      <c r="AL83" s="18">
        <v>1080.0679541666671</v>
      </c>
      <c r="AM83" s="18">
        <v>758.3474799999999</v>
      </c>
      <c r="AN83" s="18">
        <v>1483.5644999999997</v>
      </c>
      <c r="AO83" s="18">
        <v>0</v>
      </c>
      <c r="AP83" s="18">
        <v>0</v>
      </c>
      <c r="AQ83" s="18">
        <v>0</v>
      </c>
      <c r="AR83" s="18">
        <v>1080.0679541666671</v>
      </c>
      <c r="AS83" s="18">
        <v>758.3474799999999</v>
      </c>
      <c r="AT83" s="18">
        <v>1483.5644999999997</v>
      </c>
      <c r="AU83" s="18">
        <v>0</v>
      </c>
      <c r="AV83" s="18">
        <v>0</v>
      </c>
      <c r="AW83" s="18">
        <v>0</v>
      </c>
      <c r="AX83" s="18">
        <v>1080.0679541666671</v>
      </c>
      <c r="AY83" s="18">
        <v>758.3474799999999</v>
      </c>
      <c r="AZ83" s="18">
        <v>1483.5644999999997</v>
      </c>
      <c r="BA83" s="18">
        <v>0</v>
      </c>
      <c r="BB83" s="18">
        <v>0</v>
      </c>
      <c r="BC83" s="18">
        <v>0</v>
      </c>
      <c r="BD83" s="18">
        <v>1080.0679541666671</v>
      </c>
      <c r="BE83" s="18">
        <v>758.3474799999999</v>
      </c>
      <c r="BF83" s="18">
        <v>1483.5644999999997</v>
      </c>
      <c r="BG83" s="18">
        <v>0</v>
      </c>
      <c r="BH83" s="18">
        <v>0</v>
      </c>
      <c r="BI83" s="18">
        <v>0</v>
      </c>
      <c r="BJ83" s="18">
        <v>1080.0679541666671</v>
      </c>
      <c r="BK83" s="18">
        <v>758.3474799999999</v>
      </c>
      <c r="BL83" s="18">
        <v>1483.5644999999997</v>
      </c>
      <c r="BM83" s="18">
        <v>0</v>
      </c>
      <c r="BN83" s="18">
        <v>0</v>
      </c>
      <c r="BO83" s="18">
        <v>0</v>
      </c>
      <c r="BP83" s="18"/>
      <c r="BQ83" s="18"/>
      <c r="BR83" s="18"/>
      <c r="BS83" s="18"/>
      <c r="BT83" s="10">
        <f>Tabelle58971121[[#This Row],[Mindestauslastung durch]]*Tabelle58971121[[#This Row],[installierte Leistung MW durch]]</f>
        <v>485.72699999999998</v>
      </c>
      <c r="BU83" s="10">
        <f>Tabelle58971121[[#This Row],[Mindestauslastung min]]*Tabelle58971121[[#This Row],[installierte Leistung MW min]]</f>
        <v>447.84299999999996</v>
      </c>
      <c r="BV83" s="10">
        <f>Tabelle58971121[[#This Row],[Mindestauslastung max]]*Tabelle58971121[[#This Row],[installierte Leistung MW max]]</f>
        <v>523.61099999999999</v>
      </c>
      <c r="BW83" s="8">
        <v>0.15</v>
      </c>
      <c r="BX83" s="8">
        <v>0.15</v>
      </c>
      <c r="BY83" s="8">
        <v>0.15</v>
      </c>
      <c r="BZ83" s="8"/>
      <c r="CA83" s="8">
        <v>0.33354166666666663</v>
      </c>
      <c r="CB83" s="8">
        <v>0.254</v>
      </c>
      <c r="CC83" s="8">
        <v>0.42499999999999999</v>
      </c>
      <c r="CD83" s="8">
        <v>0.33354166666666663</v>
      </c>
      <c r="CE83" s="8">
        <v>0.254</v>
      </c>
      <c r="CF83" s="8">
        <v>0.42499999999999999</v>
      </c>
      <c r="CG83" s="8">
        <v>0.33354166666666663</v>
      </c>
      <c r="CH83" s="8">
        <v>0.254</v>
      </c>
      <c r="CI83" s="8">
        <v>0.42499999999999999</v>
      </c>
      <c r="CJ83" s="8">
        <v>0.33354166666666663</v>
      </c>
      <c r="CK83" s="8">
        <v>0.254</v>
      </c>
      <c r="CL83" s="8">
        <v>0.42499999999999999</v>
      </c>
      <c r="CM83" s="8">
        <v>0.33354166666666663</v>
      </c>
      <c r="CN83" s="8">
        <v>0.254</v>
      </c>
      <c r="CO83" s="8">
        <v>0.42499999999999999</v>
      </c>
      <c r="CP83" s="8">
        <v>0.33354166666666663</v>
      </c>
      <c r="CQ83" s="8">
        <v>0.254</v>
      </c>
      <c r="CR83" s="8">
        <v>0.42499999999999999</v>
      </c>
      <c r="CS83" s="8">
        <v>0.33354166666666663</v>
      </c>
      <c r="CT83" s="8">
        <v>0.254</v>
      </c>
      <c r="CU83" s="8">
        <v>0.42499999999999999</v>
      </c>
      <c r="CV83" s="8">
        <v>0.33354166666666663</v>
      </c>
      <c r="CW83" s="8">
        <v>0.254</v>
      </c>
      <c r="CX83" s="8">
        <v>0.42499999999999999</v>
      </c>
      <c r="CY83" s="8">
        <v>0.33354166666666663</v>
      </c>
      <c r="CZ83" s="8">
        <v>0.254</v>
      </c>
      <c r="DA83" s="8">
        <v>0.42499999999999999</v>
      </c>
      <c r="DB83" s="8"/>
      <c r="DC83" s="8"/>
      <c r="DD83" s="8"/>
      <c r="DE83" s="48">
        <f>Tabelle58971121[[#This Row],[Durchschnittsauslastung min]]*Tabelle58971121[[#This Row],[installierte Leistung MW min]]</f>
        <v>0</v>
      </c>
      <c r="DF83" s="48">
        <f>Tabelle58971121[[#This Row],[Durchschnittsauslastung durch]]*Tabelle58971121[[#This Row],[installierte Leistung MW durch]]</f>
        <v>0</v>
      </c>
      <c r="DG83" s="48">
        <f>Tabelle58971121[[#This Row],[Durchschnittsauslastung max]]*Tabelle58971121[[#This Row],[installierte Leistung MW max]]</f>
        <v>0</v>
      </c>
      <c r="DH83" s="87">
        <f>Tabelle58971121[[#This Row],[Maximalauslastung durch]]*Tabelle58971121[[#This Row],[installierte Leistung MW min]]</f>
        <v>2985.62</v>
      </c>
      <c r="DI83" s="48">
        <f>Tabelle58971121[[#This Row],[Maximalauslastung durch]]*Tabelle58971121[[#This Row],[installierte Leistung MW durch]]</f>
        <v>3238.18</v>
      </c>
      <c r="DJ83" s="18">
        <f>Tabelle58971121[[#This Row],[Maximalauslastung max]]*Tabelle58971121[[#This Row],[installierte Leistung MW durch]]</f>
        <v>3238.18</v>
      </c>
      <c r="DK83" s="8">
        <v>1</v>
      </c>
      <c r="DL83" s="8">
        <v>1</v>
      </c>
      <c r="DM83" s="8">
        <v>1</v>
      </c>
      <c r="DN83" s="1">
        <v>3238.18</v>
      </c>
      <c r="DO83" s="1">
        <v>2985.62</v>
      </c>
      <c r="DP83" s="1">
        <v>3490.74</v>
      </c>
      <c r="DQ83" s="18"/>
      <c r="DR83" s="18"/>
      <c r="DW83" s="1">
        <v>0.25</v>
      </c>
      <c r="DX83" s="1">
        <v>0.2</v>
      </c>
      <c r="DY83" s="1">
        <v>0.3</v>
      </c>
      <c r="DZ83" s="1">
        <v>0.25</v>
      </c>
      <c r="EA83" s="1">
        <v>0.2</v>
      </c>
      <c r="EB83" s="1">
        <v>0.3</v>
      </c>
      <c r="EC83" s="1">
        <v>4.5</v>
      </c>
      <c r="ED83" s="1">
        <v>3</v>
      </c>
      <c r="EE83" s="1">
        <v>6</v>
      </c>
      <c r="EF83" s="1">
        <v>0.4</v>
      </c>
      <c r="EG83" s="1">
        <v>0.3</v>
      </c>
      <c r="EH83" s="1">
        <v>0.5</v>
      </c>
      <c r="EL83" s="1">
        <v>6570</v>
      </c>
      <c r="EM83" s="1">
        <v>4380</v>
      </c>
      <c r="EN83" s="1">
        <v>8760</v>
      </c>
      <c r="EO83" s="10"/>
      <c r="EP83" s="10"/>
      <c r="EQ83" s="10"/>
      <c r="ER83" s="1">
        <v>6570</v>
      </c>
      <c r="ES83" s="1">
        <v>4380</v>
      </c>
      <c r="ET83" s="1">
        <v>8760</v>
      </c>
      <c r="EU83" s="1">
        <v>64.315294117647056</v>
      </c>
      <c r="EV83" s="18">
        <v>57.904117647058833</v>
      </c>
      <c r="EW83" s="18">
        <v>70.726470588235287</v>
      </c>
      <c r="EX83" s="18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>
        <v>1211</v>
      </c>
      <c r="FK83" s="7">
        <v>1089.8999999999999</v>
      </c>
      <c r="FL83" s="7">
        <v>1332.1</v>
      </c>
      <c r="FO83" s="1">
        <v>67</v>
      </c>
      <c r="FP83" s="1">
        <v>67</v>
      </c>
      <c r="FQ83" s="1">
        <v>67</v>
      </c>
      <c r="FR83" s="12" t="s">
        <v>743</v>
      </c>
      <c r="FS83" s="12" t="s">
        <v>743</v>
      </c>
      <c r="FT83" s="12" t="s">
        <v>743</v>
      </c>
      <c r="FU83" s="12"/>
      <c r="FV83" s="12" t="s">
        <v>743</v>
      </c>
      <c r="FW83" s="12" t="s">
        <v>743</v>
      </c>
      <c r="FX83" s="12" t="s">
        <v>743</v>
      </c>
      <c r="FY83" s="12" t="s">
        <v>743</v>
      </c>
      <c r="FZ83" s="12" t="s">
        <v>743</v>
      </c>
      <c r="GA83" s="12" t="s">
        <v>743</v>
      </c>
      <c r="GB83" s="12" t="s">
        <v>743</v>
      </c>
      <c r="GE83" s="12" t="s">
        <v>743</v>
      </c>
      <c r="GF83" s="12" t="s">
        <v>743</v>
      </c>
      <c r="GH83" s="12" t="s">
        <v>743</v>
      </c>
    </row>
    <row r="84" spans="1:190" ht="12.75" customHeight="1" x14ac:dyDescent="0.2">
      <c r="A84" s="1" t="s">
        <v>135</v>
      </c>
      <c r="B84" s="1" t="s">
        <v>648</v>
      </c>
      <c r="E84" s="1" t="s">
        <v>142</v>
      </c>
      <c r="F84" s="1">
        <v>2</v>
      </c>
      <c r="G84" s="1">
        <v>2025</v>
      </c>
      <c r="H84" s="1">
        <v>1</v>
      </c>
      <c r="I84" s="1">
        <v>0</v>
      </c>
      <c r="J84" s="1">
        <v>0</v>
      </c>
      <c r="K84" s="18"/>
      <c r="L84" s="18"/>
      <c r="M84" s="18"/>
      <c r="N84" s="18">
        <v>935.18078958333354</v>
      </c>
      <c r="O84" s="18">
        <v>656.61793999999998</v>
      </c>
      <c r="P84" s="18">
        <v>1284.5497499999999</v>
      </c>
      <c r="Q84" s="18">
        <v>0</v>
      </c>
      <c r="R84" s="18">
        <v>0</v>
      </c>
      <c r="S84" s="18">
        <v>0</v>
      </c>
      <c r="T84" s="18">
        <v>935.18078958333354</v>
      </c>
      <c r="U84" s="18">
        <v>656.61793999999998</v>
      </c>
      <c r="V84" s="18">
        <v>1284.5497499999999</v>
      </c>
      <c r="W84" s="18">
        <v>0</v>
      </c>
      <c r="X84" s="18">
        <v>0</v>
      </c>
      <c r="Y84" s="18">
        <v>0</v>
      </c>
      <c r="Z84" s="18">
        <v>935.18078958333354</v>
      </c>
      <c r="AA84" s="18">
        <v>656.61793999999998</v>
      </c>
      <c r="AB84" s="18">
        <v>1284.5497499999999</v>
      </c>
      <c r="AC84" s="18">
        <v>0</v>
      </c>
      <c r="AD84" s="18">
        <v>0</v>
      </c>
      <c r="AE84" s="18">
        <v>0</v>
      </c>
      <c r="AF84" s="18">
        <v>935.18078958333354</v>
      </c>
      <c r="AG84" s="18">
        <v>656.61793999999998</v>
      </c>
      <c r="AH84" s="18">
        <v>1284.5497499999999</v>
      </c>
      <c r="AI84" s="18">
        <v>0</v>
      </c>
      <c r="AJ84" s="18">
        <v>0</v>
      </c>
      <c r="AK84" s="18">
        <v>0</v>
      </c>
      <c r="AL84" s="18">
        <v>935.18078958333354</v>
      </c>
      <c r="AM84" s="18">
        <v>656.61793999999998</v>
      </c>
      <c r="AN84" s="18">
        <v>1284.5497499999999</v>
      </c>
      <c r="AO84" s="18">
        <v>0</v>
      </c>
      <c r="AP84" s="18">
        <v>0</v>
      </c>
      <c r="AQ84" s="18">
        <v>0</v>
      </c>
      <c r="AR84" s="18">
        <v>935.18078958333354</v>
      </c>
      <c r="AS84" s="18">
        <v>656.61793999999998</v>
      </c>
      <c r="AT84" s="18">
        <v>1284.5497499999999</v>
      </c>
      <c r="AU84" s="18">
        <v>0</v>
      </c>
      <c r="AV84" s="18">
        <v>0</v>
      </c>
      <c r="AW84" s="18">
        <v>0</v>
      </c>
      <c r="AX84" s="18">
        <v>935.18078958333354</v>
      </c>
      <c r="AY84" s="18">
        <v>656.61793999999998</v>
      </c>
      <c r="AZ84" s="18">
        <v>1284.5497499999999</v>
      </c>
      <c r="BA84" s="18">
        <v>0</v>
      </c>
      <c r="BB84" s="18">
        <v>0</v>
      </c>
      <c r="BC84" s="18">
        <v>0</v>
      </c>
      <c r="BD84" s="18">
        <v>935.18078958333354</v>
      </c>
      <c r="BE84" s="18">
        <v>656.61793999999998</v>
      </c>
      <c r="BF84" s="18">
        <v>1284.5497499999999</v>
      </c>
      <c r="BG84" s="18">
        <v>0</v>
      </c>
      <c r="BH84" s="18">
        <v>0</v>
      </c>
      <c r="BI84" s="18">
        <v>0</v>
      </c>
      <c r="BJ84" s="18">
        <v>935.18078958333354</v>
      </c>
      <c r="BK84" s="18">
        <v>656.61793999999998</v>
      </c>
      <c r="BL84" s="18">
        <v>1284.5497499999999</v>
      </c>
      <c r="BM84" s="18">
        <v>0</v>
      </c>
      <c r="BN84" s="18">
        <v>0</v>
      </c>
      <c r="BO84" s="18">
        <v>0</v>
      </c>
      <c r="BP84" s="18"/>
      <c r="BQ84" s="18"/>
      <c r="BR84" s="18"/>
      <c r="BS84" s="18"/>
      <c r="BT84" s="10">
        <f>Tabelle58971121[[#This Row],[Mindestauslastung durch]]*Tabelle58971121[[#This Row],[installierte Leistung MW durch]]</f>
        <v>420.56849999999997</v>
      </c>
      <c r="BU84" s="10">
        <f>Tabelle58971121[[#This Row],[Mindestauslastung min]]*Tabelle58971121[[#This Row],[installierte Leistung MW min]]</f>
        <v>387.76650000000001</v>
      </c>
      <c r="BV84" s="10">
        <f>Tabelle58971121[[#This Row],[Mindestauslastung max]]*Tabelle58971121[[#This Row],[installierte Leistung MW max]]</f>
        <v>453.37049999999994</v>
      </c>
      <c r="BW84" s="8">
        <v>0.15</v>
      </c>
      <c r="BX84" s="8">
        <v>0.15</v>
      </c>
      <c r="BY84" s="8">
        <v>0.15</v>
      </c>
      <c r="BZ84" s="8"/>
      <c r="CA84" s="8">
        <v>0.33354166666666663</v>
      </c>
      <c r="CB84" s="8">
        <v>0.254</v>
      </c>
      <c r="CC84" s="8">
        <v>0.42499999999999999</v>
      </c>
      <c r="CD84" s="8">
        <v>0.33354166666666663</v>
      </c>
      <c r="CE84" s="8">
        <v>0.254</v>
      </c>
      <c r="CF84" s="8">
        <v>0.42499999999999999</v>
      </c>
      <c r="CG84" s="8">
        <v>0.33354166666666663</v>
      </c>
      <c r="CH84" s="8">
        <v>0.254</v>
      </c>
      <c r="CI84" s="8">
        <v>0.42499999999999999</v>
      </c>
      <c r="CJ84" s="8">
        <v>0.33354166666666663</v>
      </c>
      <c r="CK84" s="8">
        <v>0.254</v>
      </c>
      <c r="CL84" s="8">
        <v>0.42499999999999999</v>
      </c>
      <c r="CM84" s="8">
        <v>0.33354166666666663</v>
      </c>
      <c r="CN84" s="8">
        <v>0.254</v>
      </c>
      <c r="CO84" s="8">
        <v>0.42499999999999999</v>
      </c>
      <c r="CP84" s="8">
        <v>0.33354166666666663</v>
      </c>
      <c r="CQ84" s="8">
        <v>0.254</v>
      </c>
      <c r="CR84" s="8">
        <v>0.42499999999999999</v>
      </c>
      <c r="CS84" s="8">
        <v>0.33354166666666663</v>
      </c>
      <c r="CT84" s="8">
        <v>0.254</v>
      </c>
      <c r="CU84" s="8">
        <v>0.42499999999999999</v>
      </c>
      <c r="CV84" s="8">
        <v>0.33354166666666663</v>
      </c>
      <c r="CW84" s="8">
        <v>0.254</v>
      </c>
      <c r="CX84" s="8">
        <v>0.42499999999999999</v>
      </c>
      <c r="CY84" s="8">
        <v>0.33354166666666663</v>
      </c>
      <c r="CZ84" s="8">
        <v>0.254</v>
      </c>
      <c r="DA84" s="8">
        <v>0.42499999999999999</v>
      </c>
      <c r="DB84" s="8"/>
      <c r="DC84" s="8"/>
      <c r="DD84" s="8"/>
      <c r="DE84" s="48">
        <f>Tabelle58971121[[#This Row],[Durchschnittsauslastung min]]*Tabelle58971121[[#This Row],[installierte Leistung MW min]]</f>
        <v>0</v>
      </c>
      <c r="DF84" s="48">
        <f>Tabelle58971121[[#This Row],[Durchschnittsauslastung durch]]*Tabelle58971121[[#This Row],[installierte Leistung MW durch]]</f>
        <v>0</v>
      </c>
      <c r="DG84" s="48">
        <f>Tabelle58971121[[#This Row],[Durchschnittsauslastung max]]*Tabelle58971121[[#This Row],[installierte Leistung MW max]]</f>
        <v>0</v>
      </c>
      <c r="DH84" s="87">
        <f>Tabelle58971121[[#This Row],[Maximalauslastung durch]]*Tabelle58971121[[#This Row],[installierte Leistung MW min]]</f>
        <v>2585.11</v>
      </c>
      <c r="DI84" s="48">
        <f>Tabelle58971121[[#This Row],[Maximalauslastung durch]]*Tabelle58971121[[#This Row],[installierte Leistung MW durch]]</f>
        <v>2803.79</v>
      </c>
      <c r="DJ84" s="18">
        <f>Tabelle58971121[[#This Row],[Maximalauslastung max]]*Tabelle58971121[[#This Row],[installierte Leistung MW durch]]</f>
        <v>2803.79</v>
      </c>
      <c r="DK84" s="8">
        <v>1</v>
      </c>
      <c r="DL84" s="8">
        <v>1</v>
      </c>
      <c r="DM84" s="8">
        <v>1</v>
      </c>
      <c r="DN84" s="1">
        <v>2803.79</v>
      </c>
      <c r="DO84" s="1">
        <v>2585.11</v>
      </c>
      <c r="DP84" s="1">
        <v>3022.47</v>
      </c>
      <c r="DQ84" s="18"/>
      <c r="DR84" s="18"/>
      <c r="DW84" s="1">
        <v>0.25</v>
      </c>
      <c r="DX84" s="1">
        <v>0.2</v>
      </c>
      <c r="DY84" s="1">
        <v>0.3</v>
      </c>
      <c r="DZ84" s="1">
        <v>0.25</v>
      </c>
      <c r="EA84" s="1">
        <v>0.2</v>
      </c>
      <c r="EB84" s="1">
        <v>0.3</v>
      </c>
      <c r="EC84" s="1">
        <v>4.5</v>
      </c>
      <c r="ED84" s="1">
        <v>3</v>
      </c>
      <c r="EE84" s="1">
        <v>6</v>
      </c>
      <c r="EF84" s="1">
        <v>0.4</v>
      </c>
      <c r="EG84" s="1">
        <v>0.3</v>
      </c>
      <c r="EH84" s="1">
        <v>0.5</v>
      </c>
      <c r="EL84" s="1">
        <v>6570</v>
      </c>
      <c r="EM84" s="1">
        <v>4380</v>
      </c>
      <c r="EN84" s="1">
        <v>8760</v>
      </c>
      <c r="EO84" s="10"/>
      <c r="EP84" s="10"/>
      <c r="EQ84" s="10"/>
      <c r="ER84" s="1">
        <v>6570</v>
      </c>
      <c r="ES84" s="1">
        <v>4380</v>
      </c>
      <c r="ET84" s="1">
        <v>8760</v>
      </c>
      <c r="EU84" s="1">
        <v>64.315294117647056</v>
      </c>
      <c r="EV84" s="18">
        <v>57.904117647058833</v>
      </c>
      <c r="EW84" s="18">
        <v>70.726470588235287</v>
      </c>
      <c r="EX84" s="18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>
        <v>1211</v>
      </c>
      <c r="FK84" s="7">
        <v>1089.8999999999999</v>
      </c>
      <c r="FL84" s="7">
        <v>1332.1</v>
      </c>
      <c r="FO84" s="1">
        <v>67</v>
      </c>
      <c r="FP84" s="1">
        <v>67</v>
      </c>
      <c r="FQ84" s="1">
        <v>67</v>
      </c>
      <c r="FR84" s="12" t="s">
        <v>743</v>
      </c>
      <c r="FS84" s="12" t="s">
        <v>743</v>
      </c>
      <c r="FT84" s="12" t="s">
        <v>743</v>
      </c>
      <c r="FU84" s="12"/>
      <c r="FV84" s="12" t="s">
        <v>743</v>
      </c>
      <c r="FW84" s="12" t="s">
        <v>743</v>
      </c>
      <c r="FX84" s="12" t="s">
        <v>743</v>
      </c>
      <c r="FY84" s="12" t="s">
        <v>743</v>
      </c>
      <c r="FZ84" s="12" t="s">
        <v>743</v>
      </c>
      <c r="GA84" s="12" t="s">
        <v>743</v>
      </c>
      <c r="GB84" s="12" t="s">
        <v>743</v>
      </c>
      <c r="GE84" s="12" t="s">
        <v>743</v>
      </c>
      <c r="GF84" s="12" t="s">
        <v>743</v>
      </c>
      <c r="GH84" s="12" t="s">
        <v>743</v>
      </c>
    </row>
    <row r="85" spans="1:190" ht="12.75" customHeight="1" x14ac:dyDescent="0.2">
      <c r="A85" s="1" t="s">
        <v>135</v>
      </c>
      <c r="B85" s="1" t="s">
        <v>648</v>
      </c>
      <c r="E85" s="1" t="s">
        <v>142</v>
      </c>
      <c r="F85" s="1">
        <v>2</v>
      </c>
      <c r="G85" s="1">
        <v>2030</v>
      </c>
      <c r="H85" s="1">
        <v>1</v>
      </c>
      <c r="I85" s="1">
        <v>0</v>
      </c>
      <c r="J85" s="1">
        <v>0</v>
      </c>
      <c r="K85" s="18"/>
      <c r="L85" s="18"/>
      <c r="M85" s="18"/>
      <c r="N85" s="18">
        <v>803.46518541666694</v>
      </c>
      <c r="O85" s="18">
        <v>564.13653999999997</v>
      </c>
      <c r="P85" s="18">
        <v>1103.62725</v>
      </c>
      <c r="Q85" s="18">
        <v>0</v>
      </c>
      <c r="R85" s="18">
        <v>0</v>
      </c>
      <c r="S85" s="18">
        <v>0</v>
      </c>
      <c r="T85" s="18">
        <v>803.46518541666694</v>
      </c>
      <c r="U85" s="18">
        <v>564.13653999999997</v>
      </c>
      <c r="V85" s="18">
        <v>1103.62725</v>
      </c>
      <c r="W85" s="18">
        <v>0</v>
      </c>
      <c r="X85" s="18">
        <v>0</v>
      </c>
      <c r="Y85" s="18">
        <v>0</v>
      </c>
      <c r="Z85" s="18">
        <v>803.46518541666694</v>
      </c>
      <c r="AA85" s="18">
        <v>564.13653999999997</v>
      </c>
      <c r="AB85" s="18">
        <v>1103.62725</v>
      </c>
      <c r="AC85" s="18">
        <v>0</v>
      </c>
      <c r="AD85" s="18">
        <v>0</v>
      </c>
      <c r="AE85" s="18">
        <v>0</v>
      </c>
      <c r="AF85" s="18">
        <v>803.46518541666694</v>
      </c>
      <c r="AG85" s="18">
        <v>564.13653999999997</v>
      </c>
      <c r="AH85" s="18">
        <v>1103.62725</v>
      </c>
      <c r="AI85" s="18">
        <v>0</v>
      </c>
      <c r="AJ85" s="18">
        <v>0</v>
      </c>
      <c r="AK85" s="18">
        <v>0</v>
      </c>
      <c r="AL85" s="18">
        <v>803.46518541666694</v>
      </c>
      <c r="AM85" s="18">
        <v>564.13653999999997</v>
      </c>
      <c r="AN85" s="18">
        <v>1103.62725</v>
      </c>
      <c r="AO85" s="18">
        <v>0</v>
      </c>
      <c r="AP85" s="18">
        <v>0</v>
      </c>
      <c r="AQ85" s="18">
        <v>0</v>
      </c>
      <c r="AR85" s="18">
        <v>803.46518541666694</v>
      </c>
      <c r="AS85" s="18">
        <v>564.13653999999997</v>
      </c>
      <c r="AT85" s="18">
        <v>1103.62725</v>
      </c>
      <c r="AU85" s="18">
        <v>0</v>
      </c>
      <c r="AV85" s="18">
        <v>0</v>
      </c>
      <c r="AW85" s="18">
        <v>0</v>
      </c>
      <c r="AX85" s="18">
        <v>803.46518541666694</v>
      </c>
      <c r="AY85" s="18">
        <v>564.13653999999997</v>
      </c>
      <c r="AZ85" s="18">
        <v>1103.62725</v>
      </c>
      <c r="BA85" s="18">
        <v>0</v>
      </c>
      <c r="BB85" s="18">
        <v>0</v>
      </c>
      <c r="BC85" s="18">
        <v>0</v>
      </c>
      <c r="BD85" s="18">
        <v>803.46518541666694</v>
      </c>
      <c r="BE85" s="18">
        <v>564.13653999999997</v>
      </c>
      <c r="BF85" s="18">
        <v>1103.62725</v>
      </c>
      <c r="BG85" s="18">
        <v>0</v>
      </c>
      <c r="BH85" s="18">
        <v>0</v>
      </c>
      <c r="BI85" s="18">
        <v>0</v>
      </c>
      <c r="BJ85" s="18">
        <v>803.46518541666694</v>
      </c>
      <c r="BK85" s="18">
        <v>564.13653999999997</v>
      </c>
      <c r="BL85" s="18">
        <v>1103.62725</v>
      </c>
      <c r="BM85" s="18">
        <v>0</v>
      </c>
      <c r="BN85" s="18">
        <v>0</v>
      </c>
      <c r="BO85" s="18">
        <v>0</v>
      </c>
      <c r="BP85" s="18"/>
      <c r="BQ85" s="18"/>
      <c r="BR85" s="18"/>
      <c r="BS85" s="18"/>
      <c r="BT85" s="10">
        <f>Tabelle58971121[[#This Row],[Mindestauslastung durch]]*Tabelle58971121[[#This Row],[installierte Leistung MW durch]]</f>
        <v>361.33349999999996</v>
      </c>
      <c r="BU85" s="10">
        <f>Tabelle58971121[[#This Row],[Mindestauslastung min]]*Tabelle58971121[[#This Row],[installierte Leistung MW min]]</f>
        <v>333.1515</v>
      </c>
      <c r="BV85" s="10">
        <f>Tabelle58971121[[#This Row],[Mindestauslastung max]]*Tabelle58971121[[#This Row],[installierte Leistung MW max]]</f>
        <v>389.51549999999997</v>
      </c>
      <c r="BW85" s="8">
        <v>0.15</v>
      </c>
      <c r="BX85" s="8">
        <v>0.15</v>
      </c>
      <c r="BY85" s="8">
        <v>0.15</v>
      </c>
      <c r="BZ85" s="8"/>
      <c r="CA85" s="8">
        <v>0.33354166666666663</v>
      </c>
      <c r="CB85" s="8">
        <v>0.254</v>
      </c>
      <c r="CC85" s="8">
        <v>0.42499999999999999</v>
      </c>
      <c r="CD85" s="8">
        <v>0.33354166666666663</v>
      </c>
      <c r="CE85" s="8">
        <v>0.254</v>
      </c>
      <c r="CF85" s="8">
        <v>0.42499999999999999</v>
      </c>
      <c r="CG85" s="8">
        <v>0.33354166666666663</v>
      </c>
      <c r="CH85" s="8">
        <v>0.254</v>
      </c>
      <c r="CI85" s="8">
        <v>0.42499999999999999</v>
      </c>
      <c r="CJ85" s="8">
        <v>0.33354166666666663</v>
      </c>
      <c r="CK85" s="8">
        <v>0.254</v>
      </c>
      <c r="CL85" s="8">
        <v>0.42499999999999999</v>
      </c>
      <c r="CM85" s="8">
        <v>0.33354166666666663</v>
      </c>
      <c r="CN85" s="8">
        <v>0.254</v>
      </c>
      <c r="CO85" s="8">
        <v>0.42499999999999999</v>
      </c>
      <c r="CP85" s="8">
        <v>0.33354166666666663</v>
      </c>
      <c r="CQ85" s="8">
        <v>0.254</v>
      </c>
      <c r="CR85" s="8">
        <v>0.42499999999999999</v>
      </c>
      <c r="CS85" s="8">
        <v>0.33354166666666663</v>
      </c>
      <c r="CT85" s="8">
        <v>0.254</v>
      </c>
      <c r="CU85" s="8">
        <v>0.42499999999999999</v>
      </c>
      <c r="CV85" s="8">
        <v>0.33354166666666663</v>
      </c>
      <c r="CW85" s="8">
        <v>0.254</v>
      </c>
      <c r="CX85" s="8">
        <v>0.42499999999999999</v>
      </c>
      <c r="CY85" s="8">
        <v>0.33354166666666663</v>
      </c>
      <c r="CZ85" s="8">
        <v>0.254</v>
      </c>
      <c r="DA85" s="8">
        <v>0.42499999999999999</v>
      </c>
      <c r="DB85" s="8"/>
      <c r="DC85" s="8"/>
      <c r="DD85" s="8"/>
      <c r="DE85" s="48">
        <f>Tabelle58971121[[#This Row],[Durchschnittsauslastung min]]*Tabelle58971121[[#This Row],[installierte Leistung MW min]]</f>
        <v>0</v>
      </c>
      <c r="DF85" s="48">
        <f>Tabelle58971121[[#This Row],[Durchschnittsauslastung durch]]*Tabelle58971121[[#This Row],[installierte Leistung MW durch]]</f>
        <v>0</v>
      </c>
      <c r="DG85" s="48">
        <f>Tabelle58971121[[#This Row],[Durchschnittsauslastung max]]*Tabelle58971121[[#This Row],[installierte Leistung MW max]]</f>
        <v>0</v>
      </c>
      <c r="DH85" s="87">
        <f>Tabelle58971121[[#This Row],[Maximalauslastung durch]]*Tabelle58971121[[#This Row],[installierte Leistung MW min]]</f>
        <v>2221.0100000000002</v>
      </c>
      <c r="DI85" s="48">
        <f>Tabelle58971121[[#This Row],[Maximalauslastung durch]]*Tabelle58971121[[#This Row],[installierte Leistung MW durch]]</f>
        <v>2408.89</v>
      </c>
      <c r="DJ85" s="18">
        <f>Tabelle58971121[[#This Row],[Maximalauslastung max]]*Tabelle58971121[[#This Row],[installierte Leistung MW durch]]</f>
        <v>2408.89</v>
      </c>
      <c r="DK85" s="8">
        <v>1</v>
      </c>
      <c r="DL85" s="8">
        <v>1</v>
      </c>
      <c r="DM85" s="8">
        <v>1</v>
      </c>
      <c r="DN85" s="1">
        <v>2408.89</v>
      </c>
      <c r="DO85" s="1">
        <v>2221.0100000000002</v>
      </c>
      <c r="DP85" s="1">
        <v>2596.77</v>
      </c>
      <c r="DQ85" s="18"/>
      <c r="DR85" s="18"/>
      <c r="DW85" s="1">
        <v>0.25</v>
      </c>
      <c r="DX85" s="1">
        <v>0.2</v>
      </c>
      <c r="DY85" s="1">
        <v>0.3</v>
      </c>
      <c r="DZ85" s="1">
        <v>0.25</v>
      </c>
      <c r="EA85" s="1">
        <v>0.2</v>
      </c>
      <c r="EB85" s="1">
        <v>0.3</v>
      </c>
      <c r="EC85" s="1">
        <v>4.5</v>
      </c>
      <c r="ED85" s="1">
        <v>3</v>
      </c>
      <c r="EE85" s="1">
        <v>6</v>
      </c>
      <c r="EF85" s="1">
        <v>0.4</v>
      </c>
      <c r="EG85" s="1">
        <v>0.3</v>
      </c>
      <c r="EH85" s="1">
        <v>0.5</v>
      </c>
      <c r="EL85" s="1">
        <v>6570</v>
      </c>
      <c r="EM85" s="1">
        <v>4380</v>
      </c>
      <c r="EN85" s="1">
        <v>8760</v>
      </c>
      <c r="EO85" s="10"/>
      <c r="EP85" s="10"/>
      <c r="EQ85" s="10"/>
      <c r="ER85" s="1">
        <v>6570</v>
      </c>
      <c r="ES85" s="1">
        <v>4380</v>
      </c>
      <c r="ET85" s="1">
        <v>8760</v>
      </c>
      <c r="EU85" s="1">
        <v>64.315294117647056</v>
      </c>
      <c r="EV85" s="18">
        <v>57.904117647058833</v>
      </c>
      <c r="EW85" s="18">
        <v>70.726470588235287</v>
      </c>
      <c r="EX85" s="18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>
        <v>1211</v>
      </c>
      <c r="FK85" s="7">
        <v>1089.8999999999999</v>
      </c>
      <c r="FL85" s="7">
        <v>1332.1</v>
      </c>
      <c r="FO85" s="1">
        <v>67</v>
      </c>
      <c r="FP85" s="1">
        <v>67</v>
      </c>
      <c r="FQ85" s="1">
        <v>67</v>
      </c>
      <c r="FR85" s="12" t="s">
        <v>743</v>
      </c>
      <c r="FS85" s="12" t="s">
        <v>743</v>
      </c>
      <c r="FT85" s="12" t="s">
        <v>743</v>
      </c>
      <c r="FU85" s="12"/>
      <c r="FV85" s="12" t="s">
        <v>743</v>
      </c>
      <c r="FW85" s="12" t="s">
        <v>743</v>
      </c>
      <c r="FX85" s="12" t="s">
        <v>743</v>
      </c>
      <c r="FY85" s="12" t="s">
        <v>743</v>
      </c>
      <c r="FZ85" s="12" t="s">
        <v>743</v>
      </c>
      <c r="GA85" s="12" t="s">
        <v>743</v>
      </c>
      <c r="GB85" s="12" t="s">
        <v>743</v>
      </c>
      <c r="GE85" s="12" t="s">
        <v>743</v>
      </c>
      <c r="GF85" s="12" t="s">
        <v>743</v>
      </c>
      <c r="GH85" s="12" t="s">
        <v>743</v>
      </c>
    </row>
    <row r="86" spans="1:190" ht="12.75" customHeight="1" x14ac:dyDescent="0.2">
      <c r="A86" s="1" t="s">
        <v>135</v>
      </c>
      <c r="B86" s="1" t="s">
        <v>648</v>
      </c>
      <c r="E86" s="1" t="s">
        <v>142</v>
      </c>
      <c r="F86" s="1">
        <v>2</v>
      </c>
      <c r="G86" s="1">
        <v>2035</v>
      </c>
      <c r="H86" s="1">
        <v>1</v>
      </c>
      <c r="I86" s="1">
        <v>0</v>
      </c>
      <c r="J86" s="1">
        <v>0</v>
      </c>
      <c r="K86" s="18"/>
      <c r="L86" s="18"/>
      <c r="M86" s="18"/>
      <c r="N86" s="18">
        <v>763.95050416666686</v>
      </c>
      <c r="O86" s="18">
        <v>536.39211999999998</v>
      </c>
      <c r="P86" s="18">
        <v>1049.3504999999998</v>
      </c>
      <c r="Q86" s="18">
        <v>0</v>
      </c>
      <c r="R86" s="18">
        <v>0</v>
      </c>
      <c r="S86" s="18">
        <v>0</v>
      </c>
      <c r="T86" s="18">
        <v>763.95050416666686</v>
      </c>
      <c r="U86" s="18">
        <v>536.39211999999998</v>
      </c>
      <c r="V86" s="18">
        <v>1049.3504999999998</v>
      </c>
      <c r="W86" s="18">
        <v>0</v>
      </c>
      <c r="X86" s="18">
        <v>0</v>
      </c>
      <c r="Y86" s="18">
        <v>0</v>
      </c>
      <c r="Z86" s="18">
        <v>763.95050416666686</v>
      </c>
      <c r="AA86" s="18">
        <v>536.39211999999998</v>
      </c>
      <c r="AB86" s="18">
        <v>1049.3504999999998</v>
      </c>
      <c r="AC86" s="18">
        <v>0</v>
      </c>
      <c r="AD86" s="18">
        <v>0</v>
      </c>
      <c r="AE86" s="18">
        <v>0</v>
      </c>
      <c r="AF86" s="18">
        <v>763.95050416666686</v>
      </c>
      <c r="AG86" s="18">
        <v>536.39211999999998</v>
      </c>
      <c r="AH86" s="18">
        <v>1049.3504999999998</v>
      </c>
      <c r="AI86" s="18">
        <v>0</v>
      </c>
      <c r="AJ86" s="18">
        <v>0</v>
      </c>
      <c r="AK86" s="18">
        <v>0</v>
      </c>
      <c r="AL86" s="18">
        <v>763.95050416666686</v>
      </c>
      <c r="AM86" s="18">
        <v>536.39211999999998</v>
      </c>
      <c r="AN86" s="18">
        <v>1049.3504999999998</v>
      </c>
      <c r="AO86" s="18">
        <v>0</v>
      </c>
      <c r="AP86" s="18">
        <v>0</v>
      </c>
      <c r="AQ86" s="18">
        <v>0</v>
      </c>
      <c r="AR86" s="18">
        <v>763.95050416666686</v>
      </c>
      <c r="AS86" s="18">
        <v>536.39211999999998</v>
      </c>
      <c r="AT86" s="18">
        <v>1049.3504999999998</v>
      </c>
      <c r="AU86" s="18">
        <v>0</v>
      </c>
      <c r="AV86" s="18">
        <v>0</v>
      </c>
      <c r="AW86" s="18">
        <v>0</v>
      </c>
      <c r="AX86" s="18">
        <v>763.95050416666686</v>
      </c>
      <c r="AY86" s="18">
        <v>536.39211999999998</v>
      </c>
      <c r="AZ86" s="18">
        <v>1049.3504999999998</v>
      </c>
      <c r="BA86" s="18">
        <v>0</v>
      </c>
      <c r="BB86" s="18">
        <v>0</v>
      </c>
      <c r="BC86" s="18">
        <v>0</v>
      </c>
      <c r="BD86" s="18">
        <v>763.95050416666686</v>
      </c>
      <c r="BE86" s="18">
        <v>536.39211999999998</v>
      </c>
      <c r="BF86" s="18">
        <v>1049.3504999999998</v>
      </c>
      <c r="BG86" s="18">
        <v>0</v>
      </c>
      <c r="BH86" s="18">
        <v>0</v>
      </c>
      <c r="BI86" s="18">
        <v>0</v>
      </c>
      <c r="BJ86" s="18">
        <v>763.95050416666686</v>
      </c>
      <c r="BK86" s="18">
        <v>536.39211999999998</v>
      </c>
      <c r="BL86" s="18">
        <v>1049.3504999999998</v>
      </c>
      <c r="BM86" s="18">
        <v>0</v>
      </c>
      <c r="BN86" s="18">
        <v>0</v>
      </c>
      <c r="BO86" s="18">
        <v>0</v>
      </c>
      <c r="BP86" s="18"/>
      <c r="BQ86" s="18"/>
      <c r="BR86" s="18"/>
      <c r="BS86" s="18"/>
      <c r="BT86" s="10">
        <f>Tabelle58971121[[#This Row],[Mindestauslastung durch]]*Tabelle58971121[[#This Row],[installierte Leistung MW durch]]</f>
        <v>343.56299999999999</v>
      </c>
      <c r="BU86" s="10">
        <f>Tabelle58971121[[#This Row],[Mindestauslastung min]]*Tabelle58971121[[#This Row],[installierte Leistung MW min]]</f>
        <v>316.767</v>
      </c>
      <c r="BV86" s="10">
        <f>Tabelle58971121[[#This Row],[Mindestauslastung max]]*Tabelle58971121[[#This Row],[installierte Leistung MW max]]</f>
        <v>370.35899999999998</v>
      </c>
      <c r="BW86" s="8">
        <v>0.15</v>
      </c>
      <c r="BX86" s="8">
        <v>0.15</v>
      </c>
      <c r="BY86" s="8">
        <v>0.15</v>
      </c>
      <c r="BZ86" s="8"/>
      <c r="CA86" s="8">
        <v>0.33354166666666663</v>
      </c>
      <c r="CB86" s="8">
        <v>0.254</v>
      </c>
      <c r="CC86" s="8">
        <v>0.42499999999999999</v>
      </c>
      <c r="CD86" s="8">
        <v>0.33354166666666663</v>
      </c>
      <c r="CE86" s="8">
        <v>0.254</v>
      </c>
      <c r="CF86" s="8">
        <v>0.42499999999999999</v>
      </c>
      <c r="CG86" s="8">
        <v>0.33354166666666663</v>
      </c>
      <c r="CH86" s="8">
        <v>0.254</v>
      </c>
      <c r="CI86" s="8">
        <v>0.42499999999999999</v>
      </c>
      <c r="CJ86" s="8">
        <v>0.33354166666666663</v>
      </c>
      <c r="CK86" s="8">
        <v>0.254</v>
      </c>
      <c r="CL86" s="8">
        <v>0.42499999999999999</v>
      </c>
      <c r="CM86" s="8">
        <v>0.33354166666666663</v>
      </c>
      <c r="CN86" s="8">
        <v>0.254</v>
      </c>
      <c r="CO86" s="8">
        <v>0.42499999999999999</v>
      </c>
      <c r="CP86" s="8">
        <v>0.33354166666666663</v>
      </c>
      <c r="CQ86" s="8">
        <v>0.254</v>
      </c>
      <c r="CR86" s="8">
        <v>0.42499999999999999</v>
      </c>
      <c r="CS86" s="8">
        <v>0.33354166666666663</v>
      </c>
      <c r="CT86" s="8">
        <v>0.254</v>
      </c>
      <c r="CU86" s="8">
        <v>0.42499999999999999</v>
      </c>
      <c r="CV86" s="8">
        <v>0.33354166666666663</v>
      </c>
      <c r="CW86" s="8">
        <v>0.254</v>
      </c>
      <c r="CX86" s="8">
        <v>0.42499999999999999</v>
      </c>
      <c r="CY86" s="8">
        <v>0.33354166666666663</v>
      </c>
      <c r="CZ86" s="8">
        <v>0.254</v>
      </c>
      <c r="DA86" s="8">
        <v>0.42499999999999999</v>
      </c>
      <c r="DB86" s="8"/>
      <c r="DC86" s="8"/>
      <c r="DD86" s="8"/>
      <c r="DE86" s="48">
        <f>Tabelle58971121[[#This Row],[Durchschnittsauslastung min]]*Tabelle58971121[[#This Row],[installierte Leistung MW min]]</f>
        <v>0</v>
      </c>
      <c r="DF86" s="48">
        <f>Tabelle58971121[[#This Row],[Durchschnittsauslastung durch]]*Tabelle58971121[[#This Row],[installierte Leistung MW durch]]</f>
        <v>0</v>
      </c>
      <c r="DG86" s="48">
        <f>Tabelle58971121[[#This Row],[Durchschnittsauslastung max]]*Tabelle58971121[[#This Row],[installierte Leistung MW max]]</f>
        <v>0</v>
      </c>
      <c r="DH86" s="87">
        <f>Tabelle58971121[[#This Row],[Maximalauslastung durch]]*Tabelle58971121[[#This Row],[installierte Leistung MW min]]</f>
        <v>2111.7800000000002</v>
      </c>
      <c r="DI86" s="48">
        <f>Tabelle58971121[[#This Row],[Maximalauslastung durch]]*Tabelle58971121[[#This Row],[installierte Leistung MW durch]]</f>
        <v>2290.42</v>
      </c>
      <c r="DJ86" s="18">
        <f>Tabelle58971121[[#This Row],[Maximalauslastung max]]*Tabelle58971121[[#This Row],[installierte Leistung MW durch]]</f>
        <v>2290.42</v>
      </c>
      <c r="DK86" s="8">
        <v>1</v>
      </c>
      <c r="DL86" s="8">
        <v>1</v>
      </c>
      <c r="DM86" s="8">
        <v>1</v>
      </c>
      <c r="DN86" s="1">
        <v>2290.42</v>
      </c>
      <c r="DO86" s="1">
        <v>2111.7800000000002</v>
      </c>
      <c r="DP86" s="1">
        <v>2469.06</v>
      </c>
      <c r="DQ86" s="18"/>
      <c r="DR86" s="18"/>
      <c r="DW86" s="1">
        <v>0.25</v>
      </c>
      <c r="DX86" s="1">
        <v>0.2</v>
      </c>
      <c r="DY86" s="1">
        <v>0.3</v>
      </c>
      <c r="DZ86" s="1">
        <v>0.25</v>
      </c>
      <c r="EA86" s="1">
        <v>0.2</v>
      </c>
      <c r="EB86" s="1">
        <v>0.3</v>
      </c>
      <c r="EC86" s="1">
        <v>4.5</v>
      </c>
      <c r="ED86" s="1">
        <v>3</v>
      </c>
      <c r="EE86" s="1">
        <v>6</v>
      </c>
      <c r="EF86" s="1">
        <v>0.4</v>
      </c>
      <c r="EG86" s="1">
        <v>0.3</v>
      </c>
      <c r="EH86" s="1">
        <v>0.5</v>
      </c>
      <c r="EL86" s="1">
        <v>6570</v>
      </c>
      <c r="EM86" s="1">
        <v>4380</v>
      </c>
      <c r="EN86" s="1">
        <v>8760</v>
      </c>
      <c r="EO86" s="10"/>
      <c r="EP86" s="10"/>
      <c r="EQ86" s="10"/>
      <c r="ER86" s="1">
        <v>6570</v>
      </c>
      <c r="ES86" s="1">
        <v>4380</v>
      </c>
      <c r="ET86" s="1">
        <v>8760</v>
      </c>
      <c r="EU86" s="1">
        <v>64.315294117647056</v>
      </c>
      <c r="EV86" s="18">
        <v>57.904117647058833</v>
      </c>
      <c r="EW86" s="18">
        <v>70.726470588235287</v>
      </c>
      <c r="EX86" s="18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>
        <v>1211</v>
      </c>
      <c r="FK86" s="7">
        <v>1089.8999999999999</v>
      </c>
      <c r="FL86" s="7">
        <v>1332.1</v>
      </c>
      <c r="FO86" s="1">
        <v>67</v>
      </c>
      <c r="FP86" s="1">
        <v>67</v>
      </c>
      <c r="FQ86" s="1">
        <v>67</v>
      </c>
      <c r="FR86" s="12" t="s">
        <v>743</v>
      </c>
      <c r="FS86" s="12" t="s">
        <v>743</v>
      </c>
      <c r="FT86" s="12" t="s">
        <v>743</v>
      </c>
      <c r="FU86" s="12"/>
      <c r="FV86" s="12" t="s">
        <v>743</v>
      </c>
      <c r="FW86" s="12" t="s">
        <v>743</v>
      </c>
      <c r="FX86" s="12" t="s">
        <v>743</v>
      </c>
      <c r="FY86" s="12" t="s">
        <v>743</v>
      </c>
      <c r="FZ86" s="12" t="s">
        <v>743</v>
      </c>
      <c r="GA86" s="12" t="s">
        <v>743</v>
      </c>
      <c r="GB86" s="12" t="s">
        <v>743</v>
      </c>
      <c r="GE86" s="12" t="s">
        <v>743</v>
      </c>
      <c r="GF86" s="12" t="s">
        <v>743</v>
      </c>
      <c r="GH86" s="12" t="s">
        <v>743</v>
      </c>
    </row>
    <row r="87" spans="1:190" ht="12.75" customHeight="1" x14ac:dyDescent="0.2">
      <c r="A87" s="1" t="s">
        <v>135</v>
      </c>
      <c r="B87" s="1" t="s">
        <v>648</v>
      </c>
      <c r="E87" s="1" t="s">
        <v>142</v>
      </c>
      <c r="F87" s="1">
        <v>2</v>
      </c>
      <c r="G87" s="1">
        <v>2040</v>
      </c>
      <c r="H87" s="1">
        <v>1</v>
      </c>
      <c r="I87" s="1">
        <v>0</v>
      </c>
      <c r="J87" s="1">
        <v>0</v>
      </c>
      <c r="K87" s="18"/>
      <c r="L87" s="18"/>
      <c r="M87" s="18"/>
      <c r="N87" s="18">
        <v>724.43582291666701</v>
      </c>
      <c r="O87" s="18">
        <v>508.64770000000004</v>
      </c>
      <c r="P87" s="18">
        <v>995.07375000000002</v>
      </c>
      <c r="Q87" s="18">
        <v>0</v>
      </c>
      <c r="R87" s="18">
        <v>0</v>
      </c>
      <c r="S87" s="18">
        <v>0</v>
      </c>
      <c r="T87" s="18">
        <v>724.43582291666701</v>
      </c>
      <c r="U87" s="18">
        <v>508.64770000000004</v>
      </c>
      <c r="V87" s="18">
        <v>995.07375000000002</v>
      </c>
      <c r="W87" s="18">
        <v>0</v>
      </c>
      <c r="X87" s="18">
        <v>0</v>
      </c>
      <c r="Y87" s="18">
        <v>0</v>
      </c>
      <c r="Z87" s="18">
        <v>724.43582291666701</v>
      </c>
      <c r="AA87" s="18">
        <v>508.64770000000004</v>
      </c>
      <c r="AB87" s="18">
        <v>995.07375000000002</v>
      </c>
      <c r="AC87" s="18">
        <v>0</v>
      </c>
      <c r="AD87" s="18">
        <v>0</v>
      </c>
      <c r="AE87" s="18">
        <v>0</v>
      </c>
      <c r="AF87" s="18">
        <v>724.43582291666701</v>
      </c>
      <c r="AG87" s="18">
        <v>508.64770000000004</v>
      </c>
      <c r="AH87" s="18">
        <v>995.07375000000002</v>
      </c>
      <c r="AI87" s="18">
        <v>0</v>
      </c>
      <c r="AJ87" s="18">
        <v>0</v>
      </c>
      <c r="AK87" s="18">
        <v>0</v>
      </c>
      <c r="AL87" s="18">
        <v>724.43582291666701</v>
      </c>
      <c r="AM87" s="18">
        <v>508.64770000000004</v>
      </c>
      <c r="AN87" s="18">
        <v>995.07375000000002</v>
      </c>
      <c r="AO87" s="18">
        <v>0</v>
      </c>
      <c r="AP87" s="18">
        <v>0</v>
      </c>
      <c r="AQ87" s="18">
        <v>0</v>
      </c>
      <c r="AR87" s="18">
        <v>724.43582291666701</v>
      </c>
      <c r="AS87" s="18">
        <v>508.64770000000004</v>
      </c>
      <c r="AT87" s="18">
        <v>995.07375000000002</v>
      </c>
      <c r="AU87" s="18">
        <v>0</v>
      </c>
      <c r="AV87" s="18">
        <v>0</v>
      </c>
      <c r="AW87" s="18">
        <v>0</v>
      </c>
      <c r="AX87" s="18">
        <v>724.43582291666701</v>
      </c>
      <c r="AY87" s="18">
        <v>508.64770000000004</v>
      </c>
      <c r="AZ87" s="18">
        <v>995.07375000000002</v>
      </c>
      <c r="BA87" s="18">
        <v>0</v>
      </c>
      <c r="BB87" s="18">
        <v>0</v>
      </c>
      <c r="BC87" s="18">
        <v>0</v>
      </c>
      <c r="BD87" s="18">
        <v>724.43582291666701</v>
      </c>
      <c r="BE87" s="18">
        <v>508.64770000000004</v>
      </c>
      <c r="BF87" s="18">
        <v>995.07375000000002</v>
      </c>
      <c r="BG87" s="18">
        <v>0</v>
      </c>
      <c r="BH87" s="18">
        <v>0</v>
      </c>
      <c r="BI87" s="18">
        <v>0</v>
      </c>
      <c r="BJ87" s="18">
        <v>724.43582291666701</v>
      </c>
      <c r="BK87" s="18">
        <v>508.64770000000004</v>
      </c>
      <c r="BL87" s="18">
        <v>995.07375000000002</v>
      </c>
      <c r="BM87" s="18">
        <v>0</v>
      </c>
      <c r="BN87" s="18">
        <v>0</v>
      </c>
      <c r="BO87" s="18">
        <v>0</v>
      </c>
      <c r="BP87" s="18"/>
      <c r="BQ87" s="18"/>
      <c r="BR87" s="18"/>
      <c r="BS87" s="18"/>
      <c r="BT87" s="10">
        <f>Tabelle58971121[[#This Row],[Mindestauslastung durch]]*Tabelle58971121[[#This Row],[installierte Leistung MW durch]]</f>
        <v>325.79249999999996</v>
      </c>
      <c r="BU87" s="10">
        <f>Tabelle58971121[[#This Row],[Mindestauslastung min]]*Tabelle58971121[[#This Row],[installierte Leistung MW min]]</f>
        <v>300.38249999999999</v>
      </c>
      <c r="BV87" s="10">
        <f>Tabelle58971121[[#This Row],[Mindestauslastung max]]*Tabelle58971121[[#This Row],[installierte Leistung MW max]]</f>
        <v>351.20249999999999</v>
      </c>
      <c r="BW87" s="8">
        <v>0.15</v>
      </c>
      <c r="BX87" s="8">
        <v>0.15</v>
      </c>
      <c r="BY87" s="8">
        <v>0.15</v>
      </c>
      <c r="BZ87" s="8"/>
      <c r="CA87" s="8">
        <v>0.33354166666666663</v>
      </c>
      <c r="CB87" s="8">
        <v>0.254</v>
      </c>
      <c r="CC87" s="8">
        <v>0.42499999999999999</v>
      </c>
      <c r="CD87" s="8">
        <v>0.33354166666666663</v>
      </c>
      <c r="CE87" s="8">
        <v>0.254</v>
      </c>
      <c r="CF87" s="8">
        <v>0.42499999999999999</v>
      </c>
      <c r="CG87" s="8">
        <v>0.33354166666666663</v>
      </c>
      <c r="CH87" s="8">
        <v>0.254</v>
      </c>
      <c r="CI87" s="8">
        <v>0.42499999999999999</v>
      </c>
      <c r="CJ87" s="8">
        <v>0.33354166666666663</v>
      </c>
      <c r="CK87" s="8">
        <v>0.254</v>
      </c>
      <c r="CL87" s="8">
        <v>0.42499999999999999</v>
      </c>
      <c r="CM87" s="8">
        <v>0.33354166666666663</v>
      </c>
      <c r="CN87" s="8">
        <v>0.254</v>
      </c>
      <c r="CO87" s="8">
        <v>0.42499999999999999</v>
      </c>
      <c r="CP87" s="8">
        <v>0.33354166666666663</v>
      </c>
      <c r="CQ87" s="8">
        <v>0.254</v>
      </c>
      <c r="CR87" s="8">
        <v>0.42499999999999999</v>
      </c>
      <c r="CS87" s="8">
        <v>0.33354166666666663</v>
      </c>
      <c r="CT87" s="8">
        <v>0.254</v>
      </c>
      <c r="CU87" s="8">
        <v>0.42499999999999999</v>
      </c>
      <c r="CV87" s="8">
        <v>0.33354166666666663</v>
      </c>
      <c r="CW87" s="8">
        <v>0.254</v>
      </c>
      <c r="CX87" s="8">
        <v>0.42499999999999999</v>
      </c>
      <c r="CY87" s="8">
        <v>0.33354166666666663</v>
      </c>
      <c r="CZ87" s="8">
        <v>0.254</v>
      </c>
      <c r="DA87" s="8">
        <v>0.42499999999999999</v>
      </c>
      <c r="DB87" s="8"/>
      <c r="DC87" s="8"/>
      <c r="DD87" s="8"/>
      <c r="DE87" s="48">
        <f>Tabelle58971121[[#This Row],[Durchschnittsauslastung min]]*Tabelle58971121[[#This Row],[installierte Leistung MW min]]</f>
        <v>0</v>
      </c>
      <c r="DF87" s="48">
        <f>Tabelle58971121[[#This Row],[Durchschnittsauslastung durch]]*Tabelle58971121[[#This Row],[installierte Leistung MW durch]]</f>
        <v>0</v>
      </c>
      <c r="DG87" s="48">
        <f>Tabelle58971121[[#This Row],[Durchschnittsauslastung max]]*Tabelle58971121[[#This Row],[installierte Leistung MW max]]</f>
        <v>0</v>
      </c>
      <c r="DH87" s="87">
        <f>Tabelle58971121[[#This Row],[Maximalauslastung durch]]*Tabelle58971121[[#This Row],[installierte Leistung MW min]]</f>
        <v>2002.55</v>
      </c>
      <c r="DI87" s="48">
        <f>Tabelle58971121[[#This Row],[Maximalauslastung durch]]*Tabelle58971121[[#This Row],[installierte Leistung MW durch]]</f>
        <v>2171.9499999999998</v>
      </c>
      <c r="DJ87" s="18">
        <f>Tabelle58971121[[#This Row],[Maximalauslastung max]]*Tabelle58971121[[#This Row],[installierte Leistung MW durch]]</f>
        <v>2171.9499999999998</v>
      </c>
      <c r="DK87" s="8">
        <v>1</v>
      </c>
      <c r="DL87" s="8">
        <v>1</v>
      </c>
      <c r="DM87" s="8">
        <v>1</v>
      </c>
      <c r="DN87" s="1">
        <v>2171.9499999999998</v>
      </c>
      <c r="DO87" s="1">
        <v>2002.55</v>
      </c>
      <c r="DP87" s="1">
        <v>2341.35</v>
      </c>
      <c r="DQ87" s="18"/>
      <c r="DR87" s="18"/>
      <c r="DW87" s="1">
        <v>0.25</v>
      </c>
      <c r="DX87" s="1">
        <v>0.2</v>
      </c>
      <c r="DY87" s="1">
        <v>0.3</v>
      </c>
      <c r="DZ87" s="1">
        <v>0.25</v>
      </c>
      <c r="EA87" s="1">
        <v>0.2</v>
      </c>
      <c r="EB87" s="1">
        <v>0.3</v>
      </c>
      <c r="EC87" s="1">
        <v>4.5</v>
      </c>
      <c r="ED87" s="1">
        <v>3</v>
      </c>
      <c r="EE87" s="1">
        <v>6</v>
      </c>
      <c r="EF87" s="1">
        <v>0.4</v>
      </c>
      <c r="EG87" s="1">
        <v>0.3</v>
      </c>
      <c r="EH87" s="1">
        <v>0.5</v>
      </c>
      <c r="EL87" s="1">
        <v>6570</v>
      </c>
      <c r="EM87" s="1">
        <v>4380</v>
      </c>
      <c r="EN87" s="1">
        <v>8760</v>
      </c>
      <c r="EO87" s="10"/>
      <c r="EP87" s="10"/>
      <c r="EQ87" s="10"/>
      <c r="ER87" s="1">
        <v>6570</v>
      </c>
      <c r="ES87" s="1">
        <v>4380</v>
      </c>
      <c r="ET87" s="1">
        <v>8760</v>
      </c>
      <c r="EU87" s="1">
        <v>64.315294117647056</v>
      </c>
      <c r="EV87" s="18">
        <v>57.904117647058833</v>
      </c>
      <c r="EW87" s="18">
        <v>70.726470588235287</v>
      </c>
      <c r="EX87" s="18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>
        <v>1211</v>
      </c>
      <c r="FK87" s="7">
        <v>1089.8999999999999</v>
      </c>
      <c r="FL87" s="7">
        <v>1332.1</v>
      </c>
      <c r="FO87" s="1">
        <v>67</v>
      </c>
      <c r="FP87" s="1">
        <v>67</v>
      </c>
      <c r="FQ87" s="1">
        <v>67</v>
      </c>
      <c r="FR87" s="12" t="s">
        <v>743</v>
      </c>
      <c r="FS87" s="12" t="s">
        <v>743</v>
      </c>
      <c r="FT87" s="12" t="s">
        <v>743</v>
      </c>
      <c r="FU87" s="12"/>
      <c r="FV87" s="12" t="s">
        <v>743</v>
      </c>
      <c r="FW87" s="12" t="s">
        <v>743</v>
      </c>
      <c r="FX87" s="12" t="s">
        <v>743</v>
      </c>
      <c r="FY87" s="12" t="s">
        <v>743</v>
      </c>
      <c r="FZ87" s="12" t="s">
        <v>743</v>
      </c>
      <c r="GA87" s="12" t="s">
        <v>743</v>
      </c>
      <c r="GB87" s="12" t="s">
        <v>743</v>
      </c>
      <c r="GE87" s="12" t="s">
        <v>743</v>
      </c>
      <c r="GF87" s="12" t="s">
        <v>743</v>
      </c>
      <c r="GH87" s="12" t="s">
        <v>743</v>
      </c>
    </row>
    <row r="88" spans="1:190" ht="12.75" customHeight="1" x14ac:dyDescent="0.2">
      <c r="A88" s="1" t="s">
        <v>135</v>
      </c>
      <c r="B88" s="1" t="s">
        <v>648</v>
      </c>
      <c r="E88" s="1" t="s">
        <v>142</v>
      </c>
      <c r="F88" s="1">
        <v>2</v>
      </c>
      <c r="G88" s="1">
        <v>2045</v>
      </c>
      <c r="H88" s="1">
        <v>1</v>
      </c>
      <c r="I88" s="1">
        <v>0</v>
      </c>
      <c r="J88" s="1">
        <v>0</v>
      </c>
      <c r="K88" s="18"/>
      <c r="L88" s="18"/>
      <c r="M88" s="18"/>
      <c r="N88" s="18">
        <v>698.09270208333362</v>
      </c>
      <c r="O88" s="18">
        <v>490.15142000000003</v>
      </c>
      <c r="P88" s="18">
        <v>958.88924999999995</v>
      </c>
      <c r="Q88" s="18">
        <v>0</v>
      </c>
      <c r="R88" s="18">
        <v>0</v>
      </c>
      <c r="S88" s="18">
        <v>0</v>
      </c>
      <c r="T88" s="18">
        <v>698.09270208333362</v>
      </c>
      <c r="U88" s="18">
        <v>490.15142000000003</v>
      </c>
      <c r="V88" s="18">
        <v>958.88924999999995</v>
      </c>
      <c r="W88" s="18">
        <v>0</v>
      </c>
      <c r="X88" s="18">
        <v>0</v>
      </c>
      <c r="Y88" s="18">
        <v>0</v>
      </c>
      <c r="Z88" s="18">
        <v>698.09270208333362</v>
      </c>
      <c r="AA88" s="18">
        <v>490.15142000000003</v>
      </c>
      <c r="AB88" s="18">
        <v>958.88924999999995</v>
      </c>
      <c r="AC88" s="18">
        <v>0</v>
      </c>
      <c r="AD88" s="18">
        <v>0</v>
      </c>
      <c r="AE88" s="18">
        <v>0</v>
      </c>
      <c r="AF88" s="18">
        <v>698.09270208333362</v>
      </c>
      <c r="AG88" s="18">
        <v>490.15142000000003</v>
      </c>
      <c r="AH88" s="18">
        <v>958.88924999999995</v>
      </c>
      <c r="AI88" s="18">
        <v>0</v>
      </c>
      <c r="AJ88" s="18">
        <v>0</v>
      </c>
      <c r="AK88" s="18">
        <v>0</v>
      </c>
      <c r="AL88" s="18">
        <v>698.09270208333362</v>
      </c>
      <c r="AM88" s="18">
        <v>490.15142000000003</v>
      </c>
      <c r="AN88" s="18">
        <v>958.88924999999995</v>
      </c>
      <c r="AO88" s="18">
        <v>0</v>
      </c>
      <c r="AP88" s="18">
        <v>0</v>
      </c>
      <c r="AQ88" s="18">
        <v>0</v>
      </c>
      <c r="AR88" s="18">
        <v>698.09270208333362</v>
      </c>
      <c r="AS88" s="18">
        <v>490.15142000000003</v>
      </c>
      <c r="AT88" s="18">
        <v>958.88924999999995</v>
      </c>
      <c r="AU88" s="18">
        <v>0</v>
      </c>
      <c r="AV88" s="18">
        <v>0</v>
      </c>
      <c r="AW88" s="18">
        <v>0</v>
      </c>
      <c r="AX88" s="18">
        <v>698.09270208333362</v>
      </c>
      <c r="AY88" s="18">
        <v>490.15142000000003</v>
      </c>
      <c r="AZ88" s="18">
        <v>958.88924999999995</v>
      </c>
      <c r="BA88" s="18">
        <v>0</v>
      </c>
      <c r="BB88" s="18">
        <v>0</v>
      </c>
      <c r="BC88" s="18">
        <v>0</v>
      </c>
      <c r="BD88" s="18">
        <v>698.09270208333362</v>
      </c>
      <c r="BE88" s="18">
        <v>490.15142000000003</v>
      </c>
      <c r="BF88" s="18">
        <v>958.88924999999995</v>
      </c>
      <c r="BG88" s="18">
        <v>0</v>
      </c>
      <c r="BH88" s="18">
        <v>0</v>
      </c>
      <c r="BI88" s="18">
        <v>0</v>
      </c>
      <c r="BJ88" s="18">
        <v>698.09270208333362</v>
      </c>
      <c r="BK88" s="18">
        <v>490.15142000000003</v>
      </c>
      <c r="BL88" s="18">
        <v>958.88924999999995</v>
      </c>
      <c r="BM88" s="18">
        <v>0</v>
      </c>
      <c r="BN88" s="18">
        <v>0</v>
      </c>
      <c r="BO88" s="18">
        <v>0</v>
      </c>
      <c r="BP88" s="18"/>
      <c r="BQ88" s="18"/>
      <c r="BR88" s="18"/>
      <c r="BS88" s="18"/>
      <c r="BT88" s="10">
        <f>Tabelle58971121[[#This Row],[Mindestauslastung durch]]*Tabelle58971121[[#This Row],[installierte Leistung MW durch]]</f>
        <v>313.94549999999998</v>
      </c>
      <c r="BU88" s="10">
        <f>Tabelle58971121[[#This Row],[Mindestauslastung min]]*Tabelle58971121[[#This Row],[installierte Leistung MW min]]</f>
        <v>289.45949999999999</v>
      </c>
      <c r="BV88" s="10">
        <f>Tabelle58971121[[#This Row],[Mindestauslastung max]]*Tabelle58971121[[#This Row],[installierte Leistung MW max]]</f>
        <v>338.43149999999997</v>
      </c>
      <c r="BW88" s="8">
        <v>0.15</v>
      </c>
      <c r="BX88" s="8">
        <v>0.15</v>
      </c>
      <c r="BY88" s="8">
        <v>0.15</v>
      </c>
      <c r="BZ88" s="8"/>
      <c r="CA88" s="8">
        <v>0.33354166666666663</v>
      </c>
      <c r="CB88" s="8">
        <v>0.254</v>
      </c>
      <c r="CC88" s="8">
        <v>0.42499999999999999</v>
      </c>
      <c r="CD88" s="8">
        <v>0.33354166666666663</v>
      </c>
      <c r="CE88" s="8">
        <v>0.254</v>
      </c>
      <c r="CF88" s="8">
        <v>0.42499999999999999</v>
      </c>
      <c r="CG88" s="8">
        <v>0.33354166666666663</v>
      </c>
      <c r="CH88" s="8">
        <v>0.254</v>
      </c>
      <c r="CI88" s="8">
        <v>0.42499999999999999</v>
      </c>
      <c r="CJ88" s="8">
        <v>0.33354166666666663</v>
      </c>
      <c r="CK88" s="8">
        <v>0.254</v>
      </c>
      <c r="CL88" s="8">
        <v>0.42499999999999999</v>
      </c>
      <c r="CM88" s="8">
        <v>0.33354166666666663</v>
      </c>
      <c r="CN88" s="8">
        <v>0.254</v>
      </c>
      <c r="CO88" s="8">
        <v>0.42499999999999999</v>
      </c>
      <c r="CP88" s="8">
        <v>0.33354166666666663</v>
      </c>
      <c r="CQ88" s="8">
        <v>0.254</v>
      </c>
      <c r="CR88" s="8">
        <v>0.42499999999999999</v>
      </c>
      <c r="CS88" s="8">
        <v>0.33354166666666663</v>
      </c>
      <c r="CT88" s="8">
        <v>0.254</v>
      </c>
      <c r="CU88" s="8">
        <v>0.42499999999999999</v>
      </c>
      <c r="CV88" s="8">
        <v>0.33354166666666663</v>
      </c>
      <c r="CW88" s="8">
        <v>0.254</v>
      </c>
      <c r="CX88" s="8">
        <v>0.42499999999999999</v>
      </c>
      <c r="CY88" s="8">
        <v>0.33354166666666663</v>
      </c>
      <c r="CZ88" s="8">
        <v>0.254</v>
      </c>
      <c r="DA88" s="8">
        <v>0.42499999999999999</v>
      </c>
      <c r="DB88" s="8"/>
      <c r="DC88" s="8"/>
      <c r="DD88" s="8"/>
      <c r="DE88" s="48">
        <f>Tabelle58971121[[#This Row],[Durchschnittsauslastung min]]*Tabelle58971121[[#This Row],[installierte Leistung MW min]]</f>
        <v>0</v>
      </c>
      <c r="DF88" s="48">
        <f>Tabelle58971121[[#This Row],[Durchschnittsauslastung durch]]*Tabelle58971121[[#This Row],[installierte Leistung MW durch]]</f>
        <v>0</v>
      </c>
      <c r="DG88" s="48">
        <f>Tabelle58971121[[#This Row],[Durchschnittsauslastung max]]*Tabelle58971121[[#This Row],[installierte Leistung MW max]]</f>
        <v>0</v>
      </c>
      <c r="DH88" s="87">
        <f>Tabelle58971121[[#This Row],[Maximalauslastung durch]]*Tabelle58971121[[#This Row],[installierte Leistung MW min]]</f>
        <v>1929.73</v>
      </c>
      <c r="DI88" s="48">
        <f>Tabelle58971121[[#This Row],[Maximalauslastung durch]]*Tabelle58971121[[#This Row],[installierte Leistung MW durch]]</f>
        <v>2092.9699999999998</v>
      </c>
      <c r="DJ88" s="18">
        <f>Tabelle58971121[[#This Row],[Maximalauslastung max]]*Tabelle58971121[[#This Row],[installierte Leistung MW durch]]</f>
        <v>2092.9699999999998</v>
      </c>
      <c r="DK88" s="8">
        <v>1</v>
      </c>
      <c r="DL88" s="8">
        <v>1</v>
      </c>
      <c r="DM88" s="8">
        <v>1</v>
      </c>
      <c r="DN88" s="1">
        <v>2092.9699999999998</v>
      </c>
      <c r="DO88" s="1">
        <v>1929.73</v>
      </c>
      <c r="DP88" s="1">
        <v>2256.21</v>
      </c>
      <c r="DQ88" s="18"/>
      <c r="DR88" s="18"/>
      <c r="DW88" s="1">
        <v>0.25</v>
      </c>
      <c r="DX88" s="1">
        <v>0.2</v>
      </c>
      <c r="DY88" s="1">
        <v>0.3</v>
      </c>
      <c r="DZ88" s="1">
        <v>0.25</v>
      </c>
      <c r="EA88" s="1">
        <v>0.2</v>
      </c>
      <c r="EB88" s="1">
        <v>0.3</v>
      </c>
      <c r="EC88" s="1">
        <v>4.5</v>
      </c>
      <c r="ED88" s="1">
        <v>3</v>
      </c>
      <c r="EE88" s="1">
        <v>6</v>
      </c>
      <c r="EF88" s="1">
        <v>0.4</v>
      </c>
      <c r="EG88" s="1">
        <v>0.3</v>
      </c>
      <c r="EH88" s="1">
        <v>0.5</v>
      </c>
      <c r="EL88" s="1">
        <v>6570</v>
      </c>
      <c r="EM88" s="1">
        <v>4380</v>
      </c>
      <c r="EN88" s="1">
        <v>8760</v>
      </c>
      <c r="EO88" s="10"/>
      <c r="EP88" s="10"/>
      <c r="EQ88" s="10"/>
      <c r="ER88" s="1">
        <v>6570</v>
      </c>
      <c r="ES88" s="1">
        <v>4380</v>
      </c>
      <c r="ET88" s="1">
        <v>8760</v>
      </c>
      <c r="EU88" s="1">
        <v>64.315294117647056</v>
      </c>
      <c r="EV88" s="18">
        <v>57.904117647058833</v>
      </c>
      <c r="EW88" s="18">
        <v>70.726470588235287</v>
      </c>
      <c r="EX88" s="18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>
        <v>1211</v>
      </c>
      <c r="FK88" s="7">
        <v>1089.8999999999999</v>
      </c>
      <c r="FL88" s="7">
        <v>1332.1</v>
      </c>
      <c r="FO88" s="1">
        <v>67</v>
      </c>
      <c r="FP88" s="1">
        <v>67</v>
      </c>
      <c r="FQ88" s="1">
        <v>67</v>
      </c>
      <c r="FR88" s="12" t="s">
        <v>743</v>
      </c>
      <c r="FS88" s="12" t="s">
        <v>743</v>
      </c>
      <c r="FT88" s="12" t="s">
        <v>743</v>
      </c>
      <c r="FU88" s="12"/>
      <c r="FV88" s="12" t="s">
        <v>743</v>
      </c>
      <c r="FW88" s="12" t="s">
        <v>743</v>
      </c>
      <c r="FX88" s="12" t="s">
        <v>743</v>
      </c>
      <c r="FY88" s="12" t="s">
        <v>743</v>
      </c>
      <c r="FZ88" s="12" t="s">
        <v>743</v>
      </c>
      <c r="GA88" s="12" t="s">
        <v>743</v>
      </c>
      <c r="GB88" s="12" t="s">
        <v>743</v>
      </c>
      <c r="GE88" s="12" t="s">
        <v>743</v>
      </c>
      <c r="GF88" s="12" t="s">
        <v>743</v>
      </c>
      <c r="GH88" s="12" t="s">
        <v>743</v>
      </c>
    </row>
    <row r="89" spans="1:190" ht="12.75" customHeight="1" x14ac:dyDescent="0.2">
      <c r="A89" s="1" t="s">
        <v>135</v>
      </c>
      <c r="B89" s="1" t="s">
        <v>648</v>
      </c>
      <c r="E89" s="1" t="s">
        <v>142</v>
      </c>
      <c r="F89" s="1">
        <v>2</v>
      </c>
      <c r="G89" s="1">
        <v>2050</v>
      </c>
      <c r="H89" s="1">
        <v>1</v>
      </c>
      <c r="I89" s="1">
        <v>0</v>
      </c>
      <c r="J89" s="1">
        <v>0</v>
      </c>
      <c r="K89" s="18"/>
      <c r="L89" s="18"/>
      <c r="M89" s="18"/>
      <c r="N89" s="18">
        <v>671.74958125000023</v>
      </c>
      <c r="O89" s="18">
        <v>471.65514000000002</v>
      </c>
      <c r="P89" s="18">
        <v>922.70474999999999</v>
      </c>
      <c r="Q89" s="18">
        <v>0</v>
      </c>
      <c r="R89" s="18">
        <v>0</v>
      </c>
      <c r="S89" s="18">
        <v>0</v>
      </c>
      <c r="T89" s="18">
        <v>671.74958125000023</v>
      </c>
      <c r="U89" s="18">
        <v>471.65514000000002</v>
      </c>
      <c r="V89" s="18">
        <v>922.70474999999999</v>
      </c>
      <c r="W89" s="18">
        <v>0</v>
      </c>
      <c r="X89" s="18">
        <v>0</v>
      </c>
      <c r="Y89" s="18">
        <v>0</v>
      </c>
      <c r="Z89" s="18">
        <v>671.74958125000023</v>
      </c>
      <c r="AA89" s="18">
        <v>471.65514000000002</v>
      </c>
      <c r="AB89" s="18">
        <v>922.70474999999999</v>
      </c>
      <c r="AC89" s="18">
        <v>0</v>
      </c>
      <c r="AD89" s="18">
        <v>0</v>
      </c>
      <c r="AE89" s="18">
        <v>0</v>
      </c>
      <c r="AF89" s="18">
        <v>671.74958125000023</v>
      </c>
      <c r="AG89" s="18">
        <v>471.65514000000002</v>
      </c>
      <c r="AH89" s="18">
        <v>922.70474999999999</v>
      </c>
      <c r="AI89" s="18">
        <v>0</v>
      </c>
      <c r="AJ89" s="18">
        <v>0</v>
      </c>
      <c r="AK89" s="18">
        <v>0</v>
      </c>
      <c r="AL89" s="18">
        <v>671.74958125000023</v>
      </c>
      <c r="AM89" s="18">
        <v>471.65514000000002</v>
      </c>
      <c r="AN89" s="18">
        <v>922.70474999999999</v>
      </c>
      <c r="AO89" s="18">
        <v>0</v>
      </c>
      <c r="AP89" s="18">
        <v>0</v>
      </c>
      <c r="AQ89" s="18">
        <v>0</v>
      </c>
      <c r="AR89" s="18">
        <v>671.74958125000023</v>
      </c>
      <c r="AS89" s="18">
        <v>471.65514000000002</v>
      </c>
      <c r="AT89" s="18">
        <v>922.70474999999999</v>
      </c>
      <c r="AU89" s="18">
        <v>0</v>
      </c>
      <c r="AV89" s="18">
        <v>0</v>
      </c>
      <c r="AW89" s="18">
        <v>0</v>
      </c>
      <c r="AX89" s="18">
        <v>671.74958125000023</v>
      </c>
      <c r="AY89" s="18">
        <v>471.65514000000002</v>
      </c>
      <c r="AZ89" s="18">
        <v>922.70474999999999</v>
      </c>
      <c r="BA89" s="18">
        <v>0</v>
      </c>
      <c r="BB89" s="18">
        <v>0</v>
      </c>
      <c r="BC89" s="18">
        <v>0</v>
      </c>
      <c r="BD89" s="18">
        <v>671.74958125000023</v>
      </c>
      <c r="BE89" s="18">
        <v>471.65514000000002</v>
      </c>
      <c r="BF89" s="18">
        <v>922.70474999999999</v>
      </c>
      <c r="BG89" s="18">
        <v>0</v>
      </c>
      <c r="BH89" s="18">
        <v>0</v>
      </c>
      <c r="BI89" s="18">
        <v>0</v>
      </c>
      <c r="BJ89" s="18">
        <v>671.74958125000023</v>
      </c>
      <c r="BK89" s="18">
        <v>471.65514000000002</v>
      </c>
      <c r="BL89" s="18">
        <v>922.70474999999999</v>
      </c>
      <c r="BM89" s="18">
        <v>0</v>
      </c>
      <c r="BN89" s="18">
        <v>0</v>
      </c>
      <c r="BO89" s="18">
        <v>0</v>
      </c>
      <c r="BP89" s="18"/>
      <c r="BQ89" s="18"/>
      <c r="BR89" s="18"/>
      <c r="BS89" s="18"/>
      <c r="BT89" s="10">
        <f>Tabelle58971121[[#This Row],[Mindestauslastung durch]]*Tabelle58971121[[#This Row],[installierte Leistung MW durch]]</f>
        <v>302.0985</v>
      </c>
      <c r="BU89" s="10">
        <f>Tabelle58971121[[#This Row],[Mindestauslastung min]]*Tabelle58971121[[#This Row],[installierte Leistung MW min]]</f>
        <v>278.53649999999999</v>
      </c>
      <c r="BV89" s="10">
        <f>Tabelle58971121[[#This Row],[Mindestauslastung max]]*Tabelle58971121[[#This Row],[installierte Leistung MW max]]</f>
        <v>325.66050000000001</v>
      </c>
      <c r="BW89" s="8">
        <v>0.15</v>
      </c>
      <c r="BX89" s="8">
        <v>0.15</v>
      </c>
      <c r="BY89" s="8">
        <v>0.15</v>
      </c>
      <c r="BZ89" s="8"/>
      <c r="CA89" s="8">
        <v>0.33354166666666663</v>
      </c>
      <c r="CB89" s="8">
        <v>0.254</v>
      </c>
      <c r="CC89" s="8">
        <v>0.42499999999999999</v>
      </c>
      <c r="CD89" s="8">
        <v>0.33354166666666663</v>
      </c>
      <c r="CE89" s="8">
        <v>0.254</v>
      </c>
      <c r="CF89" s="8">
        <v>0.42499999999999999</v>
      </c>
      <c r="CG89" s="8">
        <v>0.33354166666666663</v>
      </c>
      <c r="CH89" s="8">
        <v>0.254</v>
      </c>
      <c r="CI89" s="8">
        <v>0.42499999999999999</v>
      </c>
      <c r="CJ89" s="8">
        <v>0.33354166666666663</v>
      </c>
      <c r="CK89" s="8">
        <v>0.254</v>
      </c>
      <c r="CL89" s="8">
        <v>0.42499999999999999</v>
      </c>
      <c r="CM89" s="8">
        <v>0.33354166666666663</v>
      </c>
      <c r="CN89" s="8">
        <v>0.254</v>
      </c>
      <c r="CO89" s="8">
        <v>0.42499999999999999</v>
      </c>
      <c r="CP89" s="8">
        <v>0.33354166666666663</v>
      </c>
      <c r="CQ89" s="8">
        <v>0.254</v>
      </c>
      <c r="CR89" s="8">
        <v>0.42499999999999999</v>
      </c>
      <c r="CS89" s="8">
        <v>0.33354166666666663</v>
      </c>
      <c r="CT89" s="8">
        <v>0.254</v>
      </c>
      <c r="CU89" s="8">
        <v>0.42499999999999999</v>
      </c>
      <c r="CV89" s="8">
        <v>0.33354166666666663</v>
      </c>
      <c r="CW89" s="8">
        <v>0.254</v>
      </c>
      <c r="CX89" s="8">
        <v>0.42499999999999999</v>
      </c>
      <c r="CY89" s="8">
        <v>0.33354166666666663</v>
      </c>
      <c r="CZ89" s="8">
        <v>0.254</v>
      </c>
      <c r="DA89" s="8">
        <v>0.42499999999999999</v>
      </c>
      <c r="DB89" s="8"/>
      <c r="DC89" s="8"/>
      <c r="DD89" s="8"/>
      <c r="DE89" s="48">
        <f>Tabelle58971121[[#This Row],[Durchschnittsauslastung min]]*Tabelle58971121[[#This Row],[installierte Leistung MW min]]</f>
        <v>0</v>
      </c>
      <c r="DF89" s="48">
        <f>Tabelle58971121[[#This Row],[Durchschnittsauslastung durch]]*Tabelle58971121[[#This Row],[installierte Leistung MW durch]]</f>
        <v>0</v>
      </c>
      <c r="DG89" s="48">
        <f>Tabelle58971121[[#This Row],[Durchschnittsauslastung max]]*Tabelle58971121[[#This Row],[installierte Leistung MW max]]</f>
        <v>0</v>
      </c>
      <c r="DH89" s="87">
        <f>Tabelle58971121[[#This Row],[Maximalauslastung durch]]*Tabelle58971121[[#This Row],[installierte Leistung MW min]]</f>
        <v>1856.91</v>
      </c>
      <c r="DI89" s="48">
        <f>Tabelle58971121[[#This Row],[Maximalauslastung durch]]*Tabelle58971121[[#This Row],[installierte Leistung MW durch]]</f>
        <v>2013.99</v>
      </c>
      <c r="DJ89" s="18">
        <f>Tabelle58971121[[#This Row],[Maximalauslastung max]]*Tabelle58971121[[#This Row],[installierte Leistung MW durch]]</f>
        <v>2013.99</v>
      </c>
      <c r="DK89" s="8">
        <v>1</v>
      </c>
      <c r="DL89" s="8">
        <v>1</v>
      </c>
      <c r="DM89" s="8">
        <v>1</v>
      </c>
      <c r="DN89" s="1">
        <v>2013.99</v>
      </c>
      <c r="DO89" s="1">
        <v>1856.91</v>
      </c>
      <c r="DP89" s="1">
        <v>2171.0700000000002</v>
      </c>
      <c r="DQ89" s="18"/>
      <c r="DR89" s="18"/>
      <c r="DW89" s="1">
        <v>0.25</v>
      </c>
      <c r="DX89" s="1">
        <v>0.2</v>
      </c>
      <c r="DY89" s="1">
        <v>0.3</v>
      </c>
      <c r="DZ89" s="1">
        <v>0.25</v>
      </c>
      <c r="EA89" s="1">
        <v>0.2</v>
      </c>
      <c r="EB89" s="1">
        <v>0.3</v>
      </c>
      <c r="EC89" s="1">
        <v>4.5</v>
      </c>
      <c r="ED89" s="1">
        <v>3</v>
      </c>
      <c r="EE89" s="1">
        <v>6</v>
      </c>
      <c r="EF89" s="1">
        <v>0.4</v>
      </c>
      <c r="EG89" s="1">
        <v>0.3</v>
      </c>
      <c r="EH89" s="1">
        <v>0.5</v>
      </c>
      <c r="EL89" s="1">
        <v>6570</v>
      </c>
      <c r="EM89" s="1">
        <v>4380</v>
      </c>
      <c r="EN89" s="1">
        <v>8760</v>
      </c>
      <c r="EO89" s="10"/>
      <c r="EP89" s="10"/>
      <c r="EQ89" s="10"/>
      <c r="ER89" s="1">
        <v>6570</v>
      </c>
      <c r="ES89" s="1">
        <v>4380</v>
      </c>
      <c r="ET89" s="1">
        <v>8760</v>
      </c>
      <c r="EU89" s="1">
        <v>64.315294117647056</v>
      </c>
      <c r="EV89" s="18">
        <v>57.904117647058833</v>
      </c>
      <c r="EW89" s="18">
        <v>70.726470588235287</v>
      </c>
      <c r="EX89" s="18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>
        <v>1211</v>
      </c>
      <c r="FK89" s="7">
        <v>1089.8999999999999</v>
      </c>
      <c r="FL89" s="7">
        <v>1332.1</v>
      </c>
      <c r="FO89" s="1">
        <v>67</v>
      </c>
      <c r="FP89" s="1">
        <v>67</v>
      </c>
      <c r="FQ89" s="1">
        <v>67</v>
      </c>
      <c r="FR89" s="12" t="s">
        <v>743</v>
      </c>
      <c r="FS89" s="12" t="s">
        <v>743</v>
      </c>
      <c r="FT89" s="12" t="s">
        <v>743</v>
      </c>
      <c r="FU89" s="12"/>
      <c r="FV89" s="12" t="s">
        <v>743</v>
      </c>
      <c r="FW89" s="12" t="s">
        <v>743</v>
      </c>
      <c r="FX89" s="12" t="s">
        <v>743</v>
      </c>
      <c r="FY89" s="12" t="s">
        <v>743</v>
      </c>
      <c r="FZ89" s="12" t="s">
        <v>743</v>
      </c>
      <c r="GA89" s="12" t="s">
        <v>743</v>
      </c>
      <c r="GB89" s="12" t="s">
        <v>743</v>
      </c>
      <c r="GE89" s="12" t="s">
        <v>743</v>
      </c>
      <c r="GF89" s="12" t="s">
        <v>743</v>
      </c>
      <c r="GH89" s="12" t="s">
        <v>743</v>
      </c>
    </row>
    <row r="90" spans="1:190" ht="12.75" customHeight="1" x14ac:dyDescent="0.2">
      <c r="A90" s="1" t="s">
        <v>151</v>
      </c>
      <c r="B90" s="1" t="s">
        <v>683</v>
      </c>
      <c r="E90" s="1" t="s">
        <v>142</v>
      </c>
      <c r="F90" s="1">
        <v>2</v>
      </c>
      <c r="G90" s="1">
        <v>2015</v>
      </c>
      <c r="H90" s="1">
        <v>0</v>
      </c>
      <c r="I90" s="1">
        <v>1</v>
      </c>
      <c r="J90" s="1">
        <v>0</v>
      </c>
      <c r="K90" s="18"/>
      <c r="L90" s="18"/>
      <c r="M90" s="18"/>
      <c r="N90" s="18">
        <v>1894.6874999999991</v>
      </c>
      <c r="O90" s="18">
        <v>615.6</v>
      </c>
      <c r="P90" s="18">
        <v>2716.1750000000002</v>
      </c>
      <c r="Q90" s="18">
        <v>0</v>
      </c>
      <c r="R90" s="18">
        <v>0</v>
      </c>
      <c r="S90" s="18">
        <v>642.6</v>
      </c>
      <c r="T90" s="18">
        <v>1894.6874999999991</v>
      </c>
      <c r="U90" s="18">
        <v>615.6</v>
      </c>
      <c r="V90" s="18">
        <v>2716.1750000000002</v>
      </c>
      <c r="W90" s="18">
        <v>0</v>
      </c>
      <c r="X90" s="18">
        <v>0</v>
      </c>
      <c r="Y90" s="18">
        <v>642.6</v>
      </c>
      <c r="Z90" s="18">
        <v>1894.6874999999991</v>
      </c>
      <c r="AA90" s="18">
        <v>615.6</v>
      </c>
      <c r="AB90" s="18">
        <v>2716.1750000000002</v>
      </c>
      <c r="AC90" s="18">
        <v>0</v>
      </c>
      <c r="AD90" s="18">
        <v>0</v>
      </c>
      <c r="AE90" s="18">
        <v>642.6</v>
      </c>
      <c r="AF90" s="18">
        <v>1894.6874999999991</v>
      </c>
      <c r="AG90" s="18">
        <v>615.6</v>
      </c>
      <c r="AH90" s="18">
        <v>2716.1750000000002</v>
      </c>
      <c r="AI90" s="18">
        <v>0</v>
      </c>
      <c r="AJ90" s="18">
        <v>0</v>
      </c>
      <c r="AK90" s="18">
        <v>642.6</v>
      </c>
      <c r="AL90" s="18">
        <v>1894.6874999999991</v>
      </c>
      <c r="AM90" s="18">
        <v>615.6</v>
      </c>
      <c r="AN90" s="18">
        <v>2716.1750000000002</v>
      </c>
      <c r="AO90" s="18">
        <v>0</v>
      </c>
      <c r="AP90" s="18">
        <v>0</v>
      </c>
      <c r="AQ90" s="18">
        <v>642.6</v>
      </c>
      <c r="AR90" s="18">
        <v>1894.6874999999991</v>
      </c>
      <c r="AS90" s="18">
        <v>615.6</v>
      </c>
      <c r="AT90" s="18">
        <v>2716.1750000000002</v>
      </c>
      <c r="AU90" s="18">
        <v>0</v>
      </c>
      <c r="AV90" s="18">
        <v>0</v>
      </c>
      <c r="AW90" s="18">
        <v>642.6</v>
      </c>
      <c r="AX90" s="18">
        <v>1894.6874999999991</v>
      </c>
      <c r="AY90" s="18">
        <v>615.6</v>
      </c>
      <c r="AZ90" s="18">
        <v>2716.1750000000002</v>
      </c>
      <c r="BA90" s="18">
        <v>0</v>
      </c>
      <c r="BB90" s="18">
        <v>0</v>
      </c>
      <c r="BC90" s="18">
        <v>642.6</v>
      </c>
      <c r="BD90" s="18">
        <v>1894.6874999999991</v>
      </c>
      <c r="BE90" s="18">
        <v>615.6</v>
      </c>
      <c r="BF90" s="18">
        <v>2716.1750000000002</v>
      </c>
      <c r="BG90" s="18">
        <v>0</v>
      </c>
      <c r="BH90" s="18">
        <v>0</v>
      </c>
      <c r="BI90" s="18">
        <v>642.6</v>
      </c>
      <c r="BJ90" s="18">
        <v>1894.6874999999991</v>
      </c>
      <c r="BK90" s="18">
        <v>615.6</v>
      </c>
      <c r="BL90" s="18">
        <v>2716.1750000000002</v>
      </c>
      <c r="BM90" s="18">
        <v>0</v>
      </c>
      <c r="BN90" s="18">
        <v>0</v>
      </c>
      <c r="BO90" s="18">
        <v>642.6</v>
      </c>
      <c r="BP90" s="18"/>
      <c r="BQ90" s="18"/>
      <c r="BR90" s="18"/>
      <c r="BS90" s="18"/>
      <c r="BT90" s="10">
        <f>Tabelle58971121[[#This Row],[Mindestauslastung durch]]*Tabelle58971121[[#This Row],[installierte Leistung MW durch]]</f>
        <v>375</v>
      </c>
      <c r="BU90" s="10">
        <f>Tabelle58971121[[#This Row],[Mindestauslastung min]]*Tabelle58971121[[#This Row],[installierte Leistung MW min]]</f>
        <v>303.75</v>
      </c>
      <c r="BV90" s="10">
        <f>Tabelle58971121[[#This Row],[Mindestauslastung max]]*Tabelle58971121[[#This Row],[installierte Leistung MW max]]</f>
        <v>446.25</v>
      </c>
      <c r="BW90" s="8">
        <v>0.15</v>
      </c>
      <c r="BX90" s="8">
        <v>0.15</v>
      </c>
      <c r="BY90" s="8">
        <v>0.15</v>
      </c>
      <c r="BZ90" s="8"/>
      <c r="CA90" s="8">
        <v>0.75787499999999985</v>
      </c>
      <c r="CB90" s="8">
        <v>0.30399999999999999</v>
      </c>
      <c r="CC90" s="8">
        <v>0.91299999999999992</v>
      </c>
      <c r="CD90" s="8">
        <v>0.75787499999999985</v>
      </c>
      <c r="CE90" s="8">
        <v>0.30399999999999999</v>
      </c>
      <c r="CF90" s="8">
        <v>0.91299999999999992</v>
      </c>
      <c r="CG90" s="8">
        <v>0.75787499999999985</v>
      </c>
      <c r="CH90" s="8">
        <v>0.30399999999999999</v>
      </c>
      <c r="CI90" s="8">
        <v>0.91299999999999992</v>
      </c>
      <c r="CJ90" s="8">
        <v>0.75787499999999985</v>
      </c>
      <c r="CK90" s="8">
        <v>0.30399999999999999</v>
      </c>
      <c r="CL90" s="8">
        <v>0.91299999999999992</v>
      </c>
      <c r="CM90" s="8">
        <v>0.75787499999999985</v>
      </c>
      <c r="CN90" s="8">
        <v>0.30399999999999999</v>
      </c>
      <c r="CO90" s="8">
        <v>0.91299999999999992</v>
      </c>
      <c r="CP90" s="8">
        <v>0.75787499999999985</v>
      </c>
      <c r="CQ90" s="8">
        <v>0.30399999999999999</v>
      </c>
      <c r="CR90" s="8">
        <v>0.91299999999999992</v>
      </c>
      <c r="CS90" s="8">
        <v>0.75787499999999985</v>
      </c>
      <c r="CT90" s="8">
        <v>0.30399999999999999</v>
      </c>
      <c r="CU90" s="8">
        <v>0.91299999999999992</v>
      </c>
      <c r="CV90" s="8">
        <v>0.75787499999999985</v>
      </c>
      <c r="CW90" s="8">
        <v>0.30399999999999999</v>
      </c>
      <c r="CX90" s="8">
        <v>0.91299999999999992</v>
      </c>
      <c r="CY90" s="8">
        <v>0.75787499999999985</v>
      </c>
      <c r="CZ90" s="8">
        <v>0.30399999999999999</v>
      </c>
      <c r="DA90" s="8">
        <v>0.91299999999999992</v>
      </c>
      <c r="DB90" s="8"/>
      <c r="DC90" s="8"/>
      <c r="DD90" s="8"/>
      <c r="DE90" s="48">
        <f>Tabelle58971121[[#This Row],[Durchschnittsauslastung min]]*Tabelle58971121[[#This Row],[installierte Leistung MW min]]</f>
        <v>0</v>
      </c>
      <c r="DF90" s="48">
        <f>Tabelle58971121[[#This Row],[Durchschnittsauslastung durch]]*Tabelle58971121[[#This Row],[installierte Leistung MW durch]]</f>
        <v>0</v>
      </c>
      <c r="DG90" s="48">
        <f>Tabelle58971121[[#This Row],[Durchschnittsauslastung max]]*Tabelle58971121[[#This Row],[installierte Leistung MW max]]</f>
        <v>0</v>
      </c>
      <c r="DH90" s="87">
        <f>Tabelle58971121[[#This Row],[Maximalauslastung durch]]*Tabelle58971121[[#This Row],[installierte Leistung MW min]]</f>
        <v>951.75</v>
      </c>
      <c r="DI90" s="48">
        <f>Tabelle58971121[[#This Row],[Maximalauslastung durch]]*Tabelle58971121[[#This Row],[installierte Leistung MW durch]]</f>
        <v>1175</v>
      </c>
      <c r="DJ90" s="18">
        <f>Tabelle58971121[[#This Row],[Maximalauslastung max]]*Tabelle58971121[[#This Row],[installierte Leistung MW durch]]</f>
        <v>1300</v>
      </c>
      <c r="DK90" s="8">
        <v>0.47</v>
      </c>
      <c r="DL90" s="8">
        <v>0.42</v>
      </c>
      <c r="DM90" s="8">
        <v>0.52</v>
      </c>
      <c r="DN90" s="1">
        <v>2500</v>
      </c>
      <c r="DO90" s="1">
        <v>2025</v>
      </c>
      <c r="DP90" s="1">
        <v>2975</v>
      </c>
      <c r="DQ90" s="18"/>
      <c r="DR90" s="18"/>
      <c r="DW90" s="1">
        <v>0.25</v>
      </c>
      <c r="DX90" s="1">
        <v>0.2</v>
      </c>
      <c r="DY90" s="1">
        <v>0.3</v>
      </c>
      <c r="DZ90" s="1">
        <v>0.25</v>
      </c>
      <c r="EA90" s="1">
        <v>0.2</v>
      </c>
      <c r="EB90" s="1">
        <v>0.3</v>
      </c>
      <c r="EC90" s="1">
        <v>0.5</v>
      </c>
      <c r="ED90" s="1">
        <v>0.4</v>
      </c>
      <c r="EE90" s="1">
        <v>0.6</v>
      </c>
      <c r="EF90" s="1">
        <v>0.3</v>
      </c>
      <c r="EG90" s="1">
        <v>0.2</v>
      </c>
      <c r="EH90" s="1">
        <v>0.4</v>
      </c>
      <c r="EL90" s="1">
        <v>365</v>
      </c>
      <c r="EM90" s="1">
        <v>328</v>
      </c>
      <c r="EN90" s="1">
        <v>402</v>
      </c>
      <c r="EO90" s="10"/>
      <c r="EP90" s="10"/>
      <c r="EQ90" s="10"/>
      <c r="ER90" s="1" t="s">
        <v>1046</v>
      </c>
      <c r="ES90" s="1" t="s">
        <v>1046</v>
      </c>
      <c r="ET90" s="1" t="s">
        <v>1046</v>
      </c>
      <c r="EU90" s="1">
        <v>145.52352941176468</v>
      </c>
      <c r="EV90" s="18">
        <v>130.9711764705882</v>
      </c>
      <c r="EW90" s="18">
        <v>160.07588235294116</v>
      </c>
      <c r="EX90" s="18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>
        <v>9.972941176470588</v>
      </c>
      <c r="FK90" s="7">
        <v>3.5617647058823536</v>
      </c>
      <c r="FL90" s="7">
        <v>16.384117647058822</v>
      </c>
      <c r="FO90" s="1">
        <v>67</v>
      </c>
      <c r="FP90" s="1">
        <v>67</v>
      </c>
      <c r="FQ90" s="1">
        <v>67</v>
      </c>
      <c r="FR90" s="12" t="s">
        <v>743</v>
      </c>
      <c r="FS90" s="12" t="s">
        <v>743</v>
      </c>
      <c r="FT90" s="12" t="s">
        <v>743</v>
      </c>
      <c r="FU90" s="12"/>
      <c r="FV90" s="12" t="s">
        <v>743</v>
      </c>
      <c r="FW90" s="12" t="s">
        <v>743</v>
      </c>
      <c r="FX90" s="12" t="s">
        <v>743</v>
      </c>
      <c r="FY90" s="12" t="s">
        <v>743</v>
      </c>
      <c r="FZ90" s="12" t="s">
        <v>743</v>
      </c>
      <c r="GA90" s="12" t="s">
        <v>743</v>
      </c>
      <c r="GB90" s="12" t="s">
        <v>743</v>
      </c>
      <c r="GE90" s="12" t="s">
        <v>743</v>
      </c>
      <c r="GF90" s="12" t="s">
        <v>743</v>
      </c>
      <c r="GH90" s="12" t="s">
        <v>743</v>
      </c>
    </row>
    <row r="91" spans="1:190" ht="12.75" customHeight="1" x14ac:dyDescent="0.2">
      <c r="A91" s="1" t="s">
        <v>151</v>
      </c>
      <c r="B91" s="1" t="s">
        <v>683</v>
      </c>
      <c r="E91" s="1" t="s">
        <v>142</v>
      </c>
      <c r="F91" s="1">
        <v>2</v>
      </c>
      <c r="G91" s="1">
        <v>2020</v>
      </c>
      <c r="H91" s="1">
        <v>0</v>
      </c>
      <c r="I91" s="1">
        <v>1</v>
      </c>
      <c r="J91" s="1">
        <v>0</v>
      </c>
      <c r="K91" s="18"/>
      <c r="L91" s="18"/>
      <c r="M91" s="18"/>
      <c r="N91" s="18">
        <v>1610.4843749999991</v>
      </c>
      <c r="O91" s="18">
        <v>523.26</v>
      </c>
      <c r="P91" s="18">
        <v>2308.7487500000002</v>
      </c>
      <c r="Q91" s="18">
        <v>0</v>
      </c>
      <c r="R91" s="18">
        <v>0</v>
      </c>
      <c r="S91" s="18">
        <v>546.21</v>
      </c>
      <c r="T91" s="18">
        <v>1610.4843749999991</v>
      </c>
      <c r="U91" s="18">
        <v>523.26</v>
      </c>
      <c r="V91" s="18">
        <v>2308.7487500000002</v>
      </c>
      <c r="W91" s="18">
        <v>0</v>
      </c>
      <c r="X91" s="18">
        <v>0</v>
      </c>
      <c r="Y91" s="18">
        <v>546.21</v>
      </c>
      <c r="Z91" s="18">
        <v>1610.4843749999991</v>
      </c>
      <c r="AA91" s="18">
        <v>523.26</v>
      </c>
      <c r="AB91" s="18">
        <v>2308.7487500000002</v>
      </c>
      <c r="AC91" s="18">
        <v>0</v>
      </c>
      <c r="AD91" s="18">
        <v>0</v>
      </c>
      <c r="AE91" s="18">
        <v>546.21</v>
      </c>
      <c r="AF91" s="18">
        <v>1610.4843749999991</v>
      </c>
      <c r="AG91" s="18">
        <v>523.26</v>
      </c>
      <c r="AH91" s="18">
        <v>2308.7487500000002</v>
      </c>
      <c r="AI91" s="18">
        <v>0</v>
      </c>
      <c r="AJ91" s="18">
        <v>0</v>
      </c>
      <c r="AK91" s="18">
        <v>546.21</v>
      </c>
      <c r="AL91" s="18">
        <v>1610.4843749999991</v>
      </c>
      <c r="AM91" s="18">
        <v>523.26</v>
      </c>
      <c r="AN91" s="18">
        <v>2308.7487500000002</v>
      </c>
      <c r="AO91" s="18">
        <v>0</v>
      </c>
      <c r="AP91" s="18">
        <v>0</v>
      </c>
      <c r="AQ91" s="18">
        <v>546.21</v>
      </c>
      <c r="AR91" s="18">
        <v>1610.4843749999991</v>
      </c>
      <c r="AS91" s="18">
        <v>523.26</v>
      </c>
      <c r="AT91" s="18">
        <v>2308.7487500000002</v>
      </c>
      <c r="AU91" s="18">
        <v>0</v>
      </c>
      <c r="AV91" s="18">
        <v>0</v>
      </c>
      <c r="AW91" s="18">
        <v>546.21</v>
      </c>
      <c r="AX91" s="18">
        <v>1610.4843749999991</v>
      </c>
      <c r="AY91" s="18">
        <v>523.26</v>
      </c>
      <c r="AZ91" s="18">
        <v>2308.7487500000002</v>
      </c>
      <c r="BA91" s="18">
        <v>0</v>
      </c>
      <c r="BB91" s="18">
        <v>0</v>
      </c>
      <c r="BC91" s="18">
        <v>546.21</v>
      </c>
      <c r="BD91" s="18">
        <v>1610.4843749999991</v>
      </c>
      <c r="BE91" s="18">
        <v>523.26</v>
      </c>
      <c r="BF91" s="18">
        <v>2308.7487500000002</v>
      </c>
      <c r="BG91" s="18">
        <v>0</v>
      </c>
      <c r="BH91" s="18">
        <v>0</v>
      </c>
      <c r="BI91" s="18">
        <v>546.21</v>
      </c>
      <c r="BJ91" s="18">
        <v>1610.4843749999991</v>
      </c>
      <c r="BK91" s="18">
        <v>523.26</v>
      </c>
      <c r="BL91" s="18">
        <v>2308.7487500000002</v>
      </c>
      <c r="BM91" s="18">
        <v>0</v>
      </c>
      <c r="BN91" s="18">
        <v>0</v>
      </c>
      <c r="BO91" s="18">
        <v>546.21</v>
      </c>
      <c r="BP91" s="18"/>
      <c r="BQ91" s="18"/>
      <c r="BR91" s="18"/>
      <c r="BS91" s="18"/>
      <c r="BT91" s="10">
        <f>Tabelle58971121[[#This Row],[Mindestauslastung durch]]*Tabelle58971121[[#This Row],[installierte Leistung MW durch]]</f>
        <v>318.75</v>
      </c>
      <c r="BU91" s="10">
        <f>Tabelle58971121[[#This Row],[Mindestauslastung min]]*Tabelle58971121[[#This Row],[installierte Leistung MW min]]</f>
        <v>258.1875</v>
      </c>
      <c r="BV91" s="10">
        <f>Tabelle58971121[[#This Row],[Mindestauslastung max]]*Tabelle58971121[[#This Row],[installierte Leistung MW max]]</f>
        <v>379.3125</v>
      </c>
      <c r="BW91" s="8">
        <v>0.15</v>
      </c>
      <c r="BX91" s="8">
        <v>0.15</v>
      </c>
      <c r="BY91" s="8">
        <v>0.15</v>
      </c>
      <c r="BZ91" s="8"/>
      <c r="CA91" s="8">
        <v>0.75787499999999985</v>
      </c>
      <c r="CB91" s="8">
        <v>0.30399999999999999</v>
      </c>
      <c r="CC91" s="8">
        <v>0.91299999999999992</v>
      </c>
      <c r="CD91" s="8">
        <v>0.75787499999999985</v>
      </c>
      <c r="CE91" s="8">
        <v>0.30399999999999999</v>
      </c>
      <c r="CF91" s="8">
        <v>0.91299999999999992</v>
      </c>
      <c r="CG91" s="8">
        <v>0.75787499999999985</v>
      </c>
      <c r="CH91" s="8">
        <v>0.30399999999999999</v>
      </c>
      <c r="CI91" s="8">
        <v>0.91299999999999992</v>
      </c>
      <c r="CJ91" s="8">
        <v>0.75787499999999985</v>
      </c>
      <c r="CK91" s="8">
        <v>0.30399999999999999</v>
      </c>
      <c r="CL91" s="8">
        <v>0.91299999999999992</v>
      </c>
      <c r="CM91" s="8">
        <v>0.75787499999999985</v>
      </c>
      <c r="CN91" s="8">
        <v>0.30399999999999999</v>
      </c>
      <c r="CO91" s="8">
        <v>0.91299999999999992</v>
      </c>
      <c r="CP91" s="8">
        <v>0.75787499999999985</v>
      </c>
      <c r="CQ91" s="8">
        <v>0.30399999999999999</v>
      </c>
      <c r="CR91" s="8">
        <v>0.91299999999999992</v>
      </c>
      <c r="CS91" s="8">
        <v>0.75787499999999985</v>
      </c>
      <c r="CT91" s="8">
        <v>0.30399999999999999</v>
      </c>
      <c r="CU91" s="8">
        <v>0.91299999999999992</v>
      </c>
      <c r="CV91" s="8">
        <v>0.75787499999999985</v>
      </c>
      <c r="CW91" s="8">
        <v>0.30399999999999999</v>
      </c>
      <c r="CX91" s="8">
        <v>0.91299999999999992</v>
      </c>
      <c r="CY91" s="8">
        <v>0.75787499999999985</v>
      </c>
      <c r="CZ91" s="8">
        <v>0.30399999999999999</v>
      </c>
      <c r="DA91" s="8">
        <v>0.91299999999999992</v>
      </c>
      <c r="DB91" s="8"/>
      <c r="DC91" s="8"/>
      <c r="DD91" s="8"/>
      <c r="DE91" s="48">
        <f>Tabelle58971121[[#This Row],[Durchschnittsauslastung min]]*Tabelle58971121[[#This Row],[installierte Leistung MW min]]</f>
        <v>0</v>
      </c>
      <c r="DF91" s="48">
        <f>Tabelle58971121[[#This Row],[Durchschnittsauslastung durch]]*Tabelle58971121[[#This Row],[installierte Leistung MW durch]]</f>
        <v>0</v>
      </c>
      <c r="DG91" s="48">
        <f>Tabelle58971121[[#This Row],[Durchschnittsauslastung max]]*Tabelle58971121[[#This Row],[installierte Leistung MW max]]</f>
        <v>0</v>
      </c>
      <c r="DH91" s="87">
        <f>Tabelle58971121[[#This Row],[Maximalauslastung durch]]*Tabelle58971121[[#This Row],[installierte Leistung MW min]]</f>
        <v>808.98749999999995</v>
      </c>
      <c r="DI91" s="48">
        <f>Tabelle58971121[[#This Row],[Maximalauslastung durch]]*Tabelle58971121[[#This Row],[installierte Leistung MW durch]]</f>
        <v>998.75</v>
      </c>
      <c r="DJ91" s="18">
        <f>Tabelle58971121[[#This Row],[Maximalauslastung max]]*Tabelle58971121[[#This Row],[installierte Leistung MW durch]]</f>
        <v>1105</v>
      </c>
      <c r="DK91" s="8">
        <v>0.47</v>
      </c>
      <c r="DL91" s="8">
        <v>0.42</v>
      </c>
      <c r="DM91" s="8">
        <v>0.52</v>
      </c>
      <c r="DN91" s="1">
        <v>2125</v>
      </c>
      <c r="DO91" s="1">
        <v>1721.25</v>
      </c>
      <c r="DP91" s="1">
        <v>2528.75</v>
      </c>
      <c r="DQ91" s="18"/>
      <c r="DR91" s="18"/>
      <c r="DW91" s="1">
        <v>0.25</v>
      </c>
      <c r="DX91" s="1">
        <v>0.2</v>
      </c>
      <c r="DY91" s="1">
        <v>0.3</v>
      </c>
      <c r="DZ91" s="1">
        <v>0.25</v>
      </c>
      <c r="EA91" s="1">
        <v>0.2</v>
      </c>
      <c r="EB91" s="1">
        <v>0.3</v>
      </c>
      <c r="EC91" s="1">
        <v>0.5</v>
      </c>
      <c r="ED91" s="1">
        <v>0.4</v>
      </c>
      <c r="EE91" s="1">
        <v>0.6</v>
      </c>
      <c r="EF91" s="1">
        <v>0.3</v>
      </c>
      <c r="EG91" s="1">
        <v>0.2</v>
      </c>
      <c r="EH91" s="1">
        <v>0.4</v>
      </c>
      <c r="EL91" s="1">
        <v>365</v>
      </c>
      <c r="EM91" s="1">
        <v>328</v>
      </c>
      <c r="EN91" s="1">
        <v>402</v>
      </c>
      <c r="EO91" s="10"/>
      <c r="EP91" s="10"/>
      <c r="EQ91" s="10"/>
      <c r="ER91" s="1" t="s">
        <v>1046</v>
      </c>
      <c r="ES91" s="1" t="s">
        <v>1046</v>
      </c>
      <c r="ET91" s="1" t="s">
        <v>1046</v>
      </c>
      <c r="EU91" s="1">
        <v>145.52352941176468</v>
      </c>
      <c r="EV91" s="18">
        <v>130.9711764705882</v>
      </c>
      <c r="EW91" s="18">
        <v>160.07588235294116</v>
      </c>
      <c r="EX91" s="18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>
        <v>9.972941176470588</v>
      </c>
      <c r="FK91" s="7">
        <v>3.5617647058823536</v>
      </c>
      <c r="FL91" s="7">
        <v>16.384117647058822</v>
      </c>
      <c r="FO91" s="1">
        <v>67</v>
      </c>
      <c r="FP91" s="1">
        <v>67</v>
      </c>
      <c r="FQ91" s="1">
        <v>67</v>
      </c>
      <c r="FR91" s="12" t="s">
        <v>743</v>
      </c>
      <c r="FS91" s="12" t="s">
        <v>743</v>
      </c>
      <c r="FT91" s="12" t="s">
        <v>743</v>
      </c>
      <c r="FU91" s="12"/>
      <c r="FV91" s="12" t="s">
        <v>743</v>
      </c>
      <c r="FW91" s="12" t="s">
        <v>743</v>
      </c>
      <c r="FX91" s="12" t="s">
        <v>743</v>
      </c>
      <c r="FY91" s="12" t="s">
        <v>743</v>
      </c>
      <c r="FZ91" s="12" t="s">
        <v>743</v>
      </c>
      <c r="GA91" s="12" t="s">
        <v>743</v>
      </c>
      <c r="GB91" s="12" t="s">
        <v>743</v>
      </c>
      <c r="GE91" s="12" t="s">
        <v>743</v>
      </c>
      <c r="GF91" s="12" t="s">
        <v>743</v>
      </c>
      <c r="GH91" s="12" t="s">
        <v>743</v>
      </c>
    </row>
    <row r="92" spans="1:190" ht="12.75" customHeight="1" x14ac:dyDescent="0.2">
      <c r="A92" s="1" t="s">
        <v>151</v>
      </c>
      <c r="B92" s="1" t="s">
        <v>683</v>
      </c>
      <c r="E92" s="1" t="s">
        <v>142</v>
      </c>
      <c r="F92" s="1">
        <v>2</v>
      </c>
      <c r="G92" s="1">
        <v>2025</v>
      </c>
      <c r="H92" s="1">
        <v>0</v>
      </c>
      <c r="I92" s="1">
        <v>1</v>
      </c>
      <c r="J92" s="1">
        <v>0</v>
      </c>
      <c r="K92" s="18"/>
      <c r="L92" s="18"/>
      <c r="M92" s="18"/>
      <c r="N92" s="18">
        <v>1383.1218749999994</v>
      </c>
      <c r="O92" s="18">
        <v>449.38800000000003</v>
      </c>
      <c r="P92" s="18">
        <v>1982.8077500000002</v>
      </c>
      <c r="Q92" s="18">
        <v>0</v>
      </c>
      <c r="R92" s="18">
        <v>0</v>
      </c>
      <c r="S92" s="18">
        <v>469.09800000000001</v>
      </c>
      <c r="T92" s="18">
        <v>1383.1218749999994</v>
      </c>
      <c r="U92" s="18">
        <v>449.38800000000003</v>
      </c>
      <c r="V92" s="18">
        <v>1982.8077500000002</v>
      </c>
      <c r="W92" s="18">
        <v>0</v>
      </c>
      <c r="X92" s="18">
        <v>0</v>
      </c>
      <c r="Y92" s="18">
        <v>469.09800000000001</v>
      </c>
      <c r="Z92" s="18">
        <v>1383.1218749999994</v>
      </c>
      <c r="AA92" s="18">
        <v>449.38800000000003</v>
      </c>
      <c r="AB92" s="18">
        <v>1982.8077500000002</v>
      </c>
      <c r="AC92" s="18">
        <v>0</v>
      </c>
      <c r="AD92" s="18">
        <v>0</v>
      </c>
      <c r="AE92" s="18">
        <v>469.09800000000001</v>
      </c>
      <c r="AF92" s="18">
        <v>1383.1218749999994</v>
      </c>
      <c r="AG92" s="18">
        <v>449.38800000000003</v>
      </c>
      <c r="AH92" s="18">
        <v>1982.8077500000002</v>
      </c>
      <c r="AI92" s="18">
        <v>0</v>
      </c>
      <c r="AJ92" s="18">
        <v>0</v>
      </c>
      <c r="AK92" s="18">
        <v>469.09800000000001</v>
      </c>
      <c r="AL92" s="18">
        <v>1383.1218749999994</v>
      </c>
      <c r="AM92" s="18">
        <v>449.38800000000003</v>
      </c>
      <c r="AN92" s="18">
        <v>1982.8077500000002</v>
      </c>
      <c r="AO92" s="18">
        <v>0</v>
      </c>
      <c r="AP92" s="18">
        <v>0</v>
      </c>
      <c r="AQ92" s="18">
        <v>469.09800000000001</v>
      </c>
      <c r="AR92" s="18">
        <v>1383.1218749999994</v>
      </c>
      <c r="AS92" s="18">
        <v>449.38800000000003</v>
      </c>
      <c r="AT92" s="18">
        <v>1982.8077500000002</v>
      </c>
      <c r="AU92" s="18">
        <v>0</v>
      </c>
      <c r="AV92" s="18">
        <v>0</v>
      </c>
      <c r="AW92" s="18">
        <v>469.09800000000001</v>
      </c>
      <c r="AX92" s="18">
        <v>1383.1218749999994</v>
      </c>
      <c r="AY92" s="18">
        <v>449.38800000000003</v>
      </c>
      <c r="AZ92" s="18">
        <v>1982.8077500000002</v>
      </c>
      <c r="BA92" s="18">
        <v>0</v>
      </c>
      <c r="BB92" s="18">
        <v>0</v>
      </c>
      <c r="BC92" s="18">
        <v>469.09800000000001</v>
      </c>
      <c r="BD92" s="18">
        <v>1383.1218749999994</v>
      </c>
      <c r="BE92" s="18">
        <v>449.38800000000003</v>
      </c>
      <c r="BF92" s="18">
        <v>1982.8077500000002</v>
      </c>
      <c r="BG92" s="18">
        <v>0</v>
      </c>
      <c r="BH92" s="18">
        <v>0</v>
      </c>
      <c r="BI92" s="18">
        <v>469.09800000000001</v>
      </c>
      <c r="BJ92" s="18">
        <v>1383.1218749999994</v>
      </c>
      <c r="BK92" s="18">
        <v>449.38800000000003</v>
      </c>
      <c r="BL92" s="18">
        <v>1982.8077500000002</v>
      </c>
      <c r="BM92" s="18">
        <v>0</v>
      </c>
      <c r="BN92" s="18">
        <v>0</v>
      </c>
      <c r="BO92" s="18">
        <v>469.09800000000001</v>
      </c>
      <c r="BP92" s="18"/>
      <c r="BQ92" s="18"/>
      <c r="BR92" s="18"/>
      <c r="BS92" s="18"/>
      <c r="BT92" s="10">
        <f>Tabelle58971121[[#This Row],[Mindestauslastung durch]]*Tabelle58971121[[#This Row],[installierte Leistung MW durch]]</f>
        <v>273.75</v>
      </c>
      <c r="BU92" s="10">
        <f>Tabelle58971121[[#This Row],[Mindestauslastung min]]*Tabelle58971121[[#This Row],[installierte Leistung MW min]]</f>
        <v>221.73749999999998</v>
      </c>
      <c r="BV92" s="10">
        <f>Tabelle58971121[[#This Row],[Mindestauslastung max]]*Tabelle58971121[[#This Row],[installierte Leistung MW max]]</f>
        <v>325.76249999999999</v>
      </c>
      <c r="BW92" s="8">
        <v>0.15</v>
      </c>
      <c r="BX92" s="8">
        <v>0.15</v>
      </c>
      <c r="BY92" s="8">
        <v>0.15</v>
      </c>
      <c r="BZ92" s="8"/>
      <c r="CA92" s="8">
        <v>0.75787499999999985</v>
      </c>
      <c r="CB92" s="8">
        <v>0.30399999999999999</v>
      </c>
      <c r="CC92" s="8">
        <v>0.91299999999999992</v>
      </c>
      <c r="CD92" s="8">
        <v>0.75787499999999985</v>
      </c>
      <c r="CE92" s="8">
        <v>0.30399999999999999</v>
      </c>
      <c r="CF92" s="8">
        <v>0.91299999999999992</v>
      </c>
      <c r="CG92" s="8">
        <v>0.75787499999999985</v>
      </c>
      <c r="CH92" s="8">
        <v>0.30399999999999999</v>
      </c>
      <c r="CI92" s="8">
        <v>0.91299999999999992</v>
      </c>
      <c r="CJ92" s="8">
        <v>0.75787499999999985</v>
      </c>
      <c r="CK92" s="8">
        <v>0.30399999999999999</v>
      </c>
      <c r="CL92" s="8">
        <v>0.91299999999999992</v>
      </c>
      <c r="CM92" s="8">
        <v>0.75787499999999985</v>
      </c>
      <c r="CN92" s="8">
        <v>0.30399999999999999</v>
      </c>
      <c r="CO92" s="8">
        <v>0.91299999999999992</v>
      </c>
      <c r="CP92" s="8">
        <v>0.75787499999999985</v>
      </c>
      <c r="CQ92" s="8">
        <v>0.30399999999999999</v>
      </c>
      <c r="CR92" s="8">
        <v>0.91299999999999992</v>
      </c>
      <c r="CS92" s="8">
        <v>0.75787499999999985</v>
      </c>
      <c r="CT92" s="8">
        <v>0.30399999999999999</v>
      </c>
      <c r="CU92" s="8">
        <v>0.91299999999999992</v>
      </c>
      <c r="CV92" s="8">
        <v>0.75787499999999985</v>
      </c>
      <c r="CW92" s="8">
        <v>0.30399999999999999</v>
      </c>
      <c r="CX92" s="8">
        <v>0.91299999999999992</v>
      </c>
      <c r="CY92" s="8">
        <v>0.75787499999999985</v>
      </c>
      <c r="CZ92" s="8">
        <v>0.30399999999999999</v>
      </c>
      <c r="DA92" s="8">
        <v>0.91299999999999992</v>
      </c>
      <c r="DB92" s="8"/>
      <c r="DC92" s="8"/>
      <c r="DD92" s="8"/>
      <c r="DE92" s="48">
        <f>Tabelle58971121[[#This Row],[Durchschnittsauslastung min]]*Tabelle58971121[[#This Row],[installierte Leistung MW min]]</f>
        <v>0</v>
      </c>
      <c r="DF92" s="48">
        <f>Tabelle58971121[[#This Row],[Durchschnittsauslastung durch]]*Tabelle58971121[[#This Row],[installierte Leistung MW durch]]</f>
        <v>0</v>
      </c>
      <c r="DG92" s="48">
        <f>Tabelle58971121[[#This Row],[Durchschnittsauslastung max]]*Tabelle58971121[[#This Row],[installierte Leistung MW max]]</f>
        <v>0</v>
      </c>
      <c r="DH92" s="87">
        <f>Tabelle58971121[[#This Row],[Maximalauslastung durch]]*Tabelle58971121[[#This Row],[installierte Leistung MW min]]</f>
        <v>694.77749999999992</v>
      </c>
      <c r="DI92" s="48">
        <f>Tabelle58971121[[#This Row],[Maximalauslastung durch]]*Tabelle58971121[[#This Row],[installierte Leistung MW durch]]</f>
        <v>857.75</v>
      </c>
      <c r="DJ92" s="18">
        <f>Tabelle58971121[[#This Row],[Maximalauslastung max]]*Tabelle58971121[[#This Row],[installierte Leistung MW durch]]</f>
        <v>949</v>
      </c>
      <c r="DK92" s="8">
        <v>0.47</v>
      </c>
      <c r="DL92" s="8">
        <v>0.42</v>
      </c>
      <c r="DM92" s="8">
        <v>0.52</v>
      </c>
      <c r="DN92" s="1">
        <v>1825</v>
      </c>
      <c r="DO92" s="1">
        <v>1478.25</v>
      </c>
      <c r="DP92" s="1">
        <v>2171.75</v>
      </c>
      <c r="DQ92" s="18"/>
      <c r="DR92" s="18"/>
      <c r="DW92" s="1">
        <v>0.25</v>
      </c>
      <c r="DX92" s="1">
        <v>0.2</v>
      </c>
      <c r="DY92" s="1">
        <v>0.3</v>
      </c>
      <c r="DZ92" s="1">
        <v>0.25</v>
      </c>
      <c r="EA92" s="1">
        <v>0.2</v>
      </c>
      <c r="EB92" s="1">
        <v>0.3</v>
      </c>
      <c r="EC92" s="1">
        <v>0.5</v>
      </c>
      <c r="ED92" s="1">
        <v>0.4</v>
      </c>
      <c r="EE92" s="1">
        <v>0.6</v>
      </c>
      <c r="EF92" s="1">
        <v>0.3</v>
      </c>
      <c r="EG92" s="1">
        <v>0.2</v>
      </c>
      <c r="EH92" s="1">
        <v>0.4</v>
      </c>
      <c r="EL92" s="1">
        <v>365</v>
      </c>
      <c r="EM92" s="1">
        <v>328</v>
      </c>
      <c r="EN92" s="1">
        <v>402</v>
      </c>
      <c r="EO92" s="10"/>
      <c r="EP92" s="10"/>
      <c r="EQ92" s="10"/>
      <c r="ER92" s="1" t="s">
        <v>1046</v>
      </c>
      <c r="ES92" s="1" t="s">
        <v>1046</v>
      </c>
      <c r="ET92" s="1" t="s">
        <v>1046</v>
      </c>
      <c r="EU92" s="1">
        <v>145.52352941176468</v>
      </c>
      <c r="EV92" s="18">
        <v>130.9711764705882</v>
      </c>
      <c r="EW92" s="18">
        <v>160.07588235294116</v>
      </c>
      <c r="EX92" s="18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>
        <v>9.972941176470588</v>
      </c>
      <c r="FK92" s="7">
        <v>3.5617647058823536</v>
      </c>
      <c r="FL92" s="7">
        <v>16.384117647058822</v>
      </c>
      <c r="FO92" s="1">
        <v>67</v>
      </c>
      <c r="FP92" s="1">
        <v>67</v>
      </c>
      <c r="FQ92" s="1">
        <v>67</v>
      </c>
      <c r="FR92" s="12" t="s">
        <v>743</v>
      </c>
      <c r="FS92" s="12" t="s">
        <v>743</v>
      </c>
      <c r="FT92" s="12" t="s">
        <v>743</v>
      </c>
      <c r="FU92" s="12"/>
      <c r="FV92" s="12" t="s">
        <v>743</v>
      </c>
      <c r="FW92" s="12" t="s">
        <v>743</v>
      </c>
      <c r="FX92" s="12" t="s">
        <v>743</v>
      </c>
      <c r="FY92" s="12" t="s">
        <v>743</v>
      </c>
      <c r="FZ92" s="12" t="s">
        <v>743</v>
      </c>
      <c r="GA92" s="12" t="s">
        <v>743</v>
      </c>
      <c r="GB92" s="12" t="s">
        <v>743</v>
      </c>
      <c r="GE92" s="12" t="s">
        <v>743</v>
      </c>
      <c r="GF92" s="12" t="s">
        <v>743</v>
      </c>
      <c r="GH92" s="12" t="s">
        <v>743</v>
      </c>
    </row>
    <row r="93" spans="1:190" ht="12.75" customHeight="1" x14ac:dyDescent="0.2">
      <c r="A93" s="1" t="s">
        <v>151</v>
      </c>
      <c r="B93" s="1" t="s">
        <v>683</v>
      </c>
      <c r="E93" s="1" t="s">
        <v>142</v>
      </c>
      <c r="F93" s="1">
        <v>2</v>
      </c>
      <c r="G93" s="1">
        <v>2030</v>
      </c>
      <c r="H93" s="1">
        <v>0</v>
      </c>
      <c r="I93" s="1">
        <v>1</v>
      </c>
      <c r="J93" s="1">
        <v>0</v>
      </c>
      <c r="K93" s="18"/>
      <c r="L93" s="18"/>
      <c r="M93" s="18"/>
      <c r="N93" s="18">
        <v>1174.7062499999995</v>
      </c>
      <c r="O93" s="18">
        <v>381.67200000000003</v>
      </c>
      <c r="P93" s="18">
        <v>1684.0285000000001</v>
      </c>
      <c r="Q93" s="18">
        <v>0</v>
      </c>
      <c r="R93" s="18">
        <v>0</v>
      </c>
      <c r="S93" s="18">
        <v>398.41200000000003</v>
      </c>
      <c r="T93" s="18">
        <v>1174.7062499999995</v>
      </c>
      <c r="U93" s="18">
        <v>381.67200000000003</v>
      </c>
      <c r="V93" s="18">
        <v>1684.0285000000001</v>
      </c>
      <c r="W93" s="18">
        <v>0</v>
      </c>
      <c r="X93" s="18">
        <v>0</v>
      </c>
      <c r="Y93" s="18">
        <v>398.41200000000003</v>
      </c>
      <c r="Z93" s="18">
        <v>1174.7062499999995</v>
      </c>
      <c r="AA93" s="18">
        <v>381.67200000000003</v>
      </c>
      <c r="AB93" s="18">
        <v>1684.0285000000001</v>
      </c>
      <c r="AC93" s="18">
        <v>0</v>
      </c>
      <c r="AD93" s="18">
        <v>0</v>
      </c>
      <c r="AE93" s="18">
        <v>398.41200000000003</v>
      </c>
      <c r="AF93" s="18">
        <v>1174.7062499999995</v>
      </c>
      <c r="AG93" s="18">
        <v>381.67200000000003</v>
      </c>
      <c r="AH93" s="18">
        <v>1684.0285000000001</v>
      </c>
      <c r="AI93" s="18">
        <v>0</v>
      </c>
      <c r="AJ93" s="18">
        <v>0</v>
      </c>
      <c r="AK93" s="18">
        <v>398.41200000000003</v>
      </c>
      <c r="AL93" s="18">
        <v>1174.7062499999995</v>
      </c>
      <c r="AM93" s="18">
        <v>381.67200000000003</v>
      </c>
      <c r="AN93" s="18">
        <v>1684.0285000000001</v>
      </c>
      <c r="AO93" s="18">
        <v>0</v>
      </c>
      <c r="AP93" s="18">
        <v>0</v>
      </c>
      <c r="AQ93" s="18">
        <v>398.41200000000003</v>
      </c>
      <c r="AR93" s="18">
        <v>1174.7062499999995</v>
      </c>
      <c r="AS93" s="18">
        <v>381.67200000000003</v>
      </c>
      <c r="AT93" s="18">
        <v>1684.0285000000001</v>
      </c>
      <c r="AU93" s="18">
        <v>0</v>
      </c>
      <c r="AV93" s="18">
        <v>0</v>
      </c>
      <c r="AW93" s="18">
        <v>398.41200000000003</v>
      </c>
      <c r="AX93" s="18">
        <v>1174.7062499999995</v>
      </c>
      <c r="AY93" s="18">
        <v>381.67200000000003</v>
      </c>
      <c r="AZ93" s="18">
        <v>1684.0285000000001</v>
      </c>
      <c r="BA93" s="18">
        <v>0</v>
      </c>
      <c r="BB93" s="18">
        <v>0</v>
      </c>
      <c r="BC93" s="18">
        <v>398.41200000000003</v>
      </c>
      <c r="BD93" s="18">
        <v>1174.7062499999995</v>
      </c>
      <c r="BE93" s="18">
        <v>381.67200000000003</v>
      </c>
      <c r="BF93" s="18">
        <v>1684.0285000000001</v>
      </c>
      <c r="BG93" s="18">
        <v>0</v>
      </c>
      <c r="BH93" s="18">
        <v>0</v>
      </c>
      <c r="BI93" s="18">
        <v>398.41200000000003</v>
      </c>
      <c r="BJ93" s="18">
        <v>1174.7062499999995</v>
      </c>
      <c r="BK93" s="18">
        <v>381.67200000000003</v>
      </c>
      <c r="BL93" s="18">
        <v>1684.0285000000001</v>
      </c>
      <c r="BM93" s="18">
        <v>0</v>
      </c>
      <c r="BN93" s="18">
        <v>0</v>
      </c>
      <c r="BO93" s="18">
        <v>398.41200000000003</v>
      </c>
      <c r="BP93" s="18"/>
      <c r="BQ93" s="18"/>
      <c r="BR93" s="18"/>
      <c r="BS93" s="18"/>
      <c r="BT93" s="10">
        <f>Tabelle58971121[[#This Row],[Mindestauslastung durch]]*Tabelle58971121[[#This Row],[installierte Leistung MW durch]]</f>
        <v>232.5</v>
      </c>
      <c r="BU93" s="10">
        <f>Tabelle58971121[[#This Row],[Mindestauslastung min]]*Tabelle58971121[[#This Row],[installierte Leistung MW min]]</f>
        <v>188.32499999999999</v>
      </c>
      <c r="BV93" s="10">
        <f>Tabelle58971121[[#This Row],[Mindestauslastung max]]*Tabelle58971121[[#This Row],[installierte Leistung MW max]]</f>
        <v>276.67500000000001</v>
      </c>
      <c r="BW93" s="8">
        <v>0.15</v>
      </c>
      <c r="BX93" s="8">
        <v>0.15</v>
      </c>
      <c r="BY93" s="8">
        <v>0.15</v>
      </c>
      <c r="BZ93" s="8"/>
      <c r="CA93" s="8">
        <v>0.75787499999999985</v>
      </c>
      <c r="CB93" s="8">
        <v>0.30399999999999999</v>
      </c>
      <c r="CC93" s="8">
        <v>0.91299999999999992</v>
      </c>
      <c r="CD93" s="8">
        <v>0.75787499999999985</v>
      </c>
      <c r="CE93" s="8">
        <v>0.30399999999999999</v>
      </c>
      <c r="CF93" s="8">
        <v>0.91299999999999992</v>
      </c>
      <c r="CG93" s="8">
        <v>0.75787499999999985</v>
      </c>
      <c r="CH93" s="8">
        <v>0.30399999999999999</v>
      </c>
      <c r="CI93" s="8">
        <v>0.91299999999999992</v>
      </c>
      <c r="CJ93" s="8">
        <v>0.75787499999999985</v>
      </c>
      <c r="CK93" s="8">
        <v>0.30399999999999999</v>
      </c>
      <c r="CL93" s="8">
        <v>0.91299999999999992</v>
      </c>
      <c r="CM93" s="8">
        <v>0.75787499999999985</v>
      </c>
      <c r="CN93" s="8">
        <v>0.30399999999999999</v>
      </c>
      <c r="CO93" s="8">
        <v>0.91299999999999992</v>
      </c>
      <c r="CP93" s="8">
        <v>0.75787499999999985</v>
      </c>
      <c r="CQ93" s="8">
        <v>0.30399999999999999</v>
      </c>
      <c r="CR93" s="8">
        <v>0.91299999999999992</v>
      </c>
      <c r="CS93" s="8">
        <v>0.75787499999999985</v>
      </c>
      <c r="CT93" s="8">
        <v>0.30399999999999999</v>
      </c>
      <c r="CU93" s="8">
        <v>0.91299999999999992</v>
      </c>
      <c r="CV93" s="8">
        <v>0.75787499999999985</v>
      </c>
      <c r="CW93" s="8">
        <v>0.30399999999999999</v>
      </c>
      <c r="CX93" s="8">
        <v>0.91299999999999992</v>
      </c>
      <c r="CY93" s="8">
        <v>0.75787499999999985</v>
      </c>
      <c r="CZ93" s="8">
        <v>0.30399999999999999</v>
      </c>
      <c r="DA93" s="8">
        <v>0.91299999999999992</v>
      </c>
      <c r="DB93" s="8"/>
      <c r="DC93" s="8"/>
      <c r="DD93" s="8"/>
      <c r="DE93" s="48">
        <f>Tabelle58971121[[#This Row],[Durchschnittsauslastung min]]*Tabelle58971121[[#This Row],[installierte Leistung MW min]]</f>
        <v>0</v>
      </c>
      <c r="DF93" s="48">
        <f>Tabelle58971121[[#This Row],[Durchschnittsauslastung durch]]*Tabelle58971121[[#This Row],[installierte Leistung MW durch]]</f>
        <v>0</v>
      </c>
      <c r="DG93" s="48">
        <f>Tabelle58971121[[#This Row],[Durchschnittsauslastung max]]*Tabelle58971121[[#This Row],[installierte Leistung MW max]]</f>
        <v>0</v>
      </c>
      <c r="DH93" s="87">
        <f>Tabelle58971121[[#This Row],[Maximalauslastung durch]]*Tabelle58971121[[#This Row],[installierte Leistung MW min]]</f>
        <v>590.08499999999992</v>
      </c>
      <c r="DI93" s="48">
        <f>Tabelle58971121[[#This Row],[Maximalauslastung durch]]*Tabelle58971121[[#This Row],[installierte Leistung MW durch]]</f>
        <v>728.5</v>
      </c>
      <c r="DJ93" s="18">
        <f>Tabelle58971121[[#This Row],[Maximalauslastung max]]*Tabelle58971121[[#This Row],[installierte Leistung MW durch]]</f>
        <v>806</v>
      </c>
      <c r="DK93" s="8">
        <v>0.47</v>
      </c>
      <c r="DL93" s="8">
        <v>0.42</v>
      </c>
      <c r="DM93" s="8">
        <v>0.52</v>
      </c>
      <c r="DN93" s="1">
        <v>1550</v>
      </c>
      <c r="DO93" s="1">
        <v>1255.5</v>
      </c>
      <c r="DP93" s="1">
        <v>1844.5</v>
      </c>
      <c r="DQ93" s="18"/>
      <c r="DR93" s="18"/>
      <c r="DW93" s="1">
        <v>0.25</v>
      </c>
      <c r="DX93" s="1">
        <v>0.2</v>
      </c>
      <c r="DY93" s="1">
        <v>0.3</v>
      </c>
      <c r="DZ93" s="1">
        <v>0.25</v>
      </c>
      <c r="EA93" s="1">
        <v>0.2</v>
      </c>
      <c r="EB93" s="1">
        <v>0.3</v>
      </c>
      <c r="EC93" s="1">
        <v>0.5</v>
      </c>
      <c r="ED93" s="1">
        <v>0.4</v>
      </c>
      <c r="EE93" s="1">
        <v>0.6</v>
      </c>
      <c r="EF93" s="1">
        <v>0.3</v>
      </c>
      <c r="EG93" s="1">
        <v>0.2</v>
      </c>
      <c r="EH93" s="1">
        <v>0.4</v>
      </c>
      <c r="EL93" s="1">
        <v>365</v>
      </c>
      <c r="EM93" s="1">
        <v>328</v>
      </c>
      <c r="EN93" s="1">
        <v>402</v>
      </c>
      <c r="EO93" s="10"/>
      <c r="EP93" s="10"/>
      <c r="EQ93" s="10"/>
      <c r="ER93" s="1" t="s">
        <v>1046</v>
      </c>
      <c r="ES93" s="1" t="s">
        <v>1046</v>
      </c>
      <c r="ET93" s="1" t="s">
        <v>1046</v>
      </c>
      <c r="EU93" s="1">
        <v>145.52352941176468</v>
      </c>
      <c r="EV93" s="18">
        <v>130.9711764705882</v>
      </c>
      <c r="EW93" s="18">
        <v>160.07588235294116</v>
      </c>
      <c r="EX93" s="18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>
        <v>9.972941176470588</v>
      </c>
      <c r="FK93" s="7">
        <v>3.5617647058823536</v>
      </c>
      <c r="FL93" s="7">
        <v>16.384117647058822</v>
      </c>
      <c r="FO93" s="1">
        <v>67</v>
      </c>
      <c r="FP93" s="1">
        <v>67</v>
      </c>
      <c r="FQ93" s="1">
        <v>67</v>
      </c>
      <c r="FR93" s="12" t="s">
        <v>743</v>
      </c>
      <c r="FS93" s="12" t="s">
        <v>743</v>
      </c>
      <c r="FT93" s="12" t="s">
        <v>743</v>
      </c>
      <c r="FU93" s="12"/>
      <c r="FV93" s="12" t="s">
        <v>743</v>
      </c>
      <c r="FW93" s="12" t="s">
        <v>743</v>
      </c>
      <c r="FX93" s="12" t="s">
        <v>743</v>
      </c>
      <c r="FY93" s="12" t="s">
        <v>743</v>
      </c>
      <c r="FZ93" s="12" t="s">
        <v>743</v>
      </c>
      <c r="GA93" s="12" t="s">
        <v>743</v>
      </c>
      <c r="GB93" s="12" t="s">
        <v>743</v>
      </c>
      <c r="GE93" s="12" t="s">
        <v>743</v>
      </c>
      <c r="GF93" s="12" t="s">
        <v>743</v>
      </c>
      <c r="GH93" s="12" t="s">
        <v>743</v>
      </c>
    </row>
    <row r="94" spans="1:190" ht="12.75" customHeight="1" x14ac:dyDescent="0.2">
      <c r="A94" s="1" t="s">
        <v>151</v>
      </c>
      <c r="B94" s="1" t="s">
        <v>683</v>
      </c>
      <c r="E94" s="1" t="s">
        <v>142</v>
      </c>
      <c r="F94" s="1">
        <v>2</v>
      </c>
      <c r="G94" s="1">
        <v>2035</v>
      </c>
      <c r="H94" s="1">
        <v>0</v>
      </c>
      <c r="I94" s="1">
        <v>1</v>
      </c>
      <c r="J94" s="1">
        <v>0</v>
      </c>
      <c r="K94" s="18"/>
      <c r="L94" s="18"/>
      <c r="M94" s="18"/>
      <c r="N94" s="18">
        <v>1174.7062499999995</v>
      </c>
      <c r="O94" s="18">
        <v>381.67200000000003</v>
      </c>
      <c r="P94" s="18">
        <v>1684.0285000000001</v>
      </c>
      <c r="Q94" s="18">
        <v>0</v>
      </c>
      <c r="R94" s="18">
        <v>0</v>
      </c>
      <c r="S94" s="18">
        <v>398.41200000000003</v>
      </c>
      <c r="T94" s="18">
        <v>1174.7062499999995</v>
      </c>
      <c r="U94" s="18">
        <v>381.67200000000003</v>
      </c>
      <c r="V94" s="18">
        <v>1684.0285000000001</v>
      </c>
      <c r="W94" s="18">
        <v>0</v>
      </c>
      <c r="X94" s="18">
        <v>0</v>
      </c>
      <c r="Y94" s="18">
        <v>398.41200000000003</v>
      </c>
      <c r="Z94" s="18">
        <v>1174.7062499999995</v>
      </c>
      <c r="AA94" s="18">
        <v>381.67200000000003</v>
      </c>
      <c r="AB94" s="18">
        <v>1684.0285000000001</v>
      </c>
      <c r="AC94" s="18">
        <v>0</v>
      </c>
      <c r="AD94" s="18">
        <v>0</v>
      </c>
      <c r="AE94" s="18">
        <v>398.41200000000003</v>
      </c>
      <c r="AF94" s="18">
        <v>1174.7062499999995</v>
      </c>
      <c r="AG94" s="18">
        <v>381.67200000000003</v>
      </c>
      <c r="AH94" s="18">
        <v>1684.0285000000001</v>
      </c>
      <c r="AI94" s="18">
        <v>0</v>
      </c>
      <c r="AJ94" s="18">
        <v>0</v>
      </c>
      <c r="AK94" s="18">
        <v>398.41200000000003</v>
      </c>
      <c r="AL94" s="18">
        <v>1174.7062499999995</v>
      </c>
      <c r="AM94" s="18">
        <v>381.67200000000003</v>
      </c>
      <c r="AN94" s="18">
        <v>1684.0285000000001</v>
      </c>
      <c r="AO94" s="18">
        <v>0</v>
      </c>
      <c r="AP94" s="18">
        <v>0</v>
      </c>
      <c r="AQ94" s="18">
        <v>398.41200000000003</v>
      </c>
      <c r="AR94" s="18">
        <v>1174.7062499999995</v>
      </c>
      <c r="AS94" s="18">
        <v>381.67200000000003</v>
      </c>
      <c r="AT94" s="18">
        <v>1684.0285000000001</v>
      </c>
      <c r="AU94" s="18">
        <v>0</v>
      </c>
      <c r="AV94" s="18">
        <v>0</v>
      </c>
      <c r="AW94" s="18">
        <v>398.41200000000003</v>
      </c>
      <c r="AX94" s="18">
        <v>1174.7062499999995</v>
      </c>
      <c r="AY94" s="18">
        <v>381.67200000000003</v>
      </c>
      <c r="AZ94" s="18">
        <v>1684.0285000000001</v>
      </c>
      <c r="BA94" s="18">
        <v>0</v>
      </c>
      <c r="BB94" s="18">
        <v>0</v>
      </c>
      <c r="BC94" s="18">
        <v>398.41200000000003</v>
      </c>
      <c r="BD94" s="18">
        <v>1174.7062499999995</v>
      </c>
      <c r="BE94" s="18">
        <v>381.67200000000003</v>
      </c>
      <c r="BF94" s="18">
        <v>1684.0285000000001</v>
      </c>
      <c r="BG94" s="18">
        <v>0</v>
      </c>
      <c r="BH94" s="18">
        <v>0</v>
      </c>
      <c r="BI94" s="18">
        <v>398.41200000000003</v>
      </c>
      <c r="BJ94" s="18">
        <v>1174.7062499999995</v>
      </c>
      <c r="BK94" s="18">
        <v>381.67200000000003</v>
      </c>
      <c r="BL94" s="18">
        <v>1684.0285000000001</v>
      </c>
      <c r="BM94" s="18">
        <v>0</v>
      </c>
      <c r="BN94" s="18">
        <v>0</v>
      </c>
      <c r="BO94" s="18">
        <v>398.41200000000003</v>
      </c>
      <c r="BP94" s="18"/>
      <c r="BQ94" s="18"/>
      <c r="BR94" s="18"/>
      <c r="BS94" s="18"/>
      <c r="BT94" s="10">
        <f>Tabelle58971121[[#This Row],[Mindestauslastung durch]]*Tabelle58971121[[#This Row],[installierte Leistung MW durch]]</f>
        <v>232.5</v>
      </c>
      <c r="BU94" s="10">
        <f>Tabelle58971121[[#This Row],[Mindestauslastung min]]*Tabelle58971121[[#This Row],[installierte Leistung MW min]]</f>
        <v>188.32499999999999</v>
      </c>
      <c r="BV94" s="10">
        <f>Tabelle58971121[[#This Row],[Mindestauslastung max]]*Tabelle58971121[[#This Row],[installierte Leistung MW max]]</f>
        <v>276.67500000000001</v>
      </c>
      <c r="BW94" s="8">
        <v>0.15</v>
      </c>
      <c r="BX94" s="8">
        <v>0.15</v>
      </c>
      <c r="BY94" s="8">
        <v>0.15</v>
      </c>
      <c r="BZ94" s="8"/>
      <c r="CA94" s="8">
        <v>0.75787499999999985</v>
      </c>
      <c r="CB94" s="8">
        <v>0.30399999999999999</v>
      </c>
      <c r="CC94" s="8">
        <v>0.91299999999999992</v>
      </c>
      <c r="CD94" s="8">
        <v>0.75787499999999985</v>
      </c>
      <c r="CE94" s="8">
        <v>0.30399999999999999</v>
      </c>
      <c r="CF94" s="8">
        <v>0.91299999999999992</v>
      </c>
      <c r="CG94" s="8">
        <v>0.75787499999999985</v>
      </c>
      <c r="CH94" s="8">
        <v>0.30399999999999999</v>
      </c>
      <c r="CI94" s="8">
        <v>0.91299999999999992</v>
      </c>
      <c r="CJ94" s="8">
        <v>0.75787499999999985</v>
      </c>
      <c r="CK94" s="8">
        <v>0.30399999999999999</v>
      </c>
      <c r="CL94" s="8">
        <v>0.91299999999999992</v>
      </c>
      <c r="CM94" s="8">
        <v>0.75787499999999985</v>
      </c>
      <c r="CN94" s="8">
        <v>0.30399999999999999</v>
      </c>
      <c r="CO94" s="8">
        <v>0.91299999999999992</v>
      </c>
      <c r="CP94" s="8">
        <v>0.75787499999999985</v>
      </c>
      <c r="CQ94" s="8">
        <v>0.30399999999999999</v>
      </c>
      <c r="CR94" s="8">
        <v>0.91299999999999992</v>
      </c>
      <c r="CS94" s="8">
        <v>0.75787499999999985</v>
      </c>
      <c r="CT94" s="8">
        <v>0.30399999999999999</v>
      </c>
      <c r="CU94" s="8">
        <v>0.91299999999999992</v>
      </c>
      <c r="CV94" s="8">
        <v>0.75787499999999985</v>
      </c>
      <c r="CW94" s="8">
        <v>0.30399999999999999</v>
      </c>
      <c r="CX94" s="8">
        <v>0.91299999999999992</v>
      </c>
      <c r="CY94" s="8">
        <v>0.75787499999999985</v>
      </c>
      <c r="CZ94" s="8">
        <v>0.30399999999999999</v>
      </c>
      <c r="DA94" s="8">
        <v>0.91299999999999992</v>
      </c>
      <c r="DB94" s="8"/>
      <c r="DC94" s="8"/>
      <c r="DD94" s="8"/>
      <c r="DE94" s="48">
        <f>Tabelle58971121[[#This Row],[Durchschnittsauslastung min]]*Tabelle58971121[[#This Row],[installierte Leistung MW min]]</f>
        <v>0</v>
      </c>
      <c r="DF94" s="48">
        <f>Tabelle58971121[[#This Row],[Durchschnittsauslastung durch]]*Tabelle58971121[[#This Row],[installierte Leistung MW durch]]</f>
        <v>0</v>
      </c>
      <c r="DG94" s="48">
        <f>Tabelle58971121[[#This Row],[Durchschnittsauslastung max]]*Tabelle58971121[[#This Row],[installierte Leistung MW max]]</f>
        <v>0</v>
      </c>
      <c r="DH94" s="87">
        <f>Tabelle58971121[[#This Row],[Maximalauslastung durch]]*Tabelle58971121[[#This Row],[installierte Leistung MW min]]</f>
        <v>590.08499999999992</v>
      </c>
      <c r="DI94" s="48">
        <f>Tabelle58971121[[#This Row],[Maximalauslastung durch]]*Tabelle58971121[[#This Row],[installierte Leistung MW durch]]</f>
        <v>728.5</v>
      </c>
      <c r="DJ94" s="18">
        <f>Tabelle58971121[[#This Row],[Maximalauslastung max]]*Tabelle58971121[[#This Row],[installierte Leistung MW durch]]</f>
        <v>806</v>
      </c>
      <c r="DK94" s="8">
        <v>0.47</v>
      </c>
      <c r="DL94" s="8">
        <v>0.42</v>
      </c>
      <c r="DM94" s="8">
        <v>0.52</v>
      </c>
      <c r="DN94" s="1">
        <v>1550</v>
      </c>
      <c r="DO94" s="1">
        <v>1255.5</v>
      </c>
      <c r="DP94" s="1">
        <v>1844.5</v>
      </c>
      <c r="DQ94" s="18"/>
      <c r="DR94" s="18"/>
      <c r="DW94" s="1">
        <v>0.25</v>
      </c>
      <c r="DX94" s="1">
        <v>0.2</v>
      </c>
      <c r="DY94" s="1">
        <v>0.3</v>
      </c>
      <c r="DZ94" s="1">
        <v>0.25</v>
      </c>
      <c r="EA94" s="1">
        <v>0.2</v>
      </c>
      <c r="EB94" s="1">
        <v>0.3</v>
      </c>
      <c r="EC94" s="1">
        <v>0.5</v>
      </c>
      <c r="ED94" s="1">
        <v>0.4</v>
      </c>
      <c r="EE94" s="1">
        <v>0.6</v>
      </c>
      <c r="EF94" s="1">
        <v>0.3</v>
      </c>
      <c r="EG94" s="1">
        <v>0.2</v>
      </c>
      <c r="EH94" s="1">
        <v>0.4</v>
      </c>
      <c r="EL94" s="1">
        <v>365</v>
      </c>
      <c r="EM94" s="1">
        <v>328</v>
      </c>
      <c r="EN94" s="1">
        <v>402</v>
      </c>
      <c r="EO94" s="10"/>
      <c r="EP94" s="10"/>
      <c r="EQ94" s="10"/>
      <c r="ER94" s="1" t="s">
        <v>1046</v>
      </c>
      <c r="ES94" s="1" t="s">
        <v>1046</v>
      </c>
      <c r="ET94" s="1" t="s">
        <v>1046</v>
      </c>
      <c r="EU94" s="1">
        <v>145.52352941176468</v>
      </c>
      <c r="EV94" s="18">
        <v>130.9711764705882</v>
      </c>
      <c r="EW94" s="18">
        <v>160.07588235294116</v>
      </c>
      <c r="EX94" s="18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>
        <v>9.972941176470588</v>
      </c>
      <c r="FK94" s="7">
        <v>3.5617647058823536</v>
      </c>
      <c r="FL94" s="7">
        <v>16.384117647058822</v>
      </c>
      <c r="FO94" s="1">
        <v>67</v>
      </c>
      <c r="FP94" s="1">
        <v>67</v>
      </c>
      <c r="FQ94" s="1">
        <v>67</v>
      </c>
      <c r="FR94" s="12" t="s">
        <v>743</v>
      </c>
      <c r="FS94" s="12" t="s">
        <v>743</v>
      </c>
      <c r="FT94" s="12" t="s">
        <v>743</v>
      </c>
      <c r="FU94" s="12"/>
      <c r="FV94" s="12" t="s">
        <v>743</v>
      </c>
      <c r="FW94" s="12" t="s">
        <v>743</v>
      </c>
      <c r="FX94" s="12" t="s">
        <v>743</v>
      </c>
      <c r="FY94" s="12" t="s">
        <v>743</v>
      </c>
      <c r="FZ94" s="12" t="s">
        <v>743</v>
      </c>
      <c r="GA94" s="12" t="s">
        <v>743</v>
      </c>
      <c r="GB94" s="12" t="s">
        <v>743</v>
      </c>
      <c r="GE94" s="12" t="s">
        <v>743</v>
      </c>
      <c r="GF94" s="12" t="s">
        <v>743</v>
      </c>
      <c r="GH94" s="12" t="s">
        <v>743</v>
      </c>
    </row>
    <row r="95" spans="1:190" ht="12.75" customHeight="1" x14ac:dyDescent="0.2">
      <c r="A95" s="1" t="s">
        <v>151</v>
      </c>
      <c r="B95" s="1" t="s">
        <v>683</v>
      </c>
      <c r="E95" s="1" t="s">
        <v>142</v>
      </c>
      <c r="F95" s="1">
        <v>2</v>
      </c>
      <c r="G95" s="1">
        <v>2040</v>
      </c>
      <c r="H95" s="1">
        <v>0</v>
      </c>
      <c r="I95" s="1">
        <v>1</v>
      </c>
      <c r="J95" s="1">
        <v>0</v>
      </c>
      <c r="K95" s="18"/>
      <c r="L95" s="18"/>
      <c r="M95" s="18"/>
      <c r="N95" s="18">
        <v>1174.7062499999995</v>
      </c>
      <c r="O95" s="18">
        <v>381.67200000000003</v>
      </c>
      <c r="P95" s="18">
        <v>1684.0285000000001</v>
      </c>
      <c r="Q95" s="18">
        <v>0</v>
      </c>
      <c r="R95" s="18">
        <v>0</v>
      </c>
      <c r="S95" s="18">
        <v>398.41200000000003</v>
      </c>
      <c r="T95" s="18">
        <v>1174.7062499999995</v>
      </c>
      <c r="U95" s="18">
        <v>381.67200000000003</v>
      </c>
      <c r="V95" s="18">
        <v>1684.0285000000001</v>
      </c>
      <c r="W95" s="18">
        <v>0</v>
      </c>
      <c r="X95" s="18">
        <v>0</v>
      </c>
      <c r="Y95" s="18">
        <v>398.41200000000003</v>
      </c>
      <c r="Z95" s="18">
        <v>1174.7062499999995</v>
      </c>
      <c r="AA95" s="18">
        <v>381.67200000000003</v>
      </c>
      <c r="AB95" s="18">
        <v>1684.0285000000001</v>
      </c>
      <c r="AC95" s="18">
        <v>0</v>
      </c>
      <c r="AD95" s="18">
        <v>0</v>
      </c>
      <c r="AE95" s="18">
        <v>398.41200000000003</v>
      </c>
      <c r="AF95" s="18">
        <v>1174.7062499999995</v>
      </c>
      <c r="AG95" s="18">
        <v>381.67200000000003</v>
      </c>
      <c r="AH95" s="18">
        <v>1684.0285000000001</v>
      </c>
      <c r="AI95" s="18">
        <v>0</v>
      </c>
      <c r="AJ95" s="18">
        <v>0</v>
      </c>
      <c r="AK95" s="18">
        <v>398.41200000000003</v>
      </c>
      <c r="AL95" s="18">
        <v>1174.7062499999995</v>
      </c>
      <c r="AM95" s="18">
        <v>381.67200000000003</v>
      </c>
      <c r="AN95" s="18">
        <v>1684.0285000000001</v>
      </c>
      <c r="AO95" s="18">
        <v>0</v>
      </c>
      <c r="AP95" s="18">
        <v>0</v>
      </c>
      <c r="AQ95" s="18">
        <v>398.41200000000003</v>
      </c>
      <c r="AR95" s="18">
        <v>1174.7062499999995</v>
      </c>
      <c r="AS95" s="18">
        <v>381.67200000000003</v>
      </c>
      <c r="AT95" s="18">
        <v>1684.0285000000001</v>
      </c>
      <c r="AU95" s="18">
        <v>0</v>
      </c>
      <c r="AV95" s="18">
        <v>0</v>
      </c>
      <c r="AW95" s="18">
        <v>398.41200000000003</v>
      </c>
      <c r="AX95" s="18">
        <v>1174.7062499999995</v>
      </c>
      <c r="AY95" s="18">
        <v>381.67200000000003</v>
      </c>
      <c r="AZ95" s="18">
        <v>1684.0285000000001</v>
      </c>
      <c r="BA95" s="18">
        <v>0</v>
      </c>
      <c r="BB95" s="18">
        <v>0</v>
      </c>
      <c r="BC95" s="18">
        <v>398.41200000000003</v>
      </c>
      <c r="BD95" s="18">
        <v>1174.7062499999995</v>
      </c>
      <c r="BE95" s="18">
        <v>381.67200000000003</v>
      </c>
      <c r="BF95" s="18">
        <v>1684.0285000000001</v>
      </c>
      <c r="BG95" s="18">
        <v>0</v>
      </c>
      <c r="BH95" s="18">
        <v>0</v>
      </c>
      <c r="BI95" s="18">
        <v>398.41200000000003</v>
      </c>
      <c r="BJ95" s="18">
        <v>1174.7062499999995</v>
      </c>
      <c r="BK95" s="18">
        <v>381.67200000000003</v>
      </c>
      <c r="BL95" s="18">
        <v>1684.0285000000001</v>
      </c>
      <c r="BM95" s="18">
        <v>0</v>
      </c>
      <c r="BN95" s="18">
        <v>0</v>
      </c>
      <c r="BO95" s="18">
        <v>398.41200000000003</v>
      </c>
      <c r="BP95" s="18"/>
      <c r="BQ95" s="18"/>
      <c r="BR95" s="18"/>
      <c r="BS95" s="18"/>
      <c r="BT95" s="10">
        <f>Tabelle58971121[[#This Row],[Mindestauslastung durch]]*Tabelle58971121[[#This Row],[installierte Leistung MW durch]]</f>
        <v>232.5</v>
      </c>
      <c r="BU95" s="10">
        <f>Tabelle58971121[[#This Row],[Mindestauslastung min]]*Tabelle58971121[[#This Row],[installierte Leistung MW min]]</f>
        <v>188.32499999999999</v>
      </c>
      <c r="BV95" s="10">
        <f>Tabelle58971121[[#This Row],[Mindestauslastung max]]*Tabelle58971121[[#This Row],[installierte Leistung MW max]]</f>
        <v>276.67500000000001</v>
      </c>
      <c r="BW95" s="8">
        <v>0.15</v>
      </c>
      <c r="BX95" s="8">
        <v>0.15</v>
      </c>
      <c r="BY95" s="8">
        <v>0.15</v>
      </c>
      <c r="BZ95" s="8"/>
      <c r="CA95" s="8">
        <v>0.75787499999999985</v>
      </c>
      <c r="CB95" s="8">
        <v>0.30399999999999999</v>
      </c>
      <c r="CC95" s="8">
        <v>0.91299999999999992</v>
      </c>
      <c r="CD95" s="8">
        <v>0.75787499999999985</v>
      </c>
      <c r="CE95" s="8">
        <v>0.30399999999999999</v>
      </c>
      <c r="CF95" s="8">
        <v>0.91299999999999992</v>
      </c>
      <c r="CG95" s="8">
        <v>0.75787499999999985</v>
      </c>
      <c r="CH95" s="8">
        <v>0.30399999999999999</v>
      </c>
      <c r="CI95" s="8">
        <v>0.91299999999999992</v>
      </c>
      <c r="CJ95" s="8">
        <v>0.75787499999999985</v>
      </c>
      <c r="CK95" s="8">
        <v>0.30399999999999999</v>
      </c>
      <c r="CL95" s="8">
        <v>0.91299999999999992</v>
      </c>
      <c r="CM95" s="8">
        <v>0.75787499999999985</v>
      </c>
      <c r="CN95" s="8">
        <v>0.30399999999999999</v>
      </c>
      <c r="CO95" s="8">
        <v>0.91299999999999992</v>
      </c>
      <c r="CP95" s="8">
        <v>0.75787499999999985</v>
      </c>
      <c r="CQ95" s="8">
        <v>0.30399999999999999</v>
      </c>
      <c r="CR95" s="8">
        <v>0.91299999999999992</v>
      </c>
      <c r="CS95" s="8">
        <v>0.75787499999999985</v>
      </c>
      <c r="CT95" s="8">
        <v>0.30399999999999999</v>
      </c>
      <c r="CU95" s="8">
        <v>0.91299999999999992</v>
      </c>
      <c r="CV95" s="8">
        <v>0.75787499999999985</v>
      </c>
      <c r="CW95" s="8">
        <v>0.30399999999999999</v>
      </c>
      <c r="CX95" s="8">
        <v>0.91299999999999992</v>
      </c>
      <c r="CY95" s="8">
        <v>0.75787499999999985</v>
      </c>
      <c r="CZ95" s="8">
        <v>0.30399999999999999</v>
      </c>
      <c r="DA95" s="8">
        <v>0.91299999999999992</v>
      </c>
      <c r="DB95" s="8"/>
      <c r="DC95" s="8"/>
      <c r="DD95" s="8"/>
      <c r="DE95" s="48">
        <f>Tabelle58971121[[#This Row],[Durchschnittsauslastung min]]*Tabelle58971121[[#This Row],[installierte Leistung MW min]]</f>
        <v>0</v>
      </c>
      <c r="DF95" s="48">
        <f>Tabelle58971121[[#This Row],[Durchschnittsauslastung durch]]*Tabelle58971121[[#This Row],[installierte Leistung MW durch]]</f>
        <v>0</v>
      </c>
      <c r="DG95" s="48">
        <f>Tabelle58971121[[#This Row],[Durchschnittsauslastung max]]*Tabelle58971121[[#This Row],[installierte Leistung MW max]]</f>
        <v>0</v>
      </c>
      <c r="DH95" s="87">
        <f>Tabelle58971121[[#This Row],[Maximalauslastung durch]]*Tabelle58971121[[#This Row],[installierte Leistung MW min]]</f>
        <v>590.08499999999992</v>
      </c>
      <c r="DI95" s="48">
        <f>Tabelle58971121[[#This Row],[Maximalauslastung durch]]*Tabelle58971121[[#This Row],[installierte Leistung MW durch]]</f>
        <v>728.5</v>
      </c>
      <c r="DJ95" s="18">
        <f>Tabelle58971121[[#This Row],[Maximalauslastung max]]*Tabelle58971121[[#This Row],[installierte Leistung MW durch]]</f>
        <v>806</v>
      </c>
      <c r="DK95" s="8">
        <v>0.47</v>
      </c>
      <c r="DL95" s="8">
        <v>0.42</v>
      </c>
      <c r="DM95" s="8">
        <v>0.52</v>
      </c>
      <c r="DN95" s="1">
        <v>1550</v>
      </c>
      <c r="DO95" s="1">
        <v>1255.5</v>
      </c>
      <c r="DP95" s="1">
        <v>1844.5</v>
      </c>
      <c r="DQ95" s="18"/>
      <c r="DR95" s="18"/>
      <c r="DW95" s="1">
        <v>0.25</v>
      </c>
      <c r="DX95" s="1">
        <v>0.2</v>
      </c>
      <c r="DY95" s="1">
        <v>0.3</v>
      </c>
      <c r="DZ95" s="1">
        <v>0.25</v>
      </c>
      <c r="EA95" s="1">
        <v>0.2</v>
      </c>
      <c r="EB95" s="1">
        <v>0.3</v>
      </c>
      <c r="EC95" s="1">
        <v>0.5</v>
      </c>
      <c r="ED95" s="1">
        <v>0.4</v>
      </c>
      <c r="EE95" s="1">
        <v>0.6</v>
      </c>
      <c r="EF95" s="1">
        <v>0.3</v>
      </c>
      <c r="EG95" s="1">
        <v>0.2</v>
      </c>
      <c r="EH95" s="1">
        <v>0.4</v>
      </c>
      <c r="EL95" s="1">
        <v>365</v>
      </c>
      <c r="EM95" s="1">
        <v>328</v>
      </c>
      <c r="EN95" s="1">
        <v>402</v>
      </c>
      <c r="EO95" s="10"/>
      <c r="EP95" s="10"/>
      <c r="EQ95" s="10"/>
      <c r="ER95" s="1" t="s">
        <v>1046</v>
      </c>
      <c r="ES95" s="1" t="s">
        <v>1046</v>
      </c>
      <c r="ET95" s="1" t="s">
        <v>1046</v>
      </c>
      <c r="EU95" s="1">
        <v>145.52352941176468</v>
      </c>
      <c r="EV95" s="18">
        <v>130.9711764705882</v>
      </c>
      <c r="EW95" s="18">
        <v>160.07588235294116</v>
      </c>
      <c r="EX95" s="18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>
        <v>9.972941176470588</v>
      </c>
      <c r="FK95" s="7">
        <v>3.5617647058823536</v>
      </c>
      <c r="FL95" s="7">
        <v>16.384117647058822</v>
      </c>
      <c r="FO95" s="1">
        <v>67</v>
      </c>
      <c r="FP95" s="1">
        <v>67</v>
      </c>
      <c r="FQ95" s="1">
        <v>67</v>
      </c>
      <c r="FR95" s="12" t="s">
        <v>743</v>
      </c>
      <c r="FS95" s="12" t="s">
        <v>743</v>
      </c>
      <c r="FT95" s="12" t="s">
        <v>743</v>
      </c>
      <c r="FU95" s="12"/>
      <c r="FV95" s="12" t="s">
        <v>743</v>
      </c>
      <c r="FW95" s="12" t="s">
        <v>743</v>
      </c>
      <c r="FX95" s="12" t="s">
        <v>743</v>
      </c>
      <c r="FY95" s="12" t="s">
        <v>743</v>
      </c>
      <c r="FZ95" s="12" t="s">
        <v>743</v>
      </c>
      <c r="GA95" s="12" t="s">
        <v>743</v>
      </c>
      <c r="GB95" s="12" t="s">
        <v>743</v>
      </c>
      <c r="GE95" s="12" t="s">
        <v>743</v>
      </c>
      <c r="GF95" s="12" t="s">
        <v>743</v>
      </c>
      <c r="GH95" s="12" t="s">
        <v>743</v>
      </c>
    </row>
    <row r="96" spans="1:190" ht="12.75" customHeight="1" x14ac:dyDescent="0.2">
      <c r="A96" s="1" t="s">
        <v>151</v>
      </c>
      <c r="B96" s="1" t="s">
        <v>683</v>
      </c>
      <c r="E96" s="1" t="s">
        <v>142</v>
      </c>
      <c r="F96" s="1">
        <v>2</v>
      </c>
      <c r="G96" s="1">
        <v>2045</v>
      </c>
      <c r="H96" s="1">
        <v>0</v>
      </c>
      <c r="I96" s="1">
        <v>1</v>
      </c>
      <c r="J96" s="1">
        <v>0</v>
      </c>
      <c r="K96" s="18"/>
      <c r="L96" s="18"/>
      <c r="M96" s="18"/>
      <c r="N96" s="18">
        <v>1193.6531249999994</v>
      </c>
      <c r="O96" s="18">
        <v>387.82800000000003</v>
      </c>
      <c r="P96" s="18">
        <v>1711.1902500000001</v>
      </c>
      <c r="Q96" s="18">
        <v>0</v>
      </c>
      <c r="R96" s="18">
        <v>0</v>
      </c>
      <c r="S96" s="18">
        <v>404.83800000000002</v>
      </c>
      <c r="T96" s="18">
        <v>1193.6531249999994</v>
      </c>
      <c r="U96" s="18">
        <v>387.82800000000003</v>
      </c>
      <c r="V96" s="18">
        <v>1711.1902500000001</v>
      </c>
      <c r="W96" s="18">
        <v>0</v>
      </c>
      <c r="X96" s="18">
        <v>0</v>
      </c>
      <c r="Y96" s="18">
        <v>404.83800000000002</v>
      </c>
      <c r="Z96" s="18">
        <v>1193.6531249999994</v>
      </c>
      <c r="AA96" s="18">
        <v>387.82800000000003</v>
      </c>
      <c r="AB96" s="18">
        <v>1711.1902500000001</v>
      </c>
      <c r="AC96" s="18">
        <v>0</v>
      </c>
      <c r="AD96" s="18">
        <v>0</v>
      </c>
      <c r="AE96" s="18">
        <v>404.83800000000002</v>
      </c>
      <c r="AF96" s="18">
        <v>1193.6531249999994</v>
      </c>
      <c r="AG96" s="18">
        <v>387.82800000000003</v>
      </c>
      <c r="AH96" s="18">
        <v>1711.1902500000001</v>
      </c>
      <c r="AI96" s="18">
        <v>0</v>
      </c>
      <c r="AJ96" s="18">
        <v>0</v>
      </c>
      <c r="AK96" s="18">
        <v>404.83800000000002</v>
      </c>
      <c r="AL96" s="18">
        <v>1193.6531249999994</v>
      </c>
      <c r="AM96" s="18">
        <v>387.82800000000003</v>
      </c>
      <c r="AN96" s="18">
        <v>1711.1902500000001</v>
      </c>
      <c r="AO96" s="18">
        <v>0</v>
      </c>
      <c r="AP96" s="18">
        <v>0</v>
      </c>
      <c r="AQ96" s="18">
        <v>404.83800000000002</v>
      </c>
      <c r="AR96" s="18">
        <v>1193.6531249999994</v>
      </c>
      <c r="AS96" s="18">
        <v>387.82800000000003</v>
      </c>
      <c r="AT96" s="18">
        <v>1711.1902500000001</v>
      </c>
      <c r="AU96" s="18">
        <v>0</v>
      </c>
      <c r="AV96" s="18">
        <v>0</v>
      </c>
      <c r="AW96" s="18">
        <v>404.83800000000002</v>
      </c>
      <c r="AX96" s="18">
        <v>1193.6531249999994</v>
      </c>
      <c r="AY96" s="18">
        <v>387.82800000000003</v>
      </c>
      <c r="AZ96" s="18">
        <v>1711.1902500000001</v>
      </c>
      <c r="BA96" s="18">
        <v>0</v>
      </c>
      <c r="BB96" s="18">
        <v>0</v>
      </c>
      <c r="BC96" s="18">
        <v>404.83800000000002</v>
      </c>
      <c r="BD96" s="18">
        <v>1193.6531249999994</v>
      </c>
      <c r="BE96" s="18">
        <v>387.82800000000003</v>
      </c>
      <c r="BF96" s="18">
        <v>1711.1902500000001</v>
      </c>
      <c r="BG96" s="18">
        <v>0</v>
      </c>
      <c r="BH96" s="18">
        <v>0</v>
      </c>
      <c r="BI96" s="18">
        <v>404.83800000000002</v>
      </c>
      <c r="BJ96" s="18">
        <v>1193.6531249999994</v>
      </c>
      <c r="BK96" s="18">
        <v>387.82800000000003</v>
      </c>
      <c r="BL96" s="18">
        <v>1711.1902500000001</v>
      </c>
      <c r="BM96" s="18">
        <v>0</v>
      </c>
      <c r="BN96" s="18">
        <v>0</v>
      </c>
      <c r="BO96" s="18">
        <v>404.83800000000002</v>
      </c>
      <c r="BP96" s="18"/>
      <c r="BQ96" s="18"/>
      <c r="BR96" s="18"/>
      <c r="BS96" s="18"/>
      <c r="BT96" s="10">
        <f>Tabelle58971121[[#This Row],[Mindestauslastung durch]]*Tabelle58971121[[#This Row],[installierte Leistung MW durch]]</f>
        <v>236.25</v>
      </c>
      <c r="BU96" s="10">
        <f>Tabelle58971121[[#This Row],[Mindestauslastung min]]*Tabelle58971121[[#This Row],[installierte Leistung MW min]]</f>
        <v>191.36249999999998</v>
      </c>
      <c r="BV96" s="10">
        <f>Tabelle58971121[[#This Row],[Mindestauslastung max]]*Tabelle58971121[[#This Row],[installierte Leistung MW max]]</f>
        <v>281.13749999999999</v>
      </c>
      <c r="BW96" s="8">
        <v>0.15</v>
      </c>
      <c r="BX96" s="8">
        <v>0.15</v>
      </c>
      <c r="BY96" s="8">
        <v>0.15</v>
      </c>
      <c r="BZ96" s="8"/>
      <c r="CA96" s="8">
        <v>0.75787499999999985</v>
      </c>
      <c r="CB96" s="8">
        <v>0.30399999999999999</v>
      </c>
      <c r="CC96" s="8">
        <v>0.91299999999999992</v>
      </c>
      <c r="CD96" s="8">
        <v>0.75787499999999985</v>
      </c>
      <c r="CE96" s="8">
        <v>0.30399999999999999</v>
      </c>
      <c r="CF96" s="8">
        <v>0.91299999999999992</v>
      </c>
      <c r="CG96" s="8">
        <v>0.75787499999999985</v>
      </c>
      <c r="CH96" s="8">
        <v>0.30399999999999999</v>
      </c>
      <c r="CI96" s="8">
        <v>0.91299999999999992</v>
      </c>
      <c r="CJ96" s="8">
        <v>0.75787499999999985</v>
      </c>
      <c r="CK96" s="8">
        <v>0.30399999999999999</v>
      </c>
      <c r="CL96" s="8">
        <v>0.91299999999999992</v>
      </c>
      <c r="CM96" s="8">
        <v>0.75787499999999985</v>
      </c>
      <c r="CN96" s="8">
        <v>0.30399999999999999</v>
      </c>
      <c r="CO96" s="8">
        <v>0.91299999999999992</v>
      </c>
      <c r="CP96" s="8">
        <v>0.75787499999999985</v>
      </c>
      <c r="CQ96" s="8">
        <v>0.30399999999999999</v>
      </c>
      <c r="CR96" s="8">
        <v>0.91299999999999992</v>
      </c>
      <c r="CS96" s="8">
        <v>0.75787499999999985</v>
      </c>
      <c r="CT96" s="8">
        <v>0.30399999999999999</v>
      </c>
      <c r="CU96" s="8">
        <v>0.91299999999999992</v>
      </c>
      <c r="CV96" s="8">
        <v>0.75787499999999985</v>
      </c>
      <c r="CW96" s="8">
        <v>0.30399999999999999</v>
      </c>
      <c r="CX96" s="8">
        <v>0.91299999999999992</v>
      </c>
      <c r="CY96" s="8">
        <v>0.75787499999999985</v>
      </c>
      <c r="CZ96" s="8">
        <v>0.30399999999999999</v>
      </c>
      <c r="DA96" s="8">
        <v>0.91299999999999992</v>
      </c>
      <c r="DB96" s="8"/>
      <c r="DC96" s="8"/>
      <c r="DD96" s="8"/>
      <c r="DE96" s="48">
        <f>Tabelle58971121[[#This Row],[Durchschnittsauslastung min]]*Tabelle58971121[[#This Row],[installierte Leistung MW min]]</f>
        <v>0</v>
      </c>
      <c r="DF96" s="48">
        <f>Tabelle58971121[[#This Row],[Durchschnittsauslastung durch]]*Tabelle58971121[[#This Row],[installierte Leistung MW durch]]</f>
        <v>0</v>
      </c>
      <c r="DG96" s="48">
        <f>Tabelle58971121[[#This Row],[Durchschnittsauslastung max]]*Tabelle58971121[[#This Row],[installierte Leistung MW max]]</f>
        <v>0</v>
      </c>
      <c r="DH96" s="87">
        <f>Tabelle58971121[[#This Row],[Maximalauslastung durch]]*Tabelle58971121[[#This Row],[installierte Leistung MW min]]</f>
        <v>599.60249999999996</v>
      </c>
      <c r="DI96" s="48">
        <f>Tabelle58971121[[#This Row],[Maximalauslastung durch]]*Tabelle58971121[[#This Row],[installierte Leistung MW durch]]</f>
        <v>740.25</v>
      </c>
      <c r="DJ96" s="18">
        <f>Tabelle58971121[[#This Row],[Maximalauslastung max]]*Tabelle58971121[[#This Row],[installierte Leistung MW durch]]</f>
        <v>819</v>
      </c>
      <c r="DK96" s="8">
        <v>0.47</v>
      </c>
      <c r="DL96" s="8">
        <v>0.42</v>
      </c>
      <c r="DM96" s="8">
        <v>0.52</v>
      </c>
      <c r="DN96" s="1">
        <v>1575</v>
      </c>
      <c r="DO96" s="1">
        <v>1275.75</v>
      </c>
      <c r="DP96" s="1">
        <v>1874.25</v>
      </c>
      <c r="DQ96" s="18"/>
      <c r="DR96" s="18"/>
      <c r="DW96" s="1">
        <v>0.25</v>
      </c>
      <c r="DX96" s="1">
        <v>0.2</v>
      </c>
      <c r="DY96" s="1">
        <v>0.3</v>
      </c>
      <c r="DZ96" s="1">
        <v>0.25</v>
      </c>
      <c r="EA96" s="1">
        <v>0.2</v>
      </c>
      <c r="EB96" s="1">
        <v>0.3</v>
      </c>
      <c r="EC96" s="1">
        <v>0.5</v>
      </c>
      <c r="ED96" s="1">
        <v>0.4</v>
      </c>
      <c r="EE96" s="1">
        <v>0.6</v>
      </c>
      <c r="EF96" s="1">
        <v>0.3</v>
      </c>
      <c r="EG96" s="1">
        <v>0.2</v>
      </c>
      <c r="EH96" s="1">
        <v>0.4</v>
      </c>
      <c r="EL96" s="1">
        <v>365</v>
      </c>
      <c r="EM96" s="1">
        <v>328</v>
      </c>
      <c r="EN96" s="1">
        <v>402</v>
      </c>
      <c r="EO96" s="10"/>
      <c r="EP96" s="10"/>
      <c r="EQ96" s="10"/>
      <c r="ER96" s="1" t="s">
        <v>1046</v>
      </c>
      <c r="ES96" s="1" t="s">
        <v>1046</v>
      </c>
      <c r="ET96" s="1" t="s">
        <v>1046</v>
      </c>
      <c r="EU96" s="1">
        <v>145.52352941176468</v>
      </c>
      <c r="EV96" s="18">
        <v>130.9711764705882</v>
      </c>
      <c r="EW96" s="18">
        <v>160.07588235294116</v>
      </c>
      <c r="EX96" s="18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>
        <v>9.972941176470588</v>
      </c>
      <c r="FK96" s="7">
        <v>3.5617647058823536</v>
      </c>
      <c r="FL96" s="7">
        <v>16.384117647058822</v>
      </c>
      <c r="FO96" s="1">
        <v>67</v>
      </c>
      <c r="FP96" s="1">
        <v>67</v>
      </c>
      <c r="FQ96" s="1">
        <v>67</v>
      </c>
      <c r="FR96" s="12" t="s">
        <v>743</v>
      </c>
      <c r="FS96" s="12" t="s">
        <v>743</v>
      </c>
      <c r="FT96" s="12" t="s">
        <v>743</v>
      </c>
      <c r="FU96" s="12"/>
      <c r="FV96" s="12" t="s">
        <v>743</v>
      </c>
      <c r="FW96" s="12" t="s">
        <v>743</v>
      </c>
      <c r="FX96" s="12" t="s">
        <v>743</v>
      </c>
      <c r="FY96" s="12" t="s">
        <v>743</v>
      </c>
      <c r="FZ96" s="12" t="s">
        <v>743</v>
      </c>
      <c r="GA96" s="12" t="s">
        <v>743</v>
      </c>
      <c r="GB96" s="12" t="s">
        <v>743</v>
      </c>
      <c r="GE96" s="12" t="s">
        <v>743</v>
      </c>
      <c r="GF96" s="12" t="s">
        <v>743</v>
      </c>
      <c r="GH96" s="12" t="s">
        <v>743</v>
      </c>
    </row>
    <row r="97" spans="1:193" ht="12.75" customHeight="1" x14ac:dyDescent="0.2">
      <c r="A97" s="1" t="s">
        <v>151</v>
      </c>
      <c r="B97" s="1" t="s">
        <v>683</v>
      </c>
      <c r="E97" s="1" t="s">
        <v>142</v>
      </c>
      <c r="F97" s="1">
        <v>2</v>
      </c>
      <c r="G97" s="1">
        <v>2050</v>
      </c>
      <c r="H97" s="1">
        <v>0</v>
      </c>
      <c r="I97" s="1">
        <v>1</v>
      </c>
      <c r="J97" s="1">
        <v>0</v>
      </c>
      <c r="K97" s="18"/>
      <c r="L97" s="18"/>
      <c r="M97" s="18"/>
      <c r="N97" s="18">
        <v>1193.6531249999994</v>
      </c>
      <c r="O97" s="18">
        <v>387.82800000000003</v>
      </c>
      <c r="P97" s="18">
        <v>1711.1902500000001</v>
      </c>
      <c r="Q97" s="18">
        <v>0</v>
      </c>
      <c r="R97" s="18">
        <v>0</v>
      </c>
      <c r="S97" s="18">
        <v>404.83800000000002</v>
      </c>
      <c r="T97" s="18">
        <v>1193.6531249999994</v>
      </c>
      <c r="U97" s="18">
        <v>387.82800000000003</v>
      </c>
      <c r="V97" s="18">
        <v>1711.1902500000001</v>
      </c>
      <c r="W97" s="18">
        <v>0</v>
      </c>
      <c r="X97" s="18">
        <v>0</v>
      </c>
      <c r="Y97" s="18">
        <v>404.83800000000002</v>
      </c>
      <c r="Z97" s="18">
        <v>1193.6531249999994</v>
      </c>
      <c r="AA97" s="18">
        <v>387.82800000000003</v>
      </c>
      <c r="AB97" s="18">
        <v>1711.1902500000001</v>
      </c>
      <c r="AC97" s="18">
        <v>0</v>
      </c>
      <c r="AD97" s="18">
        <v>0</v>
      </c>
      <c r="AE97" s="18">
        <v>404.83800000000002</v>
      </c>
      <c r="AF97" s="18">
        <v>1193.6531249999994</v>
      </c>
      <c r="AG97" s="18">
        <v>387.82800000000003</v>
      </c>
      <c r="AH97" s="18">
        <v>1711.1902500000001</v>
      </c>
      <c r="AI97" s="18">
        <v>0</v>
      </c>
      <c r="AJ97" s="18">
        <v>0</v>
      </c>
      <c r="AK97" s="18">
        <v>404.83800000000002</v>
      </c>
      <c r="AL97" s="18">
        <v>1193.6531249999994</v>
      </c>
      <c r="AM97" s="18">
        <v>387.82800000000003</v>
      </c>
      <c r="AN97" s="18">
        <v>1711.1902500000001</v>
      </c>
      <c r="AO97" s="18">
        <v>0</v>
      </c>
      <c r="AP97" s="18">
        <v>0</v>
      </c>
      <c r="AQ97" s="18">
        <v>404.83800000000002</v>
      </c>
      <c r="AR97" s="18">
        <v>1193.6531249999994</v>
      </c>
      <c r="AS97" s="18">
        <v>387.82800000000003</v>
      </c>
      <c r="AT97" s="18">
        <v>1711.1902500000001</v>
      </c>
      <c r="AU97" s="18">
        <v>0</v>
      </c>
      <c r="AV97" s="18">
        <v>0</v>
      </c>
      <c r="AW97" s="18">
        <v>404.83800000000002</v>
      </c>
      <c r="AX97" s="18">
        <v>1193.6531249999994</v>
      </c>
      <c r="AY97" s="18">
        <v>387.82800000000003</v>
      </c>
      <c r="AZ97" s="18">
        <v>1711.1902500000001</v>
      </c>
      <c r="BA97" s="18">
        <v>0</v>
      </c>
      <c r="BB97" s="18">
        <v>0</v>
      </c>
      <c r="BC97" s="18">
        <v>404.83800000000002</v>
      </c>
      <c r="BD97" s="18">
        <v>1193.6531249999994</v>
      </c>
      <c r="BE97" s="18">
        <v>387.82800000000003</v>
      </c>
      <c r="BF97" s="18">
        <v>1711.1902500000001</v>
      </c>
      <c r="BG97" s="18">
        <v>0</v>
      </c>
      <c r="BH97" s="18">
        <v>0</v>
      </c>
      <c r="BI97" s="18">
        <v>404.83800000000002</v>
      </c>
      <c r="BJ97" s="18">
        <v>1193.6531249999994</v>
      </c>
      <c r="BK97" s="18">
        <v>387.82800000000003</v>
      </c>
      <c r="BL97" s="18">
        <v>1711.1902500000001</v>
      </c>
      <c r="BM97" s="18">
        <v>0</v>
      </c>
      <c r="BN97" s="18">
        <v>0</v>
      </c>
      <c r="BO97" s="18">
        <v>404.83800000000002</v>
      </c>
      <c r="BP97" s="18"/>
      <c r="BQ97" s="18"/>
      <c r="BR97" s="18"/>
      <c r="BS97" s="18"/>
      <c r="BT97" s="10">
        <f>Tabelle58971121[[#This Row],[Mindestauslastung durch]]*Tabelle58971121[[#This Row],[installierte Leistung MW durch]]</f>
        <v>236.25</v>
      </c>
      <c r="BU97" s="10">
        <f>Tabelle58971121[[#This Row],[Mindestauslastung min]]*Tabelle58971121[[#This Row],[installierte Leistung MW min]]</f>
        <v>191.36249999999998</v>
      </c>
      <c r="BV97" s="10">
        <f>Tabelle58971121[[#This Row],[Mindestauslastung max]]*Tabelle58971121[[#This Row],[installierte Leistung MW max]]</f>
        <v>281.13749999999999</v>
      </c>
      <c r="BW97" s="8">
        <v>0.15</v>
      </c>
      <c r="BX97" s="8">
        <v>0.15</v>
      </c>
      <c r="BY97" s="8">
        <v>0.15</v>
      </c>
      <c r="BZ97" s="8"/>
      <c r="CA97" s="8">
        <v>0.75787499999999985</v>
      </c>
      <c r="CB97" s="8">
        <v>0.30399999999999999</v>
      </c>
      <c r="CC97" s="8">
        <v>0.91299999999999992</v>
      </c>
      <c r="CD97" s="8">
        <v>0.75787499999999985</v>
      </c>
      <c r="CE97" s="8">
        <v>0.30399999999999999</v>
      </c>
      <c r="CF97" s="8">
        <v>0.91299999999999992</v>
      </c>
      <c r="CG97" s="8">
        <v>0.75787499999999985</v>
      </c>
      <c r="CH97" s="8">
        <v>0.30399999999999999</v>
      </c>
      <c r="CI97" s="8">
        <v>0.91299999999999992</v>
      </c>
      <c r="CJ97" s="8">
        <v>0.75787499999999985</v>
      </c>
      <c r="CK97" s="8">
        <v>0.30399999999999999</v>
      </c>
      <c r="CL97" s="8">
        <v>0.91299999999999992</v>
      </c>
      <c r="CM97" s="8">
        <v>0.75787499999999985</v>
      </c>
      <c r="CN97" s="8">
        <v>0.30399999999999999</v>
      </c>
      <c r="CO97" s="8">
        <v>0.91299999999999992</v>
      </c>
      <c r="CP97" s="8">
        <v>0.75787499999999985</v>
      </c>
      <c r="CQ97" s="8">
        <v>0.30399999999999999</v>
      </c>
      <c r="CR97" s="8">
        <v>0.91299999999999992</v>
      </c>
      <c r="CS97" s="8">
        <v>0.75787499999999985</v>
      </c>
      <c r="CT97" s="8">
        <v>0.30399999999999999</v>
      </c>
      <c r="CU97" s="8">
        <v>0.91299999999999992</v>
      </c>
      <c r="CV97" s="8">
        <v>0.75787499999999985</v>
      </c>
      <c r="CW97" s="8">
        <v>0.30399999999999999</v>
      </c>
      <c r="CX97" s="8">
        <v>0.91299999999999992</v>
      </c>
      <c r="CY97" s="8">
        <v>0.75787499999999985</v>
      </c>
      <c r="CZ97" s="8">
        <v>0.30399999999999999</v>
      </c>
      <c r="DA97" s="8">
        <v>0.91299999999999992</v>
      </c>
      <c r="DB97" s="8"/>
      <c r="DC97" s="8"/>
      <c r="DD97" s="8"/>
      <c r="DE97" s="48">
        <f>Tabelle58971121[[#This Row],[Durchschnittsauslastung min]]*Tabelle58971121[[#This Row],[installierte Leistung MW min]]</f>
        <v>0</v>
      </c>
      <c r="DF97" s="48">
        <f>Tabelle58971121[[#This Row],[Durchschnittsauslastung durch]]*Tabelle58971121[[#This Row],[installierte Leistung MW durch]]</f>
        <v>0</v>
      </c>
      <c r="DG97" s="48">
        <f>Tabelle58971121[[#This Row],[Durchschnittsauslastung max]]*Tabelle58971121[[#This Row],[installierte Leistung MW max]]</f>
        <v>0</v>
      </c>
      <c r="DH97" s="87">
        <f>Tabelle58971121[[#This Row],[Maximalauslastung durch]]*Tabelle58971121[[#This Row],[installierte Leistung MW min]]</f>
        <v>599.60249999999996</v>
      </c>
      <c r="DI97" s="48">
        <f>Tabelle58971121[[#This Row],[Maximalauslastung durch]]*Tabelle58971121[[#This Row],[installierte Leistung MW durch]]</f>
        <v>740.25</v>
      </c>
      <c r="DJ97" s="18">
        <f>Tabelle58971121[[#This Row],[Maximalauslastung max]]*Tabelle58971121[[#This Row],[installierte Leistung MW durch]]</f>
        <v>819</v>
      </c>
      <c r="DK97" s="8">
        <v>0.47</v>
      </c>
      <c r="DL97" s="8">
        <v>0.42</v>
      </c>
      <c r="DM97" s="8">
        <v>0.52</v>
      </c>
      <c r="DN97" s="1">
        <v>1575</v>
      </c>
      <c r="DO97" s="1">
        <v>1275.75</v>
      </c>
      <c r="DP97" s="1">
        <v>1874.25</v>
      </c>
      <c r="DQ97" s="18"/>
      <c r="DR97" s="18"/>
      <c r="DW97" s="1">
        <v>0.25</v>
      </c>
      <c r="DX97" s="1">
        <v>0.2</v>
      </c>
      <c r="DY97" s="1">
        <v>0.3</v>
      </c>
      <c r="DZ97" s="1">
        <v>0.25</v>
      </c>
      <c r="EA97" s="1">
        <v>0.2</v>
      </c>
      <c r="EB97" s="1">
        <v>0.3</v>
      </c>
      <c r="EC97" s="1">
        <v>0.5</v>
      </c>
      <c r="ED97" s="1">
        <v>0.4</v>
      </c>
      <c r="EE97" s="1">
        <v>0.6</v>
      </c>
      <c r="EF97" s="1">
        <v>0.3</v>
      </c>
      <c r="EG97" s="1">
        <v>0.2</v>
      </c>
      <c r="EH97" s="1">
        <v>0.4</v>
      </c>
      <c r="EL97" s="1">
        <v>365</v>
      </c>
      <c r="EM97" s="1">
        <v>328</v>
      </c>
      <c r="EN97" s="1">
        <v>402</v>
      </c>
      <c r="EO97" s="10"/>
      <c r="EP97" s="10"/>
      <c r="EQ97" s="10"/>
      <c r="ER97" s="1" t="s">
        <v>1046</v>
      </c>
      <c r="ES97" s="1" t="s">
        <v>1046</v>
      </c>
      <c r="ET97" s="1" t="s">
        <v>1046</v>
      </c>
      <c r="EU97" s="1">
        <v>145.52352941176468</v>
      </c>
      <c r="EV97" s="18">
        <v>130.9711764705882</v>
      </c>
      <c r="EW97" s="18">
        <v>160.07588235294116</v>
      </c>
      <c r="EX97" s="18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>
        <v>9.972941176470588</v>
      </c>
      <c r="FK97" s="7">
        <v>3.5617647058823536</v>
      </c>
      <c r="FL97" s="7">
        <v>16.384117647058822</v>
      </c>
      <c r="FO97" s="1">
        <v>67</v>
      </c>
      <c r="FP97" s="1">
        <v>67</v>
      </c>
      <c r="FQ97" s="1">
        <v>67</v>
      </c>
      <c r="FR97" s="12" t="s">
        <v>743</v>
      </c>
      <c r="FS97" s="12" t="s">
        <v>743</v>
      </c>
      <c r="FT97" s="12" t="s">
        <v>743</v>
      </c>
      <c r="FU97" s="12"/>
      <c r="FV97" s="12" t="s">
        <v>743</v>
      </c>
      <c r="FW97" s="12" t="s">
        <v>743</v>
      </c>
      <c r="FX97" s="12" t="s">
        <v>743</v>
      </c>
      <c r="FY97" s="12" t="s">
        <v>743</v>
      </c>
      <c r="FZ97" s="12" t="s">
        <v>743</v>
      </c>
      <c r="GA97" s="12" t="s">
        <v>743</v>
      </c>
      <c r="GB97" s="12" t="s">
        <v>743</v>
      </c>
      <c r="GE97" s="12" t="s">
        <v>743</v>
      </c>
      <c r="GF97" s="12" t="s">
        <v>743</v>
      </c>
      <c r="GH97" s="12" t="s">
        <v>743</v>
      </c>
    </row>
    <row r="98" spans="1:193" s="51" customFormat="1" ht="12.75" customHeight="1" x14ac:dyDescent="0.2">
      <c r="A98" s="1" t="s">
        <v>138</v>
      </c>
      <c r="B98" s="1" t="s">
        <v>684</v>
      </c>
      <c r="C98" s="1"/>
      <c r="D98" s="1"/>
      <c r="E98" s="1" t="s">
        <v>142</v>
      </c>
      <c r="F98" s="1">
        <v>2</v>
      </c>
      <c r="G98" s="1">
        <v>2015</v>
      </c>
      <c r="H98" s="1">
        <v>1</v>
      </c>
      <c r="I98" s="1">
        <v>0</v>
      </c>
      <c r="J98" s="1">
        <v>0</v>
      </c>
      <c r="K98" s="18"/>
      <c r="L98" s="18"/>
      <c r="M98" s="18"/>
      <c r="N98" s="18">
        <v>2943.5</v>
      </c>
      <c r="O98" s="18">
        <v>126.846</v>
      </c>
      <c r="P98" s="18">
        <v>4918.9799999999996</v>
      </c>
      <c r="Q98" s="18">
        <v>753.99999999999966</v>
      </c>
      <c r="R98" s="18">
        <v>0</v>
      </c>
      <c r="S98" s="18">
        <v>4114.0559999999996</v>
      </c>
      <c r="T98" s="18">
        <v>2943.5</v>
      </c>
      <c r="U98" s="18">
        <v>126.846</v>
      </c>
      <c r="V98" s="18">
        <v>4918.9799999999996</v>
      </c>
      <c r="W98" s="18">
        <v>753.99999999999966</v>
      </c>
      <c r="X98" s="18">
        <v>0</v>
      </c>
      <c r="Y98" s="18">
        <v>4114.0559999999996</v>
      </c>
      <c r="Z98" s="18">
        <v>2943.5</v>
      </c>
      <c r="AA98" s="18">
        <v>126.846</v>
      </c>
      <c r="AB98" s="18">
        <v>4918.9799999999996</v>
      </c>
      <c r="AC98" s="18">
        <v>753.99999999999966</v>
      </c>
      <c r="AD98" s="18">
        <v>0</v>
      </c>
      <c r="AE98" s="18">
        <v>4114.0559999999996</v>
      </c>
      <c r="AF98" s="18">
        <v>3523.5</v>
      </c>
      <c r="AG98" s="18">
        <v>126.846</v>
      </c>
      <c r="AH98" s="18">
        <v>5813.34</v>
      </c>
      <c r="AI98" s="18">
        <v>174.00000000000011</v>
      </c>
      <c r="AJ98" s="18">
        <v>0</v>
      </c>
      <c r="AK98" s="18">
        <v>4114.0559999999996</v>
      </c>
      <c r="AL98" s="18">
        <v>3523.5</v>
      </c>
      <c r="AM98" s="18">
        <v>126.846</v>
      </c>
      <c r="AN98" s="18">
        <v>5813.34</v>
      </c>
      <c r="AO98" s="18">
        <v>174.00000000000011</v>
      </c>
      <c r="AP98" s="18">
        <v>0</v>
      </c>
      <c r="AQ98" s="18">
        <v>4114.0559999999996</v>
      </c>
      <c r="AR98" s="18">
        <v>3523.5</v>
      </c>
      <c r="AS98" s="18">
        <v>126.846</v>
      </c>
      <c r="AT98" s="18">
        <v>5813.34</v>
      </c>
      <c r="AU98" s="18">
        <v>174.00000000000011</v>
      </c>
      <c r="AV98" s="18">
        <v>0</v>
      </c>
      <c r="AW98" s="18">
        <v>4114.0559999999996</v>
      </c>
      <c r="AX98" s="18">
        <v>3523.5</v>
      </c>
      <c r="AY98" s="18">
        <v>126.846</v>
      </c>
      <c r="AZ98" s="18">
        <v>5813.34</v>
      </c>
      <c r="BA98" s="18">
        <v>174.00000000000011</v>
      </c>
      <c r="BB98" s="18">
        <v>0</v>
      </c>
      <c r="BC98" s="18">
        <v>4114.0559999999996</v>
      </c>
      <c r="BD98" s="18">
        <v>3523.5</v>
      </c>
      <c r="BE98" s="18">
        <v>126.846</v>
      </c>
      <c r="BF98" s="18">
        <v>5813.34</v>
      </c>
      <c r="BG98" s="18">
        <v>174.00000000000011</v>
      </c>
      <c r="BH98" s="18">
        <v>0</v>
      </c>
      <c r="BI98" s="18">
        <v>4114.0559999999996</v>
      </c>
      <c r="BJ98" s="18">
        <v>3523.5</v>
      </c>
      <c r="BK98" s="18">
        <v>126.846</v>
      </c>
      <c r="BL98" s="18">
        <v>5813.34</v>
      </c>
      <c r="BM98" s="18">
        <v>174.00000000000011</v>
      </c>
      <c r="BN98" s="18">
        <v>0</v>
      </c>
      <c r="BO98" s="18">
        <v>4114.0559999999996</v>
      </c>
      <c r="BP98" s="18"/>
      <c r="BQ98" s="18"/>
      <c r="BR98" s="18"/>
      <c r="BS98" s="18"/>
      <c r="BT98" s="10">
        <f>Tabelle58971121[[#This Row],[Mindestauslastung durch]]*Tabelle58971121[[#This Row],[installierte Leistung MW durch]]</f>
        <v>3262.5</v>
      </c>
      <c r="BU98" s="10">
        <f>Tabelle58971121[[#This Row],[Mindestauslastung min]]*Tabelle58971121[[#This Row],[installierte Leistung MW min]]</f>
        <v>3171.15</v>
      </c>
      <c r="BV98" s="10">
        <f>Tabelle58971121[[#This Row],[Mindestauslastung max]]*Tabelle58971121[[#This Row],[installierte Leistung MW max]]</f>
        <v>3353.85</v>
      </c>
      <c r="BW98" s="8">
        <v>0.15</v>
      </c>
      <c r="BX98" s="8">
        <v>0.15</v>
      </c>
      <c r="BY98" s="8">
        <v>0.15</v>
      </c>
      <c r="BZ98" s="8"/>
      <c r="CA98" s="8">
        <v>0.13533333333333339</v>
      </c>
      <c r="CB98" s="8">
        <v>6.0000000000000001E-3</v>
      </c>
      <c r="CC98" s="8">
        <v>0.22</v>
      </c>
      <c r="CD98" s="8">
        <v>0.13533333333333339</v>
      </c>
      <c r="CE98" s="8">
        <v>6.0000000000000001E-3</v>
      </c>
      <c r="CF98" s="8">
        <v>0.22</v>
      </c>
      <c r="CG98" s="8">
        <v>0.13533333333333339</v>
      </c>
      <c r="CH98" s="8">
        <v>6.0000000000000001E-3</v>
      </c>
      <c r="CI98" s="8">
        <v>0.22</v>
      </c>
      <c r="CJ98" s="8">
        <v>0.16200000000000001</v>
      </c>
      <c r="CK98" s="8">
        <v>6.0000000000000001E-3</v>
      </c>
      <c r="CL98" s="8">
        <v>0.26</v>
      </c>
      <c r="CM98" s="8">
        <v>0.16200000000000001</v>
      </c>
      <c r="CN98" s="8">
        <v>6.0000000000000001E-3</v>
      </c>
      <c r="CO98" s="8">
        <v>0.26</v>
      </c>
      <c r="CP98" s="8">
        <v>0.16200000000000001</v>
      </c>
      <c r="CQ98" s="8">
        <v>6.0000000000000001E-3</v>
      </c>
      <c r="CR98" s="8">
        <v>0.26</v>
      </c>
      <c r="CS98" s="8">
        <v>0.16200000000000001</v>
      </c>
      <c r="CT98" s="8">
        <v>6.0000000000000001E-3</v>
      </c>
      <c r="CU98" s="8">
        <v>0.26</v>
      </c>
      <c r="CV98" s="8">
        <v>0.16200000000000001</v>
      </c>
      <c r="CW98" s="8">
        <v>6.0000000000000001E-3</v>
      </c>
      <c r="CX98" s="8">
        <v>0.26</v>
      </c>
      <c r="CY98" s="8">
        <v>0.16200000000000001</v>
      </c>
      <c r="CZ98" s="8">
        <v>6.0000000000000001E-3</v>
      </c>
      <c r="DA98" s="8">
        <v>0.26</v>
      </c>
      <c r="DB98" s="8"/>
      <c r="DC98" s="8"/>
      <c r="DD98" s="8"/>
      <c r="DE98" s="48">
        <f>Tabelle58971121[[#This Row],[Durchschnittsauslastung min]]*Tabelle58971121[[#This Row],[installierte Leistung MW min]]</f>
        <v>0</v>
      </c>
      <c r="DF98" s="48">
        <f>Tabelle58971121[[#This Row],[Durchschnittsauslastung durch]]*Tabelle58971121[[#This Row],[installierte Leistung MW durch]]</f>
        <v>0</v>
      </c>
      <c r="DG98" s="48">
        <f>Tabelle58971121[[#This Row],[Durchschnittsauslastung max]]*Tabelle58971121[[#This Row],[installierte Leistung MW max]]</f>
        <v>0</v>
      </c>
      <c r="DH98" s="87">
        <f>Tabelle58971121[[#This Row],[Maximalauslastung durch]]*Tabelle58971121[[#This Row],[installierte Leistung MW min]]</f>
        <v>3593.9700000000003</v>
      </c>
      <c r="DI98" s="48">
        <f>Tabelle58971121[[#This Row],[Maximalauslastung durch]]*Tabelle58971121[[#This Row],[installierte Leistung MW durch]]</f>
        <v>3697.5000000000005</v>
      </c>
      <c r="DJ98" s="18">
        <f>Tabelle58971121[[#This Row],[Maximalauslastung max]]*Tabelle58971121[[#This Row],[installierte Leistung MW durch]]</f>
        <v>4132.5</v>
      </c>
      <c r="DK98" s="8">
        <v>0.17</v>
      </c>
      <c r="DL98" s="8">
        <v>0.15</v>
      </c>
      <c r="DM98" s="8">
        <v>0.19</v>
      </c>
      <c r="DN98" s="1">
        <v>21750</v>
      </c>
      <c r="DO98" s="1">
        <v>21141</v>
      </c>
      <c r="DP98" s="1">
        <v>22359</v>
      </c>
      <c r="DQ98" s="18"/>
      <c r="DR98" s="18"/>
      <c r="DS98" s="1"/>
      <c r="DT98" s="1"/>
      <c r="DU98" s="1"/>
      <c r="DV98" s="1"/>
      <c r="DW98" s="1">
        <v>4</v>
      </c>
      <c r="DX98" s="1">
        <v>3.2</v>
      </c>
      <c r="DY98" s="1">
        <v>4.8</v>
      </c>
      <c r="DZ98" s="1">
        <v>8</v>
      </c>
      <c r="EA98" s="1">
        <v>6.4</v>
      </c>
      <c r="EB98" s="1">
        <v>9.6</v>
      </c>
      <c r="EC98" s="1">
        <v>24</v>
      </c>
      <c r="ED98" s="1">
        <v>24</v>
      </c>
      <c r="EE98" s="1">
        <v>24</v>
      </c>
      <c r="EF98" s="1">
        <v>7.5</v>
      </c>
      <c r="EG98" s="1">
        <v>4.4000000000000004</v>
      </c>
      <c r="EH98" s="1">
        <v>10.6</v>
      </c>
      <c r="EI98" s="1"/>
      <c r="EJ98" s="1"/>
      <c r="EK98" s="1"/>
      <c r="EL98" s="1">
        <v>365</v>
      </c>
      <c r="EM98" s="1">
        <v>328</v>
      </c>
      <c r="EN98" s="1">
        <v>402</v>
      </c>
      <c r="EO98" s="10"/>
      <c r="EP98" s="10"/>
      <c r="EQ98" s="10"/>
      <c r="ER98" s="1">
        <v>365</v>
      </c>
      <c r="ES98" s="1">
        <v>328</v>
      </c>
      <c r="ET98" s="1">
        <v>402</v>
      </c>
      <c r="EU98" s="1">
        <v>145.52352941176468</v>
      </c>
      <c r="EV98" s="18">
        <v>130.9711764705882</v>
      </c>
      <c r="EW98" s="18">
        <v>160.07588235294116</v>
      </c>
      <c r="EX98" s="18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>
        <v>9.972941176470588</v>
      </c>
      <c r="FK98" s="7">
        <v>3.5617647058823536</v>
      </c>
      <c r="FL98" s="7">
        <v>16.384117647058822</v>
      </c>
      <c r="FM98" s="1"/>
      <c r="FN98" s="1"/>
      <c r="FO98" s="1">
        <v>67</v>
      </c>
      <c r="FP98" s="1">
        <v>67</v>
      </c>
      <c r="FQ98" s="1">
        <v>67</v>
      </c>
      <c r="FR98" s="12" t="s">
        <v>743</v>
      </c>
      <c r="FS98" s="12" t="s">
        <v>743</v>
      </c>
      <c r="FT98" s="12" t="s">
        <v>743</v>
      </c>
      <c r="FU98" s="12"/>
      <c r="FV98" s="12" t="s">
        <v>743</v>
      </c>
      <c r="FW98" s="12" t="s">
        <v>743</v>
      </c>
      <c r="FX98" s="12" t="s">
        <v>743</v>
      </c>
      <c r="FY98" s="12" t="s">
        <v>743</v>
      </c>
      <c r="FZ98" s="12" t="s">
        <v>743</v>
      </c>
      <c r="GA98" s="12" t="s">
        <v>743</v>
      </c>
      <c r="GB98" s="12" t="s">
        <v>743</v>
      </c>
      <c r="GC98" s="1"/>
      <c r="GD98" s="1"/>
      <c r="GE98" s="12" t="s">
        <v>743</v>
      </c>
      <c r="GF98" s="12" t="s">
        <v>743</v>
      </c>
      <c r="GG98" s="1"/>
      <c r="GH98" s="12" t="s">
        <v>743</v>
      </c>
      <c r="GI98" s="1"/>
      <c r="GJ98" s="1"/>
      <c r="GK98" s="1"/>
    </row>
    <row r="99" spans="1:193" ht="12.75" customHeight="1" x14ac:dyDescent="0.2">
      <c r="A99" s="1" t="s">
        <v>138</v>
      </c>
      <c r="B99" s="1" t="s">
        <v>684</v>
      </c>
      <c r="E99" s="1" t="s">
        <v>142</v>
      </c>
      <c r="F99" s="1">
        <v>2</v>
      </c>
      <c r="G99" s="1">
        <v>2020</v>
      </c>
      <c r="H99" s="1">
        <v>1</v>
      </c>
      <c r="I99" s="1">
        <v>0</v>
      </c>
      <c r="J99" s="1">
        <v>0</v>
      </c>
      <c r="K99" s="18"/>
      <c r="L99" s="18"/>
      <c r="M99" s="18"/>
      <c r="N99" s="18">
        <v>2972.9349999999999</v>
      </c>
      <c r="O99" s="18">
        <v>128.11446000000001</v>
      </c>
      <c r="P99" s="18">
        <v>4968.1697999999997</v>
      </c>
      <c r="Q99" s="18">
        <v>761.53999999999962</v>
      </c>
      <c r="R99" s="18">
        <v>0</v>
      </c>
      <c r="S99" s="18">
        <v>4155.1965599999994</v>
      </c>
      <c r="T99" s="18">
        <v>2972.9349999999999</v>
      </c>
      <c r="U99" s="18">
        <v>128.11446000000001</v>
      </c>
      <c r="V99" s="18">
        <v>4968.1697999999997</v>
      </c>
      <c r="W99" s="18">
        <v>761.53999999999962</v>
      </c>
      <c r="X99" s="18">
        <v>0</v>
      </c>
      <c r="Y99" s="18">
        <v>4155.1965599999994</v>
      </c>
      <c r="Z99" s="18">
        <v>2972.9349999999999</v>
      </c>
      <c r="AA99" s="18">
        <v>128.11446000000001</v>
      </c>
      <c r="AB99" s="18">
        <v>4968.1697999999997</v>
      </c>
      <c r="AC99" s="18">
        <v>761.53999999999962</v>
      </c>
      <c r="AD99" s="18">
        <v>0</v>
      </c>
      <c r="AE99" s="18">
        <v>4155.1965599999994</v>
      </c>
      <c r="AF99" s="18">
        <v>3558.7350000000001</v>
      </c>
      <c r="AG99" s="18">
        <v>128.11446000000001</v>
      </c>
      <c r="AH99" s="18">
        <v>5871.4733999999999</v>
      </c>
      <c r="AI99" s="18">
        <v>175.74000000000012</v>
      </c>
      <c r="AJ99" s="18">
        <v>0</v>
      </c>
      <c r="AK99" s="18">
        <v>4155.1965599999994</v>
      </c>
      <c r="AL99" s="18">
        <v>3558.7350000000001</v>
      </c>
      <c r="AM99" s="18">
        <v>128.11446000000001</v>
      </c>
      <c r="AN99" s="18">
        <v>5871.4733999999999</v>
      </c>
      <c r="AO99" s="18">
        <v>175.74000000000012</v>
      </c>
      <c r="AP99" s="18">
        <v>0</v>
      </c>
      <c r="AQ99" s="18">
        <v>4155.1965599999994</v>
      </c>
      <c r="AR99" s="18">
        <v>3558.7350000000001</v>
      </c>
      <c r="AS99" s="18">
        <v>128.11446000000001</v>
      </c>
      <c r="AT99" s="18">
        <v>5871.4733999999999</v>
      </c>
      <c r="AU99" s="18">
        <v>175.74000000000012</v>
      </c>
      <c r="AV99" s="18">
        <v>0</v>
      </c>
      <c r="AW99" s="18">
        <v>4155.1965599999994</v>
      </c>
      <c r="AX99" s="18">
        <v>3558.7350000000001</v>
      </c>
      <c r="AY99" s="18">
        <v>128.11446000000001</v>
      </c>
      <c r="AZ99" s="18">
        <v>5871.4733999999999</v>
      </c>
      <c r="BA99" s="18">
        <v>175.74000000000012</v>
      </c>
      <c r="BB99" s="18">
        <v>0</v>
      </c>
      <c r="BC99" s="18">
        <v>4155.1965599999994</v>
      </c>
      <c r="BD99" s="18">
        <v>3558.7350000000001</v>
      </c>
      <c r="BE99" s="18">
        <v>128.11446000000001</v>
      </c>
      <c r="BF99" s="18">
        <v>5871.4733999999999</v>
      </c>
      <c r="BG99" s="18">
        <v>175.74000000000012</v>
      </c>
      <c r="BH99" s="18">
        <v>0</v>
      </c>
      <c r="BI99" s="18">
        <v>4155.1965599999994</v>
      </c>
      <c r="BJ99" s="18">
        <v>3558.7350000000001</v>
      </c>
      <c r="BK99" s="18">
        <v>128.11446000000001</v>
      </c>
      <c r="BL99" s="18">
        <v>5871.4733999999999</v>
      </c>
      <c r="BM99" s="18">
        <v>175.74000000000012</v>
      </c>
      <c r="BN99" s="18">
        <v>0</v>
      </c>
      <c r="BO99" s="18">
        <v>4155.1965599999994</v>
      </c>
      <c r="BP99" s="18"/>
      <c r="BQ99" s="18"/>
      <c r="BR99" s="18"/>
      <c r="BS99" s="18"/>
      <c r="BT99" s="10">
        <f>Tabelle58971121[[#This Row],[Mindestauslastung durch]]*Tabelle58971121[[#This Row],[installierte Leistung MW durch]]</f>
        <v>3295.125</v>
      </c>
      <c r="BU99" s="10">
        <f>Tabelle58971121[[#This Row],[Mindestauslastung min]]*Tabelle58971121[[#This Row],[installierte Leistung MW min]]</f>
        <v>3202.8615</v>
      </c>
      <c r="BV99" s="10">
        <f>Tabelle58971121[[#This Row],[Mindestauslastung max]]*Tabelle58971121[[#This Row],[installierte Leistung MW max]]</f>
        <v>3387.3885</v>
      </c>
      <c r="BW99" s="8">
        <v>0.15</v>
      </c>
      <c r="BX99" s="8">
        <v>0.15</v>
      </c>
      <c r="BY99" s="8">
        <v>0.15</v>
      </c>
      <c r="BZ99" s="8"/>
      <c r="CA99" s="8">
        <v>0.13533333333333339</v>
      </c>
      <c r="CB99" s="8">
        <v>6.0000000000000001E-3</v>
      </c>
      <c r="CC99" s="8">
        <v>0.22</v>
      </c>
      <c r="CD99" s="8">
        <v>0.13533333333333339</v>
      </c>
      <c r="CE99" s="8">
        <v>6.0000000000000001E-3</v>
      </c>
      <c r="CF99" s="8">
        <v>0.22</v>
      </c>
      <c r="CG99" s="8">
        <v>0.13533333333333339</v>
      </c>
      <c r="CH99" s="8">
        <v>6.0000000000000001E-3</v>
      </c>
      <c r="CI99" s="8">
        <v>0.22</v>
      </c>
      <c r="CJ99" s="8">
        <v>0.16200000000000001</v>
      </c>
      <c r="CK99" s="8">
        <v>6.0000000000000001E-3</v>
      </c>
      <c r="CL99" s="8">
        <v>0.26</v>
      </c>
      <c r="CM99" s="8">
        <v>0.16200000000000001</v>
      </c>
      <c r="CN99" s="8">
        <v>6.0000000000000001E-3</v>
      </c>
      <c r="CO99" s="8">
        <v>0.26</v>
      </c>
      <c r="CP99" s="8">
        <v>0.16200000000000001</v>
      </c>
      <c r="CQ99" s="8">
        <v>6.0000000000000001E-3</v>
      </c>
      <c r="CR99" s="8">
        <v>0.26</v>
      </c>
      <c r="CS99" s="8">
        <v>0.16200000000000001</v>
      </c>
      <c r="CT99" s="8">
        <v>6.0000000000000001E-3</v>
      </c>
      <c r="CU99" s="8">
        <v>0.26</v>
      </c>
      <c r="CV99" s="8">
        <v>0.16200000000000001</v>
      </c>
      <c r="CW99" s="8">
        <v>6.0000000000000001E-3</v>
      </c>
      <c r="CX99" s="8">
        <v>0.26</v>
      </c>
      <c r="CY99" s="8">
        <v>0.16200000000000001</v>
      </c>
      <c r="CZ99" s="8">
        <v>6.0000000000000001E-3</v>
      </c>
      <c r="DA99" s="8">
        <v>0.26</v>
      </c>
      <c r="DB99" s="8"/>
      <c r="DC99" s="8"/>
      <c r="DD99" s="8"/>
      <c r="DE99" s="48">
        <f>Tabelle58971121[[#This Row],[Durchschnittsauslastung min]]*Tabelle58971121[[#This Row],[installierte Leistung MW min]]</f>
        <v>0</v>
      </c>
      <c r="DF99" s="48">
        <f>Tabelle58971121[[#This Row],[Durchschnittsauslastung durch]]*Tabelle58971121[[#This Row],[installierte Leistung MW durch]]</f>
        <v>0</v>
      </c>
      <c r="DG99" s="48">
        <f>Tabelle58971121[[#This Row],[Durchschnittsauslastung max]]*Tabelle58971121[[#This Row],[installierte Leistung MW max]]</f>
        <v>0</v>
      </c>
      <c r="DH99" s="87">
        <f>Tabelle58971121[[#This Row],[Maximalauslastung durch]]*Tabelle58971121[[#This Row],[installierte Leistung MW min]]</f>
        <v>3629.9097000000002</v>
      </c>
      <c r="DI99" s="48">
        <f>Tabelle58971121[[#This Row],[Maximalauslastung durch]]*Tabelle58971121[[#This Row],[installierte Leistung MW durch]]</f>
        <v>3734.4750000000004</v>
      </c>
      <c r="DJ99" s="18">
        <f>Tabelle58971121[[#This Row],[Maximalauslastung max]]*Tabelle58971121[[#This Row],[installierte Leistung MW durch]]</f>
        <v>4173.8249999999998</v>
      </c>
      <c r="DK99" s="8">
        <v>0.17</v>
      </c>
      <c r="DL99" s="8">
        <v>0.15</v>
      </c>
      <c r="DM99" s="8">
        <v>0.19</v>
      </c>
      <c r="DN99" s="1">
        <v>21967.5</v>
      </c>
      <c r="DO99" s="1">
        <v>21352.41</v>
      </c>
      <c r="DP99" s="1">
        <v>22582.59</v>
      </c>
      <c r="DQ99" s="18"/>
      <c r="DR99" s="18"/>
      <c r="DW99" s="1">
        <v>4</v>
      </c>
      <c r="DX99" s="1">
        <v>3.2</v>
      </c>
      <c r="DY99" s="1">
        <v>4.8</v>
      </c>
      <c r="DZ99" s="1">
        <v>8</v>
      </c>
      <c r="EA99" s="1">
        <v>6.4</v>
      </c>
      <c r="EB99" s="1">
        <v>9.6</v>
      </c>
      <c r="EC99" s="1">
        <v>24</v>
      </c>
      <c r="ED99" s="1">
        <v>24</v>
      </c>
      <c r="EE99" s="1">
        <v>24</v>
      </c>
      <c r="EF99" s="1">
        <v>7.5</v>
      </c>
      <c r="EG99" s="1">
        <v>4.4000000000000004</v>
      </c>
      <c r="EH99" s="1">
        <v>10.6</v>
      </c>
      <c r="EL99" s="1">
        <v>365</v>
      </c>
      <c r="EM99" s="1">
        <v>328</v>
      </c>
      <c r="EN99" s="1">
        <v>402</v>
      </c>
      <c r="EO99" s="10"/>
      <c r="EP99" s="10"/>
      <c r="EQ99" s="10"/>
      <c r="ER99" s="1">
        <v>365</v>
      </c>
      <c r="ES99" s="1">
        <v>328</v>
      </c>
      <c r="ET99" s="1">
        <v>402</v>
      </c>
      <c r="EU99" s="1">
        <v>145.52352941176468</v>
      </c>
      <c r="EV99" s="18">
        <v>130.9711764705882</v>
      </c>
      <c r="EW99" s="18">
        <v>160.07588235294116</v>
      </c>
      <c r="EX99" s="18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>
        <v>9.972941176470588</v>
      </c>
      <c r="FK99" s="7">
        <v>3.5617647058823536</v>
      </c>
      <c r="FL99" s="7">
        <v>16.384117647058822</v>
      </c>
      <c r="FO99" s="1">
        <v>67</v>
      </c>
      <c r="FP99" s="1">
        <v>67</v>
      </c>
      <c r="FQ99" s="1">
        <v>67</v>
      </c>
      <c r="FR99" s="12" t="s">
        <v>743</v>
      </c>
      <c r="FS99" s="12" t="s">
        <v>743</v>
      </c>
      <c r="FT99" s="12" t="s">
        <v>743</v>
      </c>
      <c r="FU99" s="12"/>
      <c r="FV99" s="12" t="s">
        <v>743</v>
      </c>
      <c r="FW99" s="12" t="s">
        <v>743</v>
      </c>
      <c r="FX99" s="12" t="s">
        <v>743</v>
      </c>
      <c r="FY99" s="12" t="s">
        <v>743</v>
      </c>
      <c r="FZ99" s="12" t="s">
        <v>743</v>
      </c>
      <c r="GA99" s="12" t="s">
        <v>743</v>
      </c>
      <c r="GB99" s="12" t="s">
        <v>743</v>
      </c>
      <c r="GE99" s="12" t="s">
        <v>743</v>
      </c>
      <c r="GF99" s="12" t="s">
        <v>743</v>
      </c>
      <c r="GH99" s="12" t="s">
        <v>743</v>
      </c>
    </row>
    <row r="100" spans="1:193" ht="12.75" customHeight="1" x14ac:dyDescent="0.2">
      <c r="A100" s="1" t="s">
        <v>138</v>
      </c>
      <c r="B100" s="1" t="s">
        <v>684</v>
      </c>
      <c r="E100" s="1" t="s">
        <v>142</v>
      </c>
      <c r="F100" s="1">
        <v>2</v>
      </c>
      <c r="G100" s="1">
        <v>2025</v>
      </c>
      <c r="H100" s="1">
        <v>1</v>
      </c>
      <c r="I100" s="1">
        <v>0</v>
      </c>
      <c r="J100" s="1">
        <v>0</v>
      </c>
      <c r="K100" s="18"/>
      <c r="L100" s="18"/>
      <c r="M100" s="18"/>
      <c r="N100" s="18">
        <v>3031.8050000000003</v>
      </c>
      <c r="O100" s="18">
        <v>130.65138000000002</v>
      </c>
      <c r="P100" s="18">
        <v>5066.5493999999999</v>
      </c>
      <c r="Q100" s="18">
        <v>776.61999999999966</v>
      </c>
      <c r="R100" s="18">
        <v>0</v>
      </c>
      <c r="S100" s="18">
        <v>4237.47768</v>
      </c>
      <c r="T100" s="18">
        <v>3031.8050000000003</v>
      </c>
      <c r="U100" s="18">
        <v>130.65138000000002</v>
      </c>
      <c r="V100" s="18">
        <v>5066.5493999999999</v>
      </c>
      <c r="W100" s="18">
        <v>776.61999999999966</v>
      </c>
      <c r="X100" s="18">
        <v>0</v>
      </c>
      <c r="Y100" s="18">
        <v>4237.47768</v>
      </c>
      <c r="Z100" s="18">
        <v>3031.8050000000003</v>
      </c>
      <c r="AA100" s="18">
        <v>130.65138000000002</v>
      </c>
      <c r="AB100" s="18">
        <v>5066.5493999999999</v>
      </c>
      <c r="AC100" s="18">
        <v>776.61999999999966</v>
      </c>
      <c r="AD100" s="18">
        <v>0</v>
      </c>
      <c r="AE100" s="18">
        <v>4237.47768</v>
      </c>
      <c r="AF100" s="18">
        <v>3629.2049999999999</v>
      </c>
      <c r="AG100" s="18">
        <v>130.65138000000002</v>
      </c>
      <c r="AH100" s="18">
        <v>5987.7402000000002</v>
      </c>
      <c r="AI100" s="18">
        <v>179.22000000000011</v>
      </c>
      <c r="AJ100" s="18">
        <v>0</v>
      </c>
      <c r="AK100" s="18">
        <v>4237.47768</v>
      </c>
      <c r="AL100" s="18">
        <v>3629.2049999999999</v>
      </c>
      <c r="AM100" s="18">
        <v>130.65138000000002</v>
      </c>
      <c r="AN100" s="18">
        <v>5987.7402000000002</v>
      </c>
      <c r="AO100" s="18">
        <v>179.22000000000011</v>
      </c>
      <c r="AP100" s="18">
        <v>0</v>
      </c>
      <c r="AQ100" s="18">
        <v>4237.47768</v>
      </c>
      <c r="AR100" s="18">
        <v>3629.2049999999999</v>
      </c>
      <c r="AS100" s="18">
        <v>130.65138000000002</v>
      </c>
      <c r="AT100" s="18">
        <v>5987.7402000000002</v>
      </c>
      <c r="AU100" s="18">
        <v>179.22000000000011</v>
      </c>
      <c r="AV100" s="18">
        <v>0</v>
      </c>
      <c r="AW100" s="18">
        <v>4237.47768</v>
      </c>
      <c r="AX100" s="18">
        <v>3629.2049999999999</v>
      </c>
      <c r="AY100" s="18">
        <v>130.65138000000002</v>
      </c>
      <c r="AZ100" s="18">
        <v>5987.7402000000002</v>
      </c>
      <c r="BA100" s="18">
        <v>179.22000000000011</v>
      </c>
      <c r="BB100" s="18">
        <v>0</v>
      </c>
      <c r="BC100" s="18">
        <v>4237.47768</v>
      </c>
      <c r="BD100" s="18">
        <v>3629.2049999999999</v>
      </c>
      <c r="BE100" s="18">
        <v>130.65138000000002</v>
      </c>
      <c r="BF100" s="18">
        <v>5987.7402000000002</v>
      </c>
      <c r="BG100" s="18">
        <v>179.22000000000011</v>
      </c>
      <c r="BH100" s="18">
        <v>0</v>
      </c>
      <c r="BI100" s="18">
        <v>4237.47768</v>
      </c>
      <c r="BJ100" s="18">
        <v>3629.2049999999999</v>
      </c>
      <c r="BK100" s="18">
        <v>130.65138000000002</v>
      </c>
      <c r="BL100" s="18">
        <v>5987.7402000000002</v>
      </c>
      <c r="BM100" s="18">
        <v>179.22000000000011</v>
      </c>
      <c r="BN100" s="18">
        <v>0</v>
      </c>
      <c r="BO100" s="18">
        <v>4237.47768</v>
      </c>
      <c r="BP100" s="18"/>
      <c r="BQ100" s="18"/>
      <c r="BR100" s="18"/>
      <c r="BS100" s="18"/>
      <c r="BT100" s="10">
        <f>Tabelle58971121[[#This Row],[Mindestauslastung durch]]*Tabelle58971121[[#This Row],[installierte Leistung MW durch]]</f>
        <v>3360.375</v>
      </c>
      <c r="BU100" s="10">
        <f>Tabelle58971121[[#This Row],[Mindestauslastung min]]*Tabelle58971121[[#This Row],[installierte Leistung MW min]]</f>
        <v>3266.2844999999998</v>
      </c>
      <c r="BV100" s="10">
        <f>Tabelle58971121[[#This Row],[Mindestauslastung max]]*Tabelle58971121[[#This Row],[installierte Leistung MW max]]</f>
        <v>3454.4654999999998</v>
      </c>
      <c r="BW100" s="8">
        <v>0.15</v>
      </c>
      <c r="BX100" s="8">
        <v>0.15</v>
      </c>
      <c r="BY100" s="8">
        <v>0.15</v>
      </c>
      <c r="BZ100" s="8"/>
      <c r="CA100" s="8">
        <v>0.13533333333333339</v>
      </c>
      <c r="CB100" s="8">
        <v>6.0000000000000001E-3</v>
      </c>
      <c r="CC100" s="8">
        <v>0.22</v>
      </c>
      <c r="CD100" s="8">
        <v>0.13533333333333339</v>
      </c>
      <c r="CE100" s="8">
        <v>6.0000000000000001E-3</v>
      </c>
      <c r="CF100" s="8">
        <v>0.22</v>
      </c>
      <c r="CG100" s="8">
        <v>0.13533333333333339</v>
      </c>
      <c r="CH100" s="8">
        <v>6.0000000000000001E-3</v>
      </c>
      <c r="CI100" s="8">
        <v>0.22</v>
      </c>
      <c r="CJ100" s="8">
        <v>0.16200000000000001</v>
      </c>
      <c r="CK100" s="8">
        <v>6.0000000000000001E-3</v>
      </c>
      <c r="CL100" s="8">
        <v>0.26</v>
      </c>
      <c r="CM100" s="8">
        <v>0.16200000000000001</v>
      </c>
      <c r="CN100" s="8">
        <v>6.0000000000000001E-3</v>
      </c>
      <c r="CO100" s="8">
        <v>0.26</v>
      </c>
      <c r="CP100" s="8">
        <v>0.16200000000000001</v>
      </c>
      <c r="CQ100" s="8">
        <v>6.0000000000000001E-3</v>
      </c>
      <c r="CR100" s="8">
        <v>0.26</v>
      </c>
      <c r="CS100" s="8">
        <v>0.16200000000000001</v>
      </c>
      <c r="CT100" s="8">
        <v>6.0000000000000001E-3</v>
      </c>
      <c r="CU100" s="8">
        <v>0.26</v>
      </c>
      <c r="CV100" s="8">
        <v>0.16200000000000001</v>
      </c>
      <c r="CW100" s="8">
        <v>6.0000000000000001E-3</v>
      </c>
      <c r="CX100" s="8">
        <v>0.26</v>
      </c>
      <c r="CY100" s="8">
        <v>0.16200000000000001</v>
      </c>
      <c r="CZ100" s="8">
        <v>6.0000000000000001E-3</v>
      </c>
      <c r="DA100" s="8">
        <v>0.26</v>
      </c>
      <c r="DB100" s="8"/>
      <c r="DC100" s="8"/>
      <c r="DD100" s="8"/>
      <c r="DE100" s="48">
        <f>Tabelle58971121[[#This Row],[Durchschnittsauslastung min]]*Tabelle58971121[[#This Row],[installierte Leistung MW min]]</f>
        <v>0</v>
      </c>
      <c r="DF100" s="48">
        <f>Tabelle58971121[[#This Row],[Durchschnittsauslastung durch]]*Tabelle58971121[[#This Row],[installierte Leistung MW durch]]</f>
        <v>0</v>
      </c>
      <c r="DG100" s="48">
        <f>Tabelle58971121[[#This Row],[Durchschnittsauslastung max]]*Tabelle58971121[[#This Row],[installierte Leistung MW max]]</f>
        <v>0</v>
      </c>
      <c r="DH100" s="87">
        <f>Tabelle58971121[[#This Row],[Maximalauslastung durch]]*Tabelle58971121[[#This Row],[installierte Leistung MW min]]</f>
        <v>3701.7891000000004</v>
      </c>
      <c r="DI100" s="48">
        <f>Tabelle58971121[[#This Row],[Maximalauslastung durch]]*Tabelle58971121[[#This Row],[installierte Leistung MW durch]]</f>
        <v>3808.4250000000002</v>
      </c>
      <c r="DJ100" s="18">
        <f>Tabelle58971121[[#This Row],[Maximalauslastung max]]*Tabelle58971121[[#This Row],[installierte Leistung MW durch]]</f>
        <v>4256.4750000000004</v>
      </c>
      <c r="DK100" s="8">
        <v>0.17</v>
      </c>
      <c r="DL100" s="8">
        <v>0.15</v>
      </c>
      <c r="DM100" s="8">
        <v>0.19</v>
      </c>
      <c r="DN100" s="1">
        <v>22402.5</v>
      </c>
      <c r="DO100" s="1">
        <v>21775.23</v>
      </c>
      <c r="DP100" s="1">
        <v>23029.77</v>
      </c>
      <c r="DQ100" s="18"/>
      <c r="DR100" s="18"/>
      <c r="DW100" s="1">
        <v>4</v>
      </c>
      <c r="DX100" s="1">
        <v>3.2</v>
      </c>
      <c r="DY100" s="1">
        <v>4.8</v>
      </c>
      <c r="DZ100" s="1">
        <v>8</v>
      </c>
      <c r="EA100" s="1">
        <v>6.4</v>
      </c>
      <c r="EB100" s="1">
        <v>9.6</v>
      </c>
      <c r="EC100" s="1">
        <v>24</v>
      </c>
      <c r="ED100" s="1">
        <v>24</v>
      </c>
      <c r="EE100" s="1">
        <v>24</v>
      </c>
      <c r="EF100" s="1">
        <v>7.5</v>
      </c>
      <c r="EG100" s="1">
        <v>4.4000000000000004</v>
      </c>
      <c r="EH100" s="1">
        <v>10.6</v>
      </c>
      <c r="EL100" s="1">
        <v>365</v>
      </c>
      <c r="EM100" s="1">
        <v>328</v>
      </c>
      <c r="EN100" s="1">
        <v>402</v>
      </c>
      <c r="EO100" s="10"/>
      <c r="EP100" s="10"/>
      <c r="EQ100" s="10"/>
      <c r="ER100" s="1">
        <v>365</v>
      </c>
      <c r="ES100" s="1">
        <v>328</v>
      </c>
      <c r="ET100" s="1">
        <v>402</v>
      </c>
      <c r="EU100" s="1">
        <v>145.52352941176468</v>
      </c>
      <c r="EV100" s="18">
        <v>130.9711764705882</v>
      </c>
      <c r="EW100" s="18">
        <v>160.07588235294116</v>
      </c>
      <c r="EX100" s="18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>
        <v>9.972941176470588</v>
      </c>
      <c r="FK100" s="7">
        <v>3.5617647058823536</v>
      </c>
      <c r="FL100" s="7">
        <v>16.384117647058822</v>
      </c>
      <c r="FO100" s="1">
        <v>67</v>
      </c>
      <c r="FP100" s="1">
        <v>67</v>
      </c>
      <c r="FQ100" s="1">
        <v>67</v>
      </c>
      <c r="FR100" s="12" t="s">
        <v>743</v>
      </c>
      <c r="FS100" s="12" t="s">
        <v>743</v>
      </c>
      <c r="FT100" s="12" t="s">
        <v>743</v>
      </c>
      <c r="FU100" s="12"/>
      <c r="FV100" s="12" t="s">
        <v>743</v>
      </c>
      <c r="FW100" s="12" t="s">
        <v>743</v>
      </c>
      <c r="FX100" s="12" t="s">
        <v>743</v>
      </c>
      <c r="FY100" s="12" t="s">
        <v>743</v>
      </c>
      <c r="FZ100" s="12" t="s">
        <v>743</v>
      </c>
      <c r="GA100" s="12" t="s">
        <v>743</v>
      </c>
      <c r="GB100" s="12" t="s">
        <v>743</v>
      </c>
      <c r="GE100" s="12" t="s">
        <v>743</v>
      </c>
      <c r="GF100" s="12" t="s">
        <v>743</v>
      </c>
      <c r="GH100" s="12" t="s">
        <v>743</v>
      </c>
    </row>
    <row r="101" spans="1:193" ht="12.75" customHeight="1" x14ac:dyDescent="0.2">
      <c r="A101" s="1" t="s">
        <v>138</v>
      </c>
      <c r="B101" s="1" t="s">
        <v>684</v>
      </c>
      <c r="E101" s="1" t="s">
        <v>142</v>
      </c>
      <c r="F101" s="1">
        <v>2</v>
      </c>
      <c r="G101" s="1">
        <v>2030</v>
      </c>
      <c r="H101" s="1">
        <v>1</v>
      </c>
      <c r="I101" s="1">
        <v>0</v>
      </c>
      <c r="J101" s="1">
        <v>0</v>
      </c>
      <c r="K101" s="18"/>
      <c r="L101" s="18"/>
      <c r="M101" s="18"/>
      <c r="N101" s="18">
        <v>3061.2400000000002</v>
      </c>
      <c r="O101" s="18">
        <v>131.91984000000002</v>
      </c>
      <c r="P101" s="18">
        <v>5115.7392</v>
      </c>
      <c r="Q101" s="18">
        <v>784.15999999999963</v>
      </c>
      <c r="R101" s="18">
        <v>0</v>
      </c>
      <c r="S101" s="18">
        <v>4278.6182399999998</v>
      </c>
      <c r="T101" s="18">
        <v>3061.2400000000002</v>
      </c>
      <c r="U101" s="18">
        <v>131.91984000000002</v>
      </c>
      <c r="V101" s="18">
        <v>5115.7392</v>
      </c>
      <c r="W101" s="18">
        <v>784.15999999999963</v>
      </c>
      <c r="X101" s="18">
        <v>0</v>
      </c>
      <c r="Y101" s="18">
        <v>4278.6182399999998</v>
      </c>
      <c r="Z101" s="18">
        <v>3061.2400000000002</v>
      </c>
      <c r="AA101" s="18">
        <v>131.91984000000002</v>
      </c>
      <c r="AB101" s="18">
        <v>5115.7392</v>
      </c>
      <c r="AC101" s="18">
        <v>784.15999999999963</v>
      </c>
      <c r="AD101" s="18">
        <v>0</v>
      </c>
      <c r="AE101" s="18">
        <v>4278.6182399999998</v>
      </c>
      <c r="AF101" s="18">
        <v>3664.44</v>
      </c>
      <c r="AG101" s="18">
        <v>131.91984000000002</v>
      </c>
      <c r="AH101" s="18">
        <v>6045.8736000000008</v>
      </c>
      <c r="AI101" s="18">
        <v>180.96000000000012</v>
      </c>
      <c r="AJ101" s="18">
        <v>0</v>
      </c>
      <c r="AK101" s="18">
        <v>4278.6182399999998</v>
      </c>
      <c r="AL101" s="18">
        <v>3664.44</v>
      </c>
      <c r="AM101" s="18">
        <v>131.91984000000002</v>
      </c>
      <c r="AN101" s="18">
        <v>6045.8736000000008</v>
      </c>
      <c r="AO101" s="18">
        <v>180.96000000000012</v>
      </c>
      <c r="AP101" s="18">
        <v>0</v>
      </c>
      <c r="AQ101" s="18">
        <v>4278.6182399999998</v>
      </c>
      <c r="AR101" s="18">
        <v>3664.44</v>
      </c>
      <c r="AS101" s="18">
        <v>131.91984000000002</v>
      </c>
      <c r="AT101" s="18">
        <v>6045.8736000000008</v>
      </c>
      <c r="AU101" s="18">
        <v>180.96000000000012</v>
      </c>
      <c r="AV101" s="18">
        <v>0</v>
      </c>
      <c r="AW101" s="18">
        <v>4278.6182399999998</v>
      </c>
      <c r="AX101" s="18">
        <v>3664.44</v>
      </c>
      <c r="AY101" s="18">
        <v>131.91984000000002</v>
      </c>
      <c r="AZ101" s="18">
        <v>6045.8736000000008</v>
      </c>
      <c r="BA101" s="18">
        <v>180.96000000000012</v>
      </c>
      <c r="BB101" s="18">
        <v>0</v>
      </c>
      <c r="BC101" s="18">
        <v>4278.6182399999998</v>
      </c>
      <c r="BD101" s="18">
        <v>3664.44</v>
      </c>
      <c r="BE101" s="18">
        <v>131.91984000000002</v>
      </c>
      <c r="BF101" s="18">
        <v>6045.8736000000008</v>
      </c>
      <c r="BG101" s="18">
        <v>180.96000000000012</v>
      </c>
      <c r="BH101" s="18">
        <v>0</v>
      </c>
      <c r="BI101" s="18">
        <v>4278.6182399999998</v>
      </c>
      <c r="BJ101" s="18">
        <v>3664.44</v>
      </c>
      <c r="BK101" s="18">
        <v>131.91984000000002</v>
      </c>
      <c r="BL101" s="18">
        <v>6045.8736000000008</v>
      </c>
      <c r="BM101" s="18">
        <v>180.96000000000012</v>
      </c>
      <c r="BN101" s="18">
        <v>0</v>
      </c>
      <c r="BO101" s="18">
        <v>4278.6182399999998</v>
      </c>
      <c r="BP101" s="18"/>
      <c r="BQ101" s="18"/>
      <c r="BR101" s="18"/>
      <c r="BS101" s="18"/>
      <c r="BT101" s="10">
        <f>Tabelle58971121[[#This Row],[Mindestauslastung durch]]*Tabelle58971121[[#This Row],[installierte Leistung MW durch]]</f>
        <v>3393</v>
      </c>
      <c r="BU101" s="10">
        <f>Tabelle58971121[[#This Row],[Mindestauslastung min]]*Tabelle58971121[[#This Row],[installierte Leistung MW min]]</f>
        <v>3297.9959999999996</v>
      </c>
      <c r="BV101" s="10">
        <f>Tabelle58971121[[#This Row],[Mindestauslastung max]]*Tabelle58971121[[#This Row],[installierte Leistung MW max]]</f>
        <v>3488.0039999999999</v>
      </c>
      <c r="BW101" s="8">
        <v>0.15</v>
      </c>
      <c r="BX101" s="8">
        <v>0.15</v>
      </c>
      <c r="BY101" s="8">
        <v>0.15</v>
      </c>
      <c r="BZ101" s="8"/>
      <c r="CA101" s="8">
        <v>0.13533333333333339</v>
      </c>
      <c r="CB101" s="8">
        <v>6.0000000000000001E-3</v>
      </c>
      <c r="CC101" s="8">
        <v>0.22</v>
      </c>
      <c r="CD101" s="8">
        <v>0.13533333333333339</v>
      </c>
      <c r="CE101" s="8">
        <v>6.0000000000000001E-3</v>
      </c>
      <c r="CF101" s="8">
        <v>0.22</v>
      </c>
      <c r="CG101" s="8">
        <v>0.13533333333333339</v>
      </c>
      <c r="CH101" s="8">
        <v>6.0000000000000001E-3</v>
      </c>
      <c r="CI101" s="8">
        <v>0.22</v>
      </c>
      <c r="CJ101" s="8">
        <v>0.16200000000000001</v>
      </c>
      <c r="CK101" s="8">
        <v>6.0000000000000001E-3</v>
      </c>
      <c r="CL101" s="8">
        <v>0.26</v>
      </c>
      <c r="CM101" s="8">
        <v>0.16200000000000001</v>
      </c>
      <c r="CN101" s="8">
        <v>6.0000000000000001E-3</v>
      </c>
      <c r="CO101" s="8">
        <v>0.26</v>
      </c>
      <c r="CP101" s="8">
        <v>0.16200000000000001</v>
      </c>
      <c r="CQ101" s="8">
        <v>6.0000000000000001E-3</v>
      </c>
      <c r="CR101" s="8">
        <v>0.26</v>
      </c>
      <c r="CS101" s="8">
        <v>0.16200000000000001</v>
      </c>
      <c r="CT101" s="8">
        <v>6.0000000000000001E-3</v>
      </c>
      <c r="CU101" s="8">
        <v>0.26</v>
      </c>
      <c r="CV101" s="8">
        <v>0.16200000000000001</v>
      </c>
      <c r="CW101" s="8">
        <v>6.0000000000000001E-3</v>
      </c>
      <c r="CX101" s="8">
        <v>0.26</v>
      </c>
      <c r="CY101" s="8">
        <v>0.16200000000000001</v>
      </c>
      <c r="CZ101" s="8">
        <v>6.0000000000000001E-3</v>
      </c>
      <c r="DA101" s="8">
        <v>0.26</v>
      </c>
      <c r="DB101" s="8"/>
      <c r="DC101" s="8"/>
      <c r="DD101" s="8"/>
      <c r="DE101" s="48">
        <f>Tabelle58971121[[#This Row],[Durchschnittsauslastung min]]*Tabelle58971121[[#This Row],[installierte Leistung MW min]]</f>
        <v>0</v>
      </c>
      <c r="DF101" s="48">
        <f>Tabelle58971121[[#This Row],[Durchschnittsauslastung durch]]*Tabelle58971121[[#This Row],[installierte Leistung MW durch]]</f>
        <v>0</v>
      </c>
      <c r="DG101" s="48">
        <f>Tabelle58971121[[#This Row],[Durchschnittsauslastung max]]*Tabelle58971121[[#This Row],[installierte Leistung MW max]]</f>
        <v>0</v>
      </c>
      <c r="DH101" s="87">
        <f>Tabelle58971121[[#This Row],[Maximalauslastung durch]]*Tabelle58971121[[#This Row],[installierte Leistung MW min]]</f>
        <v>3737.7288000000003</v>
      </c>
      <c r="DI101" s="48">
        <f>Tabelle58971121[[#This Row],[Maximalauslastung durch]]*Tabelle58971121[[#This Row],[installierte Leistung MW durch]]</f>
        <v>3845.4</v>
      </c>
      <c r="DJ101" s="18">
        <f>Tabelle58971121[[#This Row],[Maximalauslastung max]]*Tabelle58971121[[#This Row],[installierte Leistung MW durch]]</f>
        <v>4297.8</v>
      </c>
      <c r="DK101" s="8">
        <v>0.17</v>
      </c>
      <c r="DL101" s="8">
        <v>0.15</v>
      </c>
      <c r="DM101" s="8">
        <v>0.19</v>
      </c>
      <c r="DN101" s="1">
        <v>22620</v>
      </c>
      <c r="DO101" s="1">
        <v>21986.639999999999</v>
      </c>
      <c r="DP101" s="1">
        <v>23253.360000000001</v>
      </c>
      <c r="DQ101" s="18"/>
      <c r="DR101" s="18"/>
      <c r="DW101" s="1">
        <v>4</v>
      </c>
      <c r="DX101" s="1">
        <v>3.2</v>
      </c>
      <c r="DY101" s="1">
        <v>4.8</v>
      </c>
      <c r="DZ101" s="1">
        <v>8</v>
      </c>
      <c r="EA101" s="1">
        <v>6.4</v>
      </c>
      <c r="EB101" s="1">
        <v>9.6</v>
      </c>
      <c r="EC101" s="1">
        <v>24</v>
      </c>
      <c r="ED101" s="1">
        <v>24</v>
      </c>
      <c r="EE101" s="1">
        <v>24</v>
      </c>
      <c r="EF101" s="1">
        <v>7.5</v>
      </c>
      <c r="EG101" s="1">
        <v>4.4000000000000004</v>
      </c>
      <c r="EH101" s="1">
        <v>10.6</v>
      </c>
      <c r="EL101" s="1">
        <v>365</v>
      </c>
      <c r="EM101" s="1">
        <v>328</v>
      </c>
      <c r="EN101" s="1">
        <v>402</v>
      </c>
      <c r="EO101" s="10"/>
      <c r="EP101" s="10"/>
      <c r="EQ101" s="10"/>
      <c r="ER101" s="1">
        <v>365</v>
      </c>
      <c r="ES101" s="1">
        <v>328</v>
      </c>
      <c r="ET101" s="1">
        <v>402</v>
      </c>
      <c r="EU101" s="1">
        <v>145.52352941176468</v>
      </c>
      <c r="EV101" s="18">
        <v>130.9711764705882</v>
      </c>
      <c r="EW101" s="18">
        <v>160.07588235294116</v>
      </c>
      <c r="EX101" s="18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>
        <v>9.972941176470588</v>
      </c>
      <c r="FK101" s="7">
        <v>3.5617647058823536</v>
      </c>
      <c r="FL101" s="7">
        <v>16.384117647058822</v>
      </c>
      <c r="FO101" s="1">
        <v>67</v>
      </c>
      <c r="FP101" s="1">
        <v>67</v>
      </c>
      <c r="FQ101" s="1">
        <v>67</v>
      </c>
      <c r="FR101" s="12" t="s">
        <v>743</v>
      </c>
      <c r="FS101" s="12" t="s">
        <v>743</v>
      </c>
      <c r="FT101" s="12" t="s">
        <v>743</v>
      </c>
      <c r="FU101" s="12"/>
      <c r="FV101" s="12" t="s">
        <v>743</v>
      </c>
      <c r="FW101" s="12" t="s">
        <v>743</v>
      </c>
      <c r="FX101" s="12" t="s">
        <v>743</v>
      </c>
      <c r="FY101" s="12" t="s">
        <v>743</v>
      </c>
      <c r="FZ101" s="12" t="s">
        <v>743</v>
      </c>
      <c r="GA101" s="12" t="s">
        <v>743</v>
      </c>
      <c r="GB101" s="12" t="s">
        <v>743</v>
      </c>
      <c r="GE101" s="12" t="s">
        <v>743</v>
      </c>
      <c r="GF101" s="12" t="s">
        <v>743</v>
      </c>
      <c r="GH101" s="12" t="s">
        <v>743</v>
      </c>
    </row>
    <row r="102" spans="1:193" ht="12.75" customHeight="1" x14ac:dyDescent="0.2">
      <c r="A102" s="1" t="s">
        <v>138</v>
      </c>
      <c r="B102" s="1" t="s">
        <v>684</v>
      </c>
      <c r="E102" s="1" t="s">
        <v>142</v>
      </c>
      <c r="F102" s="1">
        <v>2</v>
      </c>
      <c r="G102" s="1">
        <v>2035</v>
      </c>
      <c r="H102" s="1">
        <v>1</v>
      </c>
      <c r="I102" s="1">
        <v>0</v>
      </c>
      <c r="J102" s="1">
        <v>0</v>
      </c>
      <c r="K102" s="18"/>
      <c r="L102" s="18"/>
      <c r="M102" s="18"/>
      <c r="N102" s="18">
        <v>2649.15</v>
      </c>
      <c r="O102" s="18">
        <v>114.1614</v>
      </c>
      <c r="P102" s="18">
        <v>4427.0819999999994</v>
      </c>
      <c r="Q102" s="18">
        <v>678.59999999999968</v>
      </c>
      <c r="R102" s="18">
        <v>0</v>
      </c>
      <c r="S102" s="18">
        <v>3702.6503999999995</v>
      </c>
      <c r="T102" s="18">
        <v>2649.15</v>
      </c>
      <c r="U102" s="18">
        <v>114.1614</v>
      </c>
      <c r="V102" s="18">
        <v>4427.0819999999994</v>
      </c>
      <c r="W102" s="18">
        <v>678.59999999999968</v>
      </c>
      <c r="X102" s="18">
        <v>0</v>
      </c>
      <c r="Y102" s="18">
        <v>3702.6503999999995</v>
      </c>
      <c r="Z102" s="18">
        <v>2649.15</v>
      </c>
      <c r="AA102" s="18">
        <v>114.1614</v>
      </c>
      <c r="AB102" s="18">
        <v>4427.0819999999994</v>
      </c>
      <c r="AC102" s="18">
        <v>678.59999999999968</v>
      </c>
      <c r="AD102" s="18">
        <v>0</v>
      </c>
      <c r="AE102" s="18">
        <v>3702.6503999999995</v>
      </c>
      <c r="AF102" s="18">
        <v>3171.15</v>
      </c>
      <c r="AG102" s="18">
        <v>114.1614</v>
      </c>
      <c r="AH102" s="18">
        <v>5232.0060000000003</v>
      </c>
      <c r="AI102" s="18">
        <v>156.60000000000011</v>
      </c>
      <c r="AJ102" s="18">
        <v>0</v>
      </c>
      <c r="AK102" s="18">
        <v>3702.6503999999995</v>
      </c>
      <c r="AL102" s="18">
        <v>3171.15</v>
      </c>
      <c r="AM102" s="18">
        <v>114.1614</v>
      </c>
      <c r="AN102" s="18">
        <v>5232.0060000000003</v>
      </c>
      <c r="AO102" s="18">
        <v>156.60000000000011</v>
      </c>
      <c r="AP102" s="18">
        <v>0</v>
      </c>
      <c r="AQ102" s="18">
        <v>3702.6503999999995</v>
      </c>
      <c r="AR102" s="18">
        <v>3171.15</v>
      </c>
      <c r="AS102" s="18">
        <v>114.1614</v>
      </c>
      <c r="AT102" s="18">
        <v>5232.0060000000003</v>
      </c>
      <c r="AU102" s="18">
        <v>156.60000000000011</v>
      </c>
      <c r="AV102" s="18">
        <v>0</v>
      </c>
      <c r="AW102" s="18">
        <v>3702.6503999999995</v>
      </c>
      <c r="AX102" s="18">
        <v>3171.15</v>
      </c>
      <c r="AY102" s="18">
        <v>114.1614</v>
      </c>
      <c r="AZ102" s="18">
        <v>5232.0060000000003</v>
      </c>
      <c r="BA102" s="18">
        <v>156.60000000000011</v>
      </c>
      <c r="BB102" s="18">
        <v>0</v>
      </c>
      <c r="BC102" s="18">
        <v>3702.6503999999995</v>
      </c>
      <c r="BD102" s="18">
        <v>3171.15</v>
      </c>
      <c r="BE102" s="18">
        <v>114.1614</v>
      </c>
      <c r="BF102" s="18">
        <v>5232.0060000000003</v>
      </c>
      <c r="BG102" s="18">
        <v>156.60000000000011</v>
      </c>
      <c r="BH102" s="18">
        <v>0</v>
      </c>
      <c r="BI102" s="18">
        <v>3702.6503999999995</v>
      </c>
      <c r="BJ102" s="18">
        <v>3171.15</v>
      </c>
      <c r="BK102" s="18">
        <v>114.1614</v>
      </c>
      <c r="BL102" s="18">
        <v>5232.0060000000003</v>
      </c>
      <c r="BM102" s="18">
        <v>156.60000000000011</v>
      </c>
      <c r="BN102" s="18">
        <v>0</v>
      </c>
      <c r="BO102" s="18">
        <v>3702.6503999999995</v>
      </c>
      <c r="BP102" s="18"/>
      <c r="BQ102" s="18"/>
      <c r="BR102" s="18"/>
      <c r="BS102" s="18"/>
      <c r="BT102" s="10">
        <f>Tabelle58971121[[#This Row],[Mindestauslastung durch]]*Tabelle58971121[[#This Row],[installierte Leistung MW durch]]</f>
        <v>2936.25</v>
      </c>
      <c r="BU102" s="10">
        <f>Tabelle58971121[[#This Row],[Mindestauslastung min]]*Tabelle58971121[[#This Row],[installierte Leistung MW min]]</f>
        <v>2854.0350000000003</v>
      </c>
      <c r="BV102" s="10">
        <f>Tabelle58971121[[#This Row],[Mindestauslastung max]]*Tabelle58971121[[#This Row],[installierte Leistung MW max]]</f>
        <v>3018.4649999999997</v>
      </c>
      <c r="BW102" s="8">
        <v>0.15</v>
      </c>
      <c r="BX102" s="8">
        <v>0.15</v>
      </c>
      <c r="BY102" s="8">
        <v>0.15</v>
      </c>
      <c r="BZ102" s="8"/>
      <c r="CA102" s="8">
        <v>0.13533333333333339</v>
      </c>
      <c r="CB102" s="8">
        <v>6.0000000000000001E-3</v>
      </c>
      <c r="CC102" s="8">
        <v>0.22</v>
      </c>
      <c r="CD102" s="8">
        <v>0.13533333333333339</v>
      </c>
      <c r="CE102" s="8">
        <v>6.0000000000000001E-3</v>
      </c>
      <c r="CF102" s="8">
        <v>0.22</v>
      </c>
      <c r="CG102" s="8">
        <v>0.13533333333333339</v>
      </c>
      <c r="CH102" s="8">
        <v>6.0000000000000001E-3</v>
      </c>
      <c r="CI102" s="8">
        <v>0.22</v>
      </c>
      <c r="CJ102" s="8">
        <v>0.16200000000000001</v>
      </c>
      <c r="CK102" s="8">
        <v>6.0000000000000001E-3</v>
      </c>
      <c r="CL102" s="8">
        <v>0.26</v>
      </c>
      <c r="CM102" s="8">
        <v>0.16200000000000001</v>
      </c>
      <c r="CN102" s="8">
        <v>6.0000000000000001E-3</v>
      </c>
      <c r="CO102" s="8">
        <v>0.26</v>
      </c>
      <c r="CP102" s="8">
        <v>0.16200000000000001</v>
      </c>
      <c r="CQ102" s="8">
        <v>6.0000000000000001E-3</v>
      </c>
      <c r="CR102" s="8">
        <v>0.26</v>
      </c>
      <c r="CS102" s="8">
        <v>0.16200000000000001</v>
      </c>
      <c r="CT102" s="8">
        <v>6.0000000000000001E-3</v>
      </c>
      <c r="CU102" s="8">
        <v>0.26</v>
      </c>
      <c r="CV102" s="8">
        <v>0.16200000000000001</v>
      </c>
      <c r="CW102" s="8">
        <v>6.0000000000000001E-3</v>
      </c>
      <c r="CX102" s="8">
        <v>0.26</v>
      </c>
      <c r="CY102" s="8">
        <v>0.16200000000000001</v>
      </c>
      <c r="CZ102" s="8">
        <v>6.0000000000000001E-3</v>
      </c>
      <c r="DA102" s="8">
        <v>0.26</v>
      </c>
      <c r="DB102" s="8"/>
      <c r="DC102" s="8"/>
      <c r="DD102" s="8"/>
      <c r="DE102" s="48">
        <f>Tabelle58971121[[#This Row],[Durchschnittsauslastung min]]*Tabelle58971121[[#This Row],[installierte Leistung MW min]]</f>
        <v>0</v>
      </c>
      <c r="DF102" s="48">
        <f>Tabelle58971121[[#This Row],[Durchschnittsauslastung durch]]*Tabelle58971121[[#This Row],[installierte Leistung MW durch]]</f>
        <v>0</v>
      </c>
      <c r="DG102" s="48">
        <f>Tabelle58971121[[#This Row],[Durchschnittsauslastung max]]*Tabelle58971121[[#This Row],[installierte Leistung MW max]]</f>
        <v>0</v>
      </c>
      <c r="DH102" s="87">
        <f>Tabelle58971121[[#This Row],[Maximalauslastung durch]]*Tabelle58971121[[#This Row],[installierte Leistung MW min]]</f>
        <v>3234.5730000000003</v>
      </c>
      <c r="DI102" s="48">
        <f>Tabelle58971121[[#This Row],[Maximalauslastung durch]]*Tabelle58971121[[#This Row],[installierte Leistung MW durch]]</f>
        <v>3327.7500000000005</v>
      </c>
      <c r="DJ102" s="18">
        <f>Tabelle58971121[[#This Row],[Maximalauslastung max]]*Tabelle58971121[[#This Row],[installierte Leistung MW durch]]</f>
        <v>3719.25</v>
      </c>
      <c r="DK102" s="8">
        <v>0.17</v>
      </c>
      <c r="DL102" s="8">
        <v>0.15</v>
      </c>
      <c r="DM102" s="8">
        <v>0.19</v>
      </c>
      <c r="DN102" s="1">
        <v>19575</v>
      </c>
      <c r="DO102" s="1">
        <v>19026.900000000001</v>
      </c>
      <c r="DP102" s="1">
        <v>20123.099999999999</v>
      </c>
      <c r="DQ102" s="18"/>
      <c r="DR102" s="18"/>
      <c r="DW102" s="1">
        <v>4</v>
      </c>
      <c r="DX102" s="1">
        <v>3.2</v>
      </c>
      <c r="DY102" s="1">
        <v>4.8</v>
      </c>
      <c r="DZ102" s="1">
        <v>8</v>
      </c>
      <c r="EA102" s="1">
        <v>6.4</v>
      </c>
      <c r="EB102" s="1">
        <v>9.6</v>
      </c>
      <c r="EC102" s="1">
        <v>24</v>
      </c>
      <c r="ED102" s="1">
        <v>24</v>
      </c>
      <c r="EE102" s="1">
        <v>24</v>
      </c>
      <c r="EF102" s="1">
        <v>7.5</v>
      </c>
      <c r="EG102" s="1">
        <v>4.4000000000000004</v>
      </c>
      <c r="EH102" s="1">
        <v>10.6</v>
      </c>
      <c r="EL102" s="1">
        <v>365</v>
      </c>
      <c r="EM102" s="1">
        <v>328</v>
      </c>
      <c r="EN102" s="1">
        <v>402</v>
      </c>
      <c r="EO102" s="10"/>
      <c r="EP102" s="10"/>
      <c r="EQ102" s="10"/>
      <c r="ER102" s="1">
        <v>365</v>
      </c>
      <c r="ES102" s="1">
        <v>328</v>
      </c>
      <c r="ET102" s="1">
        <v>402</v>
      </c>
      <c r="EU102" s="1">
        <v>145.52352941176468</v>
      </c>
      <c r="EV102" s="18">
        <v>130.9711764705882</v>
      </c>
      <c r="EW102" s="18">
        <v>160.07588235294116</v>
      </c>
      <c r="EX102" s="18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>
        <v>9.972941176470588</v>
      </c>
      <c r="FK102" s="7">
        <v>3.5617647058823536</v>
      </c>
      <c r="FL102" s="7">
        <v>16.384117647058822</v>
      </c>
      <c r="FO102" s="1">
        <v>67</v>
      </c>
      <c r="FP102" s="1">
        <v>67</v>
      </c>
      <c r="FQ102" s="1">
        <v>67</v>
      </c>
      <c r="FR102" s="12" t="s">
        <v>743</v>
      </c>
      <c r="FS102" s="12" t="s">
        <v>743</v>
      </c>
      <c r="FT102" s="12" t="s">
        <v>743</v>
      </c>
      <c r="FU102" s="12"/>
      <c r="FV102" s="12" t="s">
        <v>743</v>
      </c>
      <c r="FW102" s="12" t="s">
        <v>743</v>
      </c>
      <c r="FX102" s="12" t="s">
        <v>743</v>
      </c>
      <c r="FY102" s="12" t="s">
        <v>743</v>
      </c>
      <c r="FZ102" s="12" t="s">
        <v>743</v>
      </c>
      <c r="GA102" s="12" t="s">
        <v>743</v>
      </c>
      <c r="GB102" s="12" t="s">
        <v>743</v>
      </c>
      <c r="GE102" s="12" t="s">
        <v>743</v>
      </c>
      <c r="GF102" s="12" t="s">
        <v>743</v>
      </c>
      <c r="GH102" s="12" t="s">
        <v>743</v>
      </c>
    </row>
    <row r="103" spans="1:193" x14ac:dyDescent="0.2">
      <c r="A103" s="1" t="s">
        <v>138</v>
      </c>
      <c r="B103" s="1" t="s">
        <v>684</v>
      </c>
      <c r="E103" s="1" t="s">
        <v>142</v>
      </c>
      <c r="F103" s="1">
        <v>2</v>
      </c>
      <c r="G103" s="1">
        <v>2040</v>
      </c>
      <c r="H103" s="1">
        <v>1</v>
      </c>
      <c r="I103" s="1">
        <v>0</v>
      </c>
      <c r="J103" s="1">
        <v>0</v>
      </c>
      <c r="K103" s="18"/>
      <c r="L103" s="18"/>
      <c r="M103" s="18"/>
      <c r="N103" s="18">
        <v>2266.4949999999999</v>
      </c>
      <c r="O103" s="18">
        <v>97.671420000000012</v>
      </c>
      <c r="P103" s="18">
        <v>3787.6145999999999</v>
      </c>
      <c r="Q103" s="18">
        <v>580.5799999999997</v>
      </c>
      <c r="R103" s="18">
        <v>0</v>
      </c>
      <c r="S103" s="18">
        <v>3167.8231199999996</v>
      </c>
      <c r="T103" s="18">
        <v>2266.4949999999999</v>
      </c>
      <c r="U103" s="18">
        <v>97.671420000000012</v>
      </c>
      <c r="V103" s="18">
        <v>3787.6145999999999</v>
      </c>
      <c r="W103" s="18">
        <v>580.5799999999997</v>
      </c>
      <c r="X103" s="18">
        <v>0</v>
      </c>
      <c r="Y103" s="18">
        <v>3167.8231199999996</v>
      </c>
      <c r="Z103" s="18">
        <v>2266.4949999999999</v>
      </c>
      <c r="AA103" s="18">
        <v>97.671420000000012</v>
      </c>
      <c r="AB103" s="18">
        <v>3787.6145999999999</v>
      </c>
      <c r="AC103" s="18">
        <v>580.5799999999997</v>
      </c>
      <c r="AD103" s="18">
        <v>0</v>
      </c>
      <c r="AE103" s="18">
        <v>3167.8231199999996</v>
      </c>
      <c r="AF103" s="18">
        <v>2713.0950000000003</v>
      </c>
      <c r="AG103" s="18">
        <v>97.671420000000012</v>
      </c>
      <c r="AH103" s="18">
        <v>4476.2718000000004</v>
      </c>
      <c r="AI103" s="18">
        <v>133.9800000000001</v>
      </c>
      <c r="AJ103" s="18">
        <v>0</v>
      </c>
      <c r="AK103" s="18">
        <v>3167.8231199999996</v>
      </c>
      <c r="AL103" s="18">
        <v>2713.0950000000003</v>
      </c>
      <c r="AM103" s="18">
        <v>97.671420000000012</v>
      </c>
      <c r="AN103" s="18">
        <v>4476.2718000000004</v>
      </c>
      <c r="AO103" s="18">
        <v>133.9800000000001</v>
      </c>
      <c r="AP103" s="18">
        <v>0</v>
      </c>
      <c r="AQ103" s="18">
        <v>3167.8231199999996</v>
      </c>
      <c r="AR103" s="18">
        <v>2713.0950000000003</v>
      </c>
      <c r="AS103" s="18">
        <v>97.671420000000012</v>
      </c>
      <c r="AT103" s="18">
        <v>4476.2718000000004</v>
      </c>
      <c r="AU103" s="18">
        <v>133.9800000000001</v>
      </c>
      <c r="AV103" s="18">
        <v>0</v>
      </c>
      <c r="AW103" s="18">
        <v>3167.8231199999996</v>
      </c>
      <c r="AX103" s="18">
        <v>2713.0950000000003</v>
      </c>
      <c r="AY103" s="18">
        <v>97.671420000000012</v>
      </c>
      <c r="AZ103" s="18">
        <v>4476.2718000000004</v>
      </c>
      <c r="BA103" s="18">
        <v>133.9800000000001</v>
      </c>
      <c r="BB103" s="18">
        <v>0</v>
      </c>
      <c r="BC103" s="18">
        <v>3167.8231199999996</v>
      </c>
      <c r="BD103" s="18">
        <v>2713.0950000000003</v>
      </c>
      <c r="BE103" s="18">
        <v>97.671420000000012</v>
      </c>
      <c r="BF103" s="18">
        <v>4476.2718000000004</v>
      </c>
      <c r="BG103" s="18">
        <v>133.9800000000001</v>
      </c>
      <c r="BH103" s="18">
        <v>0</v>
      </c>
      <c r="BI103" s="18">
        <v>3167.8231199999996</v>
      </c>
      <c r="BJ103" s="18">
        <v>2713.0950000000003</v>
      </c>
      <c r="BK103" s="18">
        <v>97.671420000000012</v>
      </c>
      <c r="BL103" s="18">
        <v>4476.2718000000004</v>
      </c>
      <c r="BM103" s="18">
        <v>133.9800000000001</v>
      </c>
      <c r="BN103" s="18">
        <v>0</v>
      </c>
      <c r="BO103" s="18">
        <v>3167.8231199999996</v>
      </c>
      <c r="BP103" s="18"/>
      <c r="BQ103" s="18"/>
      <c r="BR103" s="18"/>
      <c r="BS103" s="18"/>
      <c r="BT103" s="10">
        <f>Tabelle58971121[[#This Row],[Mindestauslastung durch]]*Tabelle58971121[[#This Row],[installierte Leistung MW durch]]</f>
        <v>2512.125</v>
      </c>
      <c r="BU103" s="10">
        <f>Tabelle58971121[[#This Row],[Mindestauslastung min]]*Tabelle58971121[[#This Row],[installierte Leistung MW min]]</f>
        <v>2441.7855</v>
      </c>
      <c r="BV103" s="10">
        <f>Tabelle58971121[[#This Row],[Mindestauslastung max]]*Tabelle58971121[[#This Row],[installierte Leistung MW max]]</f>
        <v>2582.4645</v>
      </c>
      <c r="BW103" s="8">
        <v>0.15</v>
      </c>
      <c r="BX103" s="8">
        <v>0.15</v>
      </c>
      <c r="BY103" s="8">
        <v>0.15</v>
      </c>
      <c r="BZ103" s="8"/>
      <c r="CA103" s="8">
        <v>0.13533333333333339</v>
      </c>
      <c r="CB103" s="8">
        <v>6.0000000000000001E-3</v>
      </c>
      <c r="CC103" s="8">
        <v>0.22</v>
      </c>
      <c r="CD103" s="8">
        <v>0.13533333333333339</v>
      </c>
      <c r="CE103" s="8">
        <v>6.0000000000000001E-3</v>
      </c>
      <c r="CF103" s="8">
        <v>0.22</v>
      </c>
      <c r="CG103" s="8">
        <v>0.13533333333333339</v>
      </c>
      <c r="CH103" s="8">
        <v>6.0000000000000001E-3</v>
      </c>
      <c r="CI103" s="8">
        <v>0.22</v>
      </c>
      <c r="CJ103" s="8">
        <v>0.16200000000000001</v>
      </c>
      <c r="CK103" s="8">
        <v>6.0000000000000001E-3</v>
      </c>
      <c r="CL103" s="8">
        <v>0.26</v>
      </c>
      <c r="CM103" s="8">
        <v>0.16200000000000001</v>
      </c>
      <c r="CN103" s="8">
        <v>6.0000000000000001E-3</v>
      </c>
      <c r="CO103" s="8">
        <v>0.26</v>
      </c>
      <c r="CP103" s="8">
        <v>0.16200000000000001</v>
      </c>
      <c r="CQ103" s="8">
        <v>6.0000000000000001E-3</v>
      </c>
      <c r="CR103" s="8">
        <v>0.26</v>
      </c>
      <c r="CS103" s="8">
        <v>0.16200000000000001</v>
      </c>
      <c r="CT103" s="8">
        <v>6.0000000000000001E-3</v>
      </c>
      <c r="CU103" s="8">
        <v>0.26</v>
      </c>
      <c r="CV103" s="8">
        <v>0.16200000000000001</v>
      </c>
      <c r="CW103" s="8">
        <v>6.0000000000000001E-3</v>
      </c>
      <c r="CX103" s="8">
        <v>0.26</v>
      </c>
      <c r="CY103" s="8">
        <v>0.16200000000000001</v>
      </c>
      <c r="CZ103" s="8">
        <v>6.0000000000000001E-3</v>
      </c>
      <c r="DA103" s="8">
        <v>0.26</v>
      </c>
      <c r="DB103" s="8"/>
      <c r="DC103" s="8"/>
      <c r="DD103" s="8"/>
      <c r="DE103" s="48">
        <f>Tabelle58971121[[#This Row],[Durchschnittsauslastung min]]*Tabelle58971121[[#This Row],[installierte Leistung MW min]]</f>
        <v>0</v>
      </c>
      <c r="DF103" s="48">
        <f>Tabelle58971121[[#This Row],[Durchschnittsauslastung durch]]*Tabelle58971121[[#This Row],[installierte Leistung MW durch]]</f>
        <v>0</v>
      </c>
      <c r="DG103" s="48">
        <f>Tabelle58971121[[#This Row],[Durchschnittsauslastung max]]*Tabelle58971121[[#This Row],[installierte Leistung MW max]]</f>
        <v>0</v>
      </c>
      <c r="DH103" s="87">
        <f>Tabelle58971121[[#This Row],[Maximalauslastung durch]]*Tabelle58971121[[#This Row],[installierte Leistung MW min]]</f>
        <v>2767.3569000000002</v>
      </c>
      <c r="DI103" s="48">
        <f>Tabelle58971121[[#This Row],[Maximalauslastung durch]]*Tabelle58971121[[#This Row],[installierte Leistung MW durch]]</f>
        <v>2847.0750000000003</v>
      </c>
      <c r="DJ103" s="18">
        <f>Tabelle58971121[[#This Row],[Maximalauslastung max]]*Tabelle58971121[[#This Row],[installierte Leistung MW durch]]</f>
        <v>3182.0250000000001</v>
      </c>
      <c r="DK103" s="8">
        <v>0.17</v>
      </c>
      <c r="DL103" s="8">
        <v>0.15</v>
      </c>
      <c r="DM103" s="8">
        <v>0.19</v>
      </c>
      <c r="DN103" s="1">
        <v>16747.5</v>
      </c>
      <c r="DO103" s="1">
        <v>16278.57</v>
      </c>
      <c r="DP103" s="1">
        <v>17216.43</v>
      </c>
      <c r="DQ103" s="18"/>
      <c r="DR103" s="18"/>
      <c r="DW103" s="1">
        <v>4</v>
      </c>
      <c r="DX103" s="1">
        <v>3.2</v>
      </c>
      <c r="DY103" s="1">
        <v>4.8</v>
      </c>
      <c r="DZ103" s="1">
        <v>8</v>
      </c>
      <c r="EA103" s="1">
        <v>6.4</v>
      </c>
      <c r="EB103" s="1">
        <v>9.6</v>
      </c>
      <c r="EC103" s="1">
        <v>24</v>
      </c>
      <c r="ED103" s="1">
        <v>24</v>
      </c>
      <c r="EE103" s="1">
        <v>24</v>
      </c>
      <c r="EF103" s="1">
        <v>7.5</v>
      </c>
      <c r="EG103" s="1">
        <v>4.4000000000000004</v>
      </c>
      <c r="EH103" s="1">
        <v>10.6</v>
      </c>
      <c r="EL103" s="1">
        <v>365</v>
      </c>
      <c r="EM103" s="1">
        <v>328</v>
      </c>
      <c r="EN103" s="1">
        <v>402</v>
      </c>
      <c r="EO103" s="10"/>
      <c r="EP103" s="10"/>
      <c r="EQ103" s="10"/>
      <c r="ER103" s="1">
        <v>365</v>
      </c>
      <c r="ES103" s="1">
        <v>328</v>
      </c>
      <c r="ET103" s="1">
        <v>402</v>
      </c>
      <c r="EU103" s="1">
        <v>145.52352941176468</v>
      </c>
      <c r="EV103" s="18">
        <v>130.9711764705882</v>
      </c>
      <c r="EW103" s="18">
        <v>160.07588235294116</v>
      </c>
      <c r="EX103" s="18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>
        <v>9.972941176470588</v>
      </c>
      <c r="FK103" s="7">
        <v>3.5617647058823536</v>
      </c>
      <c r="FL103" s="7">
        <v>16.384117647058822</v>
      </c>
      <c r="FO103" s="1">
        <v>67</v>
      </c>
      <c r="FP103" s="1">
        <v>67</v>
      </c>
      <c r="FQ103" s="1">
        <v>67</v>
      </c>
      <c r="FR103" s="12" t="s">
        <v>743</v>
      </c>
      <c r="FS103" s="12" t="s">
        <v>743</v>
      </c>
      <c r="FT103" s="12" t="s">
        <v>743</v>
      </c>
      <c r="FU103" s="12"/>
      <c r="FV103" s="12" t="s">
        <v>743</v>
      </c>
      <c r="FW103" s="12" t="s">
        <v>743</v>
      </c>
      <c r="FX103" s="12" t="s">
        <v>743</v>
      </c>
      <c r="FY103" s="12" t="s">
        <v>743</v>
      </c>
      <c r="FZ103" s="12" t="s">
        <v>743</v>
      </c>
      <c r="GA103" s="12" t="s">
        <v>743</v>
      </c>
      <c r="GB103" s="12" t="s">
        <v>743</v>
      </c>
      <c r="GE103" s="12" t="s">
        <v>743</v>
      </c>
      <c r="GF103" s="12" t="s">
        <v>743</v>
      </c>
      <c r="GH103" s="12" t="s">
        <v>743</v>
      </c>
    </row>
    <row r="104" spans="1:193" ht="12.75" customHeight="1" x14ac:dyDescent="0.2">
      <c r="A104" s="1" t="s">
        <v>138</v>
      </c>
      <c r="B104" s="1" t="s">
        <v>684</v>
      </c>
      <c r="E104" s="1" t="s">
        <v>142</v>
      </c>
      <c r="F104" s="1">
        <v>2</v>
      </c>
      <c r="G104" s="1">
        <v>2045</v>
      </c>
      <c r="H104" s="1">
        <v>1</v>
      </c>
      <c r="I104" s="1">
        <v>0</v>
      </c>
      <c r="J104" s="1">
        <v>0</v>
      </c>
      <c r="K104" s="18"/>
      <c r="L104" s="18"/>
      <c r="M104" s="18"/>
      <c r="N104" s="18">
        <v>1972.1450000000002</v>
      </c>
      <c r="O104" s="18">
        <v>84.986820000000009</v>
      </c>
      <c r="P104" s="18">
        <v>3295.7165999999997</v>
      </c>
      <c r="Q104" s="18">
        <v>505.17999999999978</v>
      </c>
      <c r="R104" s="18">
        <v>0</v>
      </c>
      <c r="S104" s="18">
        <v>2756.41752</v>
      </c>
      <c r="T104" s="18">
        <v>1972.1450000000002</v>
      </c>
      <c r="U104" s="18">
        <v>84.986820000000009</v>
      </c>
      <c r="V104" s="18">
        <v>3295.7165999999997</v>
      </c>
      <c r="W104" s="18">
        <v>505.17999999999978</v>
      </c>
      <c r="X104" s="18">
        <v>0</v>
      </c>
      <c r="Y104" s="18">
        <v>2756.41752</v>
      </c>
      <c r="Z104" s="18">
        <v>1972.1450000000002</v>
      </c>
      <c r="AA104" s="18">
        <v>84.986820000000009</v>
      </c>
      <c r="AB104" s="18">
        <v>3295.7165999999997</v>
      </c>
      <c r="AC104" s="18">
        <v>505.17999999999978</v>
      </c>
      <c r="AD104" s="18">
        <v>0</v>
      </c>
      <c r="AE104" s="18">
        <v>2756.41752</v>
      </c>
      <c r="AF104" s="18">
        <v>2360.7450000000003</v>
      </c>
      <c r="AG104" s="18">
        <v>84.986820000000009</v>
      </c>
      <c r="AH104" s="18">
        <v>3894.9378000000002</v>
      </c>
      <c r="AI104" s="18">
        <v>116.58000000000008</v>
      </c>
      <c r="AJ104" s="18">
        <v>0</v>
      </c>
      <c r="AK104" s="18">
        <v>2756.41752</v>
      </c>
      <c r="AL104" s="18">
        <v>2360.7450000000003</v>
      </c>
      <c r="AM104" s="18">
        <v>84.986820000000009</v>
      </c>
      <c r="AN104" s="18">
        <v>3894.9378000000002</v>
      </c>
      <c r="AO104" s="18">
        <v>116.58000000000008</v>
      </c>
      <c r="AP104" s="18">
        <v>0</v>
      </c>
      <c r="AQ104" s="18">
        <v>2756.41752</v>
      </c>
      <c r="AR104" s="18">
        <v>2360.7450000000003</v>
      </c>
      <c r="AS104" s="18">
        <v>84.986820000000009</v>
      </c>
      <c r="AT104" s="18">
        <v>3894.9378000000002</v>
      </c>
      <c r="AU104" s="18">
        <v>116.58000000000008</v>
      </c>
      <c r="AV104" s="18">
        <v>0</v>
      </c>
      <c r="AW104" s="18">
        <v>2756.41752</v>
      </c>
      <c r="AX104" s="18">
        <v>2360.7450000000003</v>
      </c>
      <c r="AY104" s="18">
        <v>84.986820000000009</v>
      </c>
      <c r="AZ104" s="18">
        <v>3894.9378000000002</v>
      </c>
      <c r="BA104" s="18">
        <v>116.58000000000008</v>
      </c>
      <c r="BB104" s="18">
        <v>0</v>
      </c>
      <c r="BC104" s="18">
        <v>2756.41752</v>
      </c>
      <c r="BD104" s="18">
        <v>2360.7450000000003</v>
      </c>
      <c r="BE104" s="18">
        <v>84.986820000000009</v>
      </c>
      <c r="BF104" s="18">
        <v>3894.9378000000002</v>
      </c>
      <c r="BG104" s="18">
        <v>116.58000000000008</v>
      </c>
      <c r="BH104" s="18">
        <v>0</v>
      </c>
      <c r="BI104" s="18">
        <v>2756.41752</v>
      </c>
      <c r="BJ104" s="18">
        <v>2360.7450000000003</v>
      </c>
      <c r="BK104" s="18">
        <v>84.986820000000009</v>
      </c>
      <c r="BL104" s="18">
        <v>3894.9378000000002</v>
      </c>
      <c r="BM104" s="18">
        <v>116.58000000000008</v>
      </c>
      <c r="BN104" s="18">
        <v>0</v>
      </c>
      <c r="BO104" s="18">
        <v>2756.41752</v>
      </c>
      <c r="BP104" s="18"/>
      <c r="BQ104" s="18"/>
      <c r="BR104" s="18"/>
      <c r="BS104" s="18"/>
      <c r="BT104" s="10">
        <f>Tabelle58971121[[#This Row],[Mindestauslastung durch]]*Tabelle58971121[[#This Row],[installierte Leistung MW durch]]</f>
        <v>2185.875</v>
      </c>
      <c r="BU104" s="10">
        <f>Tabelle58971121[[#This Row],[Mindestauslastung min]]*Tabelle58971121[[#This Row],[installierte Leistung MW min]]</f>
        <v>2124.6704999999997</v>
      </c>
      <c r="BV104" s="10">
        <f>Tabelle58971121[[#This Row],[Mindestauslastung max]]*Tabelle58971121[[#This Row],[installierte Leistung MW max]]</f>
        <v>2247.0794999999998</v>
      </c>
      <c r="BW104" s="8">
        <v>0.15</v>
      </c>
      <c r="BX104" s="8">
        <v>0.15</v>
      </c>
      <c r="BY104" s="8">
        <v>0.15</v>
      </c>
      <c r="BZ104" s="8"/>
      <c r="CA104" s="8">
        <v>0.13533333333333339</v>
      </c>
      <c r="CB104" s="8">
        <v>6.0000000000000001E-3</v>
      </c>
      <c r="CC104" s="8">
        <v>0.22</v>
      </c>
      <c r="CD104" s="8">
        <v>0.13533333333333339</v>
      </c>
      <c r="CE104" s="8">
        <v>6.0000000000000001E-3</v>
      </c>
      <c r="CF104" s="8">
        <v>0.22</v>
      </c>
      <c r="CG104" s="8">
        <v>0.13533333333333339</v>
      </c>
      <c r="CH104" s="8">
        <v>6.0000000000000001E-3</v>
      </c>
      <c r="CI104" s="8">
        <v>0.22</v>
      </c>
      <c r="CJ104" s="8">
        <v>0.16200000000000001</v>
      </c>
      <c r="CK104" s="8">
        <v>6.0000000000000001E-3</v>
      </c>
      <c r="CL104" s="8">
        <v>0.26</v>
      </c>
      <c r="CM104" s="8">
        <v>0.16200000000000001</v>
      </c>
      <c r="CN104" s="8">
        <v>6.0000000000000001E-3</v>
      </c>
      <c r="CO104" s="8">
        <v>0.26</v>
      </c>
      <c r="CP104" s="8">
        <v>0.16200000000000001</v>
      </c>
      <c r="CQ104" s="8">
        <v>6.0000000000000001E-3</v>
      </c>
      <c r="CR104" s="8">
        <v>0.26</v>
      </c>
      <c r="CS104" s="8">
        <v>0.16200000000000001</v>
      </c>
      <c r="CT104" s="8">
        <v>6.0000000000000001E-3</v>
      </c>
      <c r="CU104" s="8">
        <v>0.26</v>
      </c>
      <c r="CV104" s="8">
        <v>0.16200000000000001</v>
      </c>
      <c r="CW104" s="8">
        <v>6.0000000000000001E-3</v>
      </c>
      <c r="CX104" s="8">
        <v>0.26</v>
      </c>
      <c r="CY104" s="8">
        <v>0.16200000000000001</v>
      </c>
      <c r="CZ104" s="8">
        <v>6.0000000000000001E-3</v>
      </c>
      <c r="DA104" s="8">
        <v>0.26</v>
      </c>
      <c r="DB104" s="8"/>
      <c r="DC104" s="8"/>
      <c r="DD104" s="8"/>
      <c r="DE104" s="48">
        <f>Tabelle58971121[[#This Row],[Durchschnittsauslastung min]]*Tabelle58971121[[#This Row],[installierte Leistung MW min]]</f>
        <v>0</v>
      </c>
      <c r="DF104" s="48">
        <f>Tabelle58971121[[#This Row],[Durchschnittsauslastung durch]]*Tabelle58971121[[#This Row],[installierte Leistung MW durch]]</f>
        <v>0</v>
      </c>
      <c r="DG104" s="48">
        <f>Tabelle58971121[[#This Row],[Durchschnittsauslastung max]]*Tabelle58971121[[#This Row],[installierte Leistung MW max]]</f>
        <v>0</v>
      </c>
      <c r="DH104" s="87">
        <f>Tabelle58971121[[#This Row],[Maximalauslastung durch]]*Tabelle58971121[[#This Row],[installierte Leistung MW min]]</f>
        <v>2407.9599000000003</v>
      </c>
      <c r="DI104" s="48">
        <f>Tabelle58971121[[#This Row],[Maximalauslastung durch]]*Tabelle58971121[[#This Row],[installierte Leistung MW durch]]</f>
        <v>2477.3250000000003</v>
      </c>
      <c r="DJ104" s="18">
        <f>Tabelle58971121[[#This Row],[Maximalauslastung max]]*Tabelle58971121[[#This Row],[installierte Leistung MW durch]]</f>
        <v>2768.7750000000001</v>
      </c>
      <c r="DK104" s="8">
        <v>0.17</v>
      </c>
      <c r="DL104" s="8">
        <v>0.15</v>
      </c>
      <c r="DM104" s="8">
        <v>0.19</v>
      </c>
      <c r="DN104" s="1">
        <v>14572.5</v>
      </c>
      <c r="DO104" s="1">
        <v>14164.47</v>
      </c>
      <c r="DP104" s="1">
        <v>14980.53</v>
      </c>
      <c r="DQ104" s="18"/>
      <c r="DR104" s="18"/>
      <c r="DW104" s="1">
        <v>4</v>
      </c>
      <c r="DX104" s="1">
        <v>3.2</v>
      </c>
      <c r="DY104" s="1">
        <v>4.8</v>
      </c>
      <c r="DZ104" s="1">
        <v>8</v>
      </c>
      <c r="EA104" s="1">
        <v>6.4</v>
      </c>
      <c r="EB104" s="1">
        <v>9.6</v>
      </c>
      <c r="EC104" s="1">
        <v>24</v>
      </c>
      <c r="ED104" s="1">
        <v>24</v>
      </c>
      <c r="EE104" s="1">
        <v>24</v>
      </c>
      <c r="EF104" s="1">
        <v>7.5</v>
      </c>
      <c r="EG104" s="1">
        <v>4.4000000000000004</v>
      </c>
      <c r="EH104" s="1">
        <v>10.6</v>
      </c>
      <c r="EL104" s="1">
        <v>365</v>
      </c>
      <c r="EM104" s="1">
        <v>328</v>
      </c>
      <c r="EN104" s="1">
        <v>402</v>
      </c>
      <c r="EO104" s="10"/>
      <c r="EP104" s="10"/>
      <c r="EQ104" s="10"/>
      <c r="ER104" s="1">
        <v>365</v>
      </c>
      <c r="ES104" s="1">
        <v>328</v>
      </c>
      <c r="ET104" s="1">
        <v>402</v>
      </c>
      <c r="EU104" s="1">
        <v>145.52352941176468</v>
      </c>
      <c r="EV104" s="18">
        <v>130.9711764705882</v>
      </c>
      <c r="EW104" s="18">
        <v>160.07588235294116</v>
      </c>
      <c r="EX104" s="18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>
        <v>9.972941176470588</v>
      </c>
      <c r="FK104" s="7">
        <v>3.5617647058823536</v>
      </c>
      <c r="FL104" s="7">
        <v>16.384117647058822</v>
      </c>
      <c r="FO104" s="1">
        <v>67</v>
      </c>
      <c r="FP104" s="1">
        <v>67</v>
      </c>
      <c r="FQ104" s="1">
        <v>67</v>
      </c>
      <c r="FR104" s="12" t="s">
        <v>743</v>
      </c>
      <c r="FS104" s="12" t="s">
        <v>743</v>
      </c>
      <c r="FT104" s="12" t="s">
        <v>743</v>
      </c>
      <c r="FU104" s="12"/>
      <c r="FV104" s="12" t="s">
        <v>743</v>
      </c>
      <c r="FW104" s="12" t="s">
        <v>743</v>
      </c>
      <c r="FX104" s="12" t="s">
        <v>743</v>
      </c>
      <c r="FY104" s="12" t="s">
        <v>743</v>
      </c>
      <c r="FZ104" s="12" t="s">
        <v>743</v>
      </c>
      <c r="GA104" s="12" t="s">
        <v>743</v>
      </c>
      <c r="GB104" s="12" t="s">
        <v>743</v>
      </c>
      <c r="GE104" s="12" t="s">
        <v>743</v>
      </c>
      <c r="GF104" s="12" t="s">
        <v>743</v>
      </c>
      <c r="GH104" s="12" t="s">
        <v>743</v>
      </c>
    </row>
    <row r="105" spans="1:193" ht="12.75" customHeight="1" x14ac:dyDescent="0.2">
      <c r="A105" s="1" t="s">
        <v>138</v>
      </c>
      <c r="B105" s="1" t="s">
        <v>684</v>
      </c>
      <c r="E105" s="1" t="s">
        <v>142</v>
      </c>
      <c r="F105" s="1">
        <v>2</v>
      </c>
      <c r="G105" s="1">
        <v>2050</v>
      </c>
      <c r="H105" s="1">
        <v>1</v>
      </c>
      <c r="I105" s="1">
        <v>0</v>
      </c>
      <c r="J105" s="1">
        <v>0</v>
      </c>
      <c r="K105" s="18"/>
      <c r="L105" s="18"/>
      <c r="M105" s="18"/>
      <c r="N105" s="18">
        <v>1707.2299999999998</v>
      </c>
      <c r="O105" s="18">
        <v>73.570679999999996</v>
      </c>
      <c r="P105" s="18">
        <v>2853.0083999999997</v>
      </c>
      <c r="Q105" s="18">
        <v>437.31999999999977</v>
      </c>
      <c r="R105" s="18">
        <v>0</v>
      </c>
      <c r="S105" s="18">
        <v>2386.1524799999997</v>
      </c>
      <c r="T105" s="18">
        <v>1707.2299999999998</v>
      </c>
      <c r="U105" s="18">
        <v>73.570679999999996</v>
      </c>
      <c r="V105" s="18">
        <v>2853.0083999999997</v>
      </c>
      <c r="W105" s="18">
        <v>437.31999999999977</v>
      </c>
      <c r="X105" s="18">
        <v>0</v>
      </c>
      <c r="Y105" s="18">
        <v>2386.1524799999997</v>
      </c>
      <c r="Z105" s="18">
        <v>1707.2299999999998</v>
      </c>
      <c r="AA105" s="18">
        <v>73.570679999999996</v>
      </c>
      <c r="AB105" s="18">
        <v>2853.0083999999997</v>
      </c>
      <c r="AC105" s="18">
        <v>437.31999999999977</v>
      </c>
      <c r="AD105" s="18">
        <v>0</v>
      </c>
      <c r="AE105" s="18">
        <v>2386.1524799999997</v>
      </c>
      <c r="AF105" s="18">
        <v>2043.6299999999999</v>
      </c>
      <c r="AG105" s="18">
        <v>73.570679999999996</v>
      </c>
      <c r="AH105" s="18">
        <v>3371.7372</v>
      </c>
      <c r="AI105" s="18">
        <v>100.92000000000006</v>
      </c>
      <c r="AJ105" s="18">
        <v>0</v>
      </c>
      <c r="AK105" s="18">
        <v>2386.1524799999997</v>
      </c>
      <c r="AL105" s="18">
        <v>2043.6299999999999</v>
      </c>
      <c r="AM105" s="18">
        <v>73.570679999999996</v>
      </c>
      <c r="AN105" s="18">
        <v>3371.7372</v>
      </c>
      <c r="AO105" s="18">
        <v>100.92000000000006</v>
      </c>
      <c r="AP105" s="18">
        <v>0</v>
      </c>
      <c r="AQ105" s="18">
        <v>2386.1524799999997</v>
      </c>
      <c r="AR105" s="18">
        <v>2043.6299999999999</v>
      </c>
      <c r="AS105" s="18">
        <v>73.570679999999996</v>
      </c>
      <c r="AT105" s="18">
        <v>3371.7372</v>
      </c>
      <c r="AU105" s="18">
        <v>100.92000000000006</v>
      </c>
      <c r="AV105" s="18">
        <v>0</v>
      </c>
      <c r="AW105" s="18">
        <v>2386.1524799999997</v>
      </c>
      <c r="AX105" s="18">
        <v>2043.6299999999999</v>
      </c>
      <c r="AY105" s="18">
        <v>73.570679999999996</v>
      </c>
      <c r="AZ105" s="18">
        <v>3371.7372</v>
      </c>
      <c r="BA105" s="18">
        <v>100.92000000000006</v>
      </c>
      <c r="BB105" s="18">
        <v>0</v>
      </c>
      <c r="BC105" s="18">
        <v>2386.1524799999997</v>
      </c>
      <c r="BD105" s="18">
        <v>2043.6299999999999</v>
      </c>
      <c r="BE105" s="18">
        <v>73.570679999999996</v>
      </c>
      <c r="BF105" s="18">
        <v>3371.7372</v>
      </c>
      <c r="BG105" s="18">
        <v>100.92000000000006</v>
      </c>
      <c r="BH105" s="18">
        <v>0</v>
      </c>
      <c r="BI105" s="18">
        <v>2386.1524799999997</v>
      </c>
      <c r="BJ105" s="18">
        <v>2043.6299999999999</v>
      </c>
      <c r="BK105" s="18">
        <v>73.570679999999996</v>
      </c>
      <c r="BL105" s="18">
        <v>3371.7372</v>
      </c>
      <c r="BM105" s="18">
        <v>100.92000000000006</v>
      </c>
      <c r="BN105" s="18">
        <v>0</v>
      </c>
      <c r="BO105" s="18">
        <v>2386.1524799999997</v>
      </c>
      <c r="BP105" s="18"/>
      <c r="BQ105" s="18"/>
      <c r="BR105" s="18"/>
      <c r="BS105" s="18"/>
      <c r="BT105" s="10">
        <f>Tabelle58971121[[#This Row],[Mindestauslastung durch]]*Tabelle58971121[[#This Row],[installierte Leistung MW durch]]</f>
        <v>1892.25</v>
      </c>
      <c r="BU105" s="10">
        <f>Tabelle58971121[[#This Row],[Mindestauslastung min]]*Tabelle58971121[[#This Row],[installierte Leistung MW min]]</f>
        <v>1839.2670000000001</v>
      </c>
      <c r="BV105" s="10">
        <f>Tabelle58971121[[#This Row],[Mindestauslastung max]]*Tabelle58971121[[#This Row],[installierte Leistung MW max]]</f>
        <v>1945.2329999999997</v>
      </c>
      <c r="BW105" s="8">
        <v>0.15</v>
      </c>
      <c r="BX105" s="8">
        <v>0.15</v>
      </c>
      <c r="BY105" s="8">
        <v>0.15</v>
      </c>
      <c r="BZ105" s="8"/>
      <c r="CA105" s="8">
        <v>0.13533333333333339</v>
      </c>
      <c r="CB105" s="8">
        <v>6.0000000000000001E-3</v>
      </c>
      <c r="CC105" s="8">
        <v>0.22</v>
      </c>
      <c r="CD105" s="8">
        <v>0.13533333333333339</v>
      </c>
      <c r="CE105" s="8">
        <v>6.0000000000000001E-3</v>
      </c>
      <c r="CF105" s="8">
        <v>0.22</v>
      </c>
      <c r="CG105" s="8">
        <v>0.13533333333333339</v>
      </c>
      <c r="CH105" s="8">
        <v>6.0000000000000001E-3</v>
      </c>
      <c r="CI105" s="8">
        <v>0.22</v>
      </c>
      <c r="CJ105" s="8">
        <v>0.16200000000000001</v>
      </c>
      <c r="CK105" s="8">
        <v>6.0000000000000001E-3</v>
      </c>
      <c r="CL105" s="8">
        <v>0.26</v>
      </c>
      <c r="CM105" s="8">
        <v>0.16200000000000001</v>
      </c>
      <c r="CN105" s="8">
        <v>6.0000000000000001E-3</v>
      </c>
      <c r="CO105" s="8">
        <v>0.26</v>
      </c>
      <c r="CP105" s="8">
        <v>0.16200000000000001</v>
      </c>
      <c r="CQ105" s="8">
        <v>6.0000000000000001E-3</v>
      </c>
      <c r="CR105" s="8">
        <v>0.26</v>
      </c>
      <c r="CS105" s="8">
        <v>0.16200000000000001</v>
      </c>
      <c r="CT105" s="8">
        <v>6.0000000000000001E-3</v>
      </c>
      <c r="CU105" s="8">
        <v>0.26</v>
      </c>
      <c r="CV105" s="8">
        <v>0.16200000000000001</v>
      </c>
      <c r="CW105" s="8">
        <v>6.0000000000000001E-3</v>
      </c>
      <c r="CX105" s="8">
        <v>0.26</v>
      </c>
      <c r="CY105" s="8">
        <v>0.16200000000000001</v>
      </c>
      <c r="CZ105" s="8">
        <v>6.0000000000000001E-3</v>
      </c>
      <c r="DA105" s="8">
        <v>0.26</v>
      </c>
      <c r="DB105" s="8"/>
      <c r="DC105" s="8"/>
      <c r="DD105" s="8"/>
      <c r="DE105" s="48">
        <f>Tabelle58971121[[#This Row],[Durchschnittsauslastung min]]*Tabelle58971121[[#This Row],[installierte Leistung MW min]]</f>
        <v>0</v>
      </c>
      <c r="DF105" s="48">
        <f>Tabelle58971121[[#This Row],[Durchschnittsauslastung durch]]*Tabelle58971121[[#This Row],[installierte Leistung MW durch]]</f>
        <v>0</v>
      </c>
      <c r="DG105" s="48">
        <f>Tabelle58971121[[#This Row],[Durchschnittsauslastung max]]*Tabelle58971121[[#This Row],[installierte Leistung MW max]]</f>
        <v>0</v>
      </c>
      <c r="DH105" s="87">
        <f>Tabelle58971121[[#This Row],[Maximalauslastung durch]]*Tabelle58971121[[#This Row],[installierte Leistung MW min]]</f>
        <v>2084.5026000000003</v>
      </c>
      <c r="DI105" s="48">
        <f>Tabelle58971121[[#This Row],[Maximalauslastung durch]]*Tabelle58971121[[#This Row],[installierte Leistung MW durch]]</f>
        <v>2144.5500000000002</v>
      </c>
      <c r="DJ105" s="18">
        <f>Tabelle58971121[[#This Row],[Maximalauslastung max]]*Tabelle58971121[[#This Row],[installierte Leistung MW durch]]</f>
        <v>2396.85</v>
      </c>
      <c r="DK105" s="8">
        <v>0.17</v>
      </c>
      <c r="DL105" s="8">
        <v>0.15</v>
      </c>
      <c r="DM105" s="8">
        <v>0.19</v>
      </c>
      <c r="DN105" s="1">
        <v>12615</v>
      </c>
      <c r="DO105" s="1">
        <v>12261.78</v>
      </c>
      <c r="DP105" s="1">
        <v>12968.22</v>
      </c>
      <c r="DQ105" s="18"/>
      <c r="DR105" s="18"/>
      <c r="DW105" s="1">
        <v>4</v>
      </c>
      <c r="DX105" s="1">
        <v>3.2</v>
      </c>
      <c r="DY105" s="1">
        <v>4.8</v>
      </c>
      <c r="DZ105" s="1">
        <v>8</v>
      </c>
      <c r="EA105" s="1">
        <v>6.4</v>
      </c>
      <c r="EB105" s="1">
        <v>9.6</v>
      </c>
      <c r="EC105" s="1">
        <v>24</v>
      </c>
      <c r="ED105" s="1">
        <v>24</v>
      </c>
      <c r="EE105" s="1">
        <v>24</v>
      </c>
      <c r="EF105" s="1">
        <v>7.5</v>
      </c>
      <c r="EG105" s="1">
        <v>4.4000000000000004</v>
      </c>
      <c r="EH105" s="1">
        <v>10.6</v>
      </c>
      <c r="EL105" s="1">
        <v>365</v>
      </c>
      <c r="EM105" s="1">
        <v>328</v>
      </c>
      <c r="EN105" s="1">
        <v>402</v>
      </c>
      <c r="EO105" s="10"/>
      <c r="EP105" s="10"/>
      <c r="EQ105" s="10"/>
      <c r="ER105" s="1">
        <v>365</v>
      </c>
      <c r="ES105" s="1">
        <v>328</v>
      </c>
      <c r="ET105" s="1">
        <v>402</v>
      </c>
      <c r="EU105" s="1">
        <v>145.52352941176468</v>
      </c>
      <c r="EV105" s="18">
        <v>130.9711764705882</v>
      </c>
      <c r="EW105" s="18">
        <v>160.07588235294116</v>
      </c>
      <c r="EX105" s="18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>
        <v>9.972941176470588</v>
      </c>
      <c r="FK105" s="7">
        <v>3.5617647058823536</v>
      </c>
      <c r="FL105" s="7">
        <v>16.384117647058822</v>
      </c>
      <c r="FO105" s="1">
        <v>67</v>
      </c>
      <c r="FP105" s="1">
        <v>67</v>
      </c>
      <c r="FQ105" s="1">
        <v>67</v>
      </c>
      <c r="FR105" s="12" t="s">
        <v>743</v>
      </c>
      <c r="FS105" s="12" t="s">
        <v>743</v>
      </c>
      <c r="FT105" s="12" t="s">
        <v>743</v>
      </c>
      <c r="FU105" s="12"/>
      <c r="FV105" s="12" t="s">
        <v>743</v>
      </c>
      <c r="FW105" s="12" t="s">
        <v>743</v>
      </c>
      <c r="FX105" s="12" t="s">
        <v>743</v>
      </c>
      <c r="FY105" s="12" t="s">
        <v>743</v>
      </c>
      <c r="FZ105" s="12" t="s">
        <v>743</v>
      </c>
      <c r="GA105" s="12" t="s">
        <v>743</v>
      </c>
      <c r="GB105" s="12" t="s">
        <v>743</v>
      </c>
      <c r="GE105" s="12" t="s">
        <v>743</v>
      </c>
      <c r="GF105" s="12" t="s">
        <v>743</v>
      </c>
      <c r="GH105" s="12" t="s">
        <v>743</v>
      </c>
    </row>
    <row r="106" spans="1:193" ht="12.75" customHeight="1" x14ac:dyDescent="0.2">
      <c r="A106" s="1" t="s">
        <v>132</v>
      </c>
      <c r="B106" s="1" t="s">
        <v>685</v>
      </c>
      <c r="E106" s="1" t="s">
        <v>142</v>
      </c>
      <c r="F106" s="1">
        <v>2</v>
      </c>
      <c r="G106" s="1">
        <v>2015</v>
      </c>
      <c r="H106" s="1">
        <v>0</v>
      </c>
      <c r="I106" s="1">
        <v>0</v>
      </c>
      <c r="J106" s="1">
        <v>1</v>
      </c>
      <c r="K106" s="18"/>
      <c r="L106" s="18"/>
      <c r="M106" s="18"/>
      <c r="N106" s="18">
        <v>16.537249999999869</v>
      </c>
      <c r="O106" s="18">
        <v>0</v>
      </c>
      <c r="P106" s="18">
        <v>265.14399999999989</v>
      </c>
      <c r="Q106" s="18">
        <v>380.35674999999998</v>
      </c>
      <c r="R106" s="18">
        <v>0</v>
      </c>
      <c r="S106" s="18">
        <v>2121.152</v>
      </c>
      <c r="T106" s="18">
        <v>16.537249999999869</v>
      </c>
      <c r="U106" s="18">
        <v>0</v>
      </c>
      <c r="V106" s="18">
        <v>265.14399999999989</v>
      </c>
      <c r="W106" s="18">
        <v>380.35674999999998</v>
      </c>
      <c r="X106" s="18">
        <v>0</v>
      </c>
      <c r="Y106" s="18">
        <v>2121.152</v>
      </c>
      <c r="Z106" s="18">
        <v>16.537249999999869</v>
      </c>
      <c r="AA106" s="18">
        <v>0</v>
      </c>
      <c r="AB106" s="18">
        <v>265.14399999999989</v>
      </c>
      <c r="AC106" s="18">
        <v>380.35674999999998</v>
      </c>
      <c r="AD106" s="18">
        <v>0</v>
      </c>
      <c r="AE106" s="18">
        <v>2121.152</v>
      </c>
      <c r="AF106" s="18">
        <v>16.537249999999869</v>
      </c>
      <c r="AG106" s="18">
        <v>0</v>
      </c>
      <c r="AH106" s="18">
        <v>265.14399999999989</v>
      </c>
      <c r="AI106" s="18">
        <v>380.35674999999998</v>
      </c>
      <c r="AJ106" s="18">
        <v>0</v>
      </c>
      <c r="AK106" s="18">
        <v>2121.152</v>
      </c>
      <c r="AL106" s="18">
        <v>16.537249999999869</v>
      </c>
      <c r="AM106" s="18">
        <v>0</v>
      </c>
      <c r="AN106" s="18">
        <v>265.14399999999989</v>
      </c>
      <c r="AO106" s="18">
        <v>380.35674999999998</v>
      </c>
      <c r="AP106" s="18">
        <v>0</v>
      </c>
      <c r="AQ106" s="18">
        <v>2121.152</v>
      </c>
      <c r="AR106" s="18">
        <v>16.537249999999869</v>
      </c>
      <c r="AS106" s="18">
        <v>0</v>
      </c>
      <c r="AT106" s="18">
        <v>265.14399999999989</v>
      </c>
      <c r="AU106" s="18">
        <v>380.35674999999998</v>
      </c>
      <c r="AV106" s="18">
        <v>0</v>
      </c>
      <c r="AW106" s="18">
        <v>2121.152</v>
      </c>
      <c r="AX106" s="18">
        <v>16.537249999999869</v>
      </c>
      <c r="AY106" s="18">
        <v>0</v>
      </c>
      <c r="AZ106" s="18">
        <v>265.14399999999989</v>
      </c>
      <c r="BA106" s="18">
        <v>380.35674999999998</v>
      </c>
      <c r="BB106" s="18">
        <v>0</v>
      </c>
      <c r="BC106" s="18">
        <v>2121.152</v>
      </c>
      <c r="BD106" s="18">
        <v>16.537249999999869</v>
      </c>
      <c r="BE106" s="18">
        <v>0</v>
      </c>
      <c r="BF106" s="18">
        <v>265.14399999999989</v>
      </c>
      <c r="BG106" s="18">
        <v>380.35674999999998</v>
      </c>
      <c r="BH106" s="18">
        <v>0</v>
      </c>
      <c r="BI106" s="18">
        <v>2121.152</v>
      </c>
      <c r="BJ106" s="18">
        <v>16.537249999999869</v>
      </c>
      <c r="BK106" s="18">
        <v>0</v>
      </c>
      <c r="BL106" s="18">
        <v>265.14399999999989</v>
      </c>
      <c r="BM106" s="18">
        <v>380.35674999999998</v>
      </c>
      <c r="BN106" s="18">
        <v>0</v>
      </c>
      <c r="BO106" s="18">
        <v>2121.152</v>
      </c>
      <c r="BP106" s="18"/>
      <c r="BQ106" s="18"/>
      <c r="BR106" s="18"/>
      <c r="BS106" s="18"/>
      <c r="BT106" s="10">
        <f>Tabelle58971121[[#This Row],[Mindestauslastung durch]]*Tabelle58971121[[#This Row],[installierte Leistung MW durch]]</f>
        <v>529.19200000000001</v>
      </c>
      <c r="BU106" s="10">
        <f>Tabelle58971121[[#This Row],[Mindestauslastung min]]*Tabelle58971121[[#This Row],[installierte Leistung MW min]]</f>
        <v>528.096</v>
      </c>
      <c r="BV106" s="10">
        <f>Tabelle58971121[[#This Row],[Mindestauslastung max]]*Tabelle58971121[[#This Row],[installierte Leistung MW max]]</f>
        <v>530.28800000000001</v>
      </c>
      <c r="BW106" s="8">
        <v>8.0000000000000002E-3</v>
      </c>
      <c r="BX106" s="8">
        <v>8.0000000000000002E-3</v>
      </c>
      <c r="BY106" s="8">
        <v>8.0000000000000002E-3</v>
      </c>
      <c r="BZ106" s="8"/>
      <c r="CA106" s="8">
        <v>8.2499999999999987E-3</v>
      </c>
      <c r="CB106" s="8">
        <v>2E-3</v>
      </c>
      <c r="CC106" s="8">
        <v>1.2E-2</v>
      </c>
      <c r="CD106" s="8">
        <v>8.2499999999999987E-3</v>
      </c>
      <c r="CE106" s="8">
        <v>2E-3</v>
      </c>
      <c r="CF106" s="8">
        <v>1.2E-2</v>
      </c>
      <c r="CG106" s="8">
        <v>8.2499999999999987E-3</v>
      </c>
      <c r="CH106" s="8">
        <v>2E-3</v>
      </c>
      <c r="CI106" s="8">
        <v>1.2E-2</v>
      </c>
      <c r="CJ106" s="8">
        <v>8.2499999999999987E-3</v>
      </c>
      <c r="CK106" s="8">
        <v>2E-3</v>
      </c>
      <c r="CL106" s="8">
        <v>1.2E-2</v>
      </c>
      <c r="CM106" s="8">
        <v>8.2499999999999987E-3</v>
      </c>
      <c r="CN106" s="8">
        <v>2E-3</v>
      </c>
      <c r="CO106" s="8">
        <v>1.2E-2</v>
      </c>
      <c r="CP106" s="8">
        <v>8.2499999999999987E-3</v>
      </c>
      <c r="CQ106" s="8">
        <v>2E-3</v>
      </c>
      <c r="CR106" s="8">
        <v>1.2E-2</v>
      </c>
      <c r="CS106" s="8">
        <v>8.2499999999999987E-3</v>
      </c>
      <c r="CT106" s="8">
        <v>2E-3</v>
      </c>
      <c r="CU106" s="8">
        <v>1.2E-2</v>
      </c>
      <c r="CV106" s="8">
        <v>8.2499999999999987E-3</v>
      </c>
      <c r="CW106" s="8">
        <v>2E-3</v>
      </c>
      <c r="CX106" s="8">
        <v>1.2E-2</v>
      </c>
      <c r="CY106" s="8">
        <v>8.2499999999999987E-3</v>
      </c>
      <c r="CZ106" s="8">
        <v>2E-3</v>
      </c>
      <c r="DA106" s="8">
        <v>1.2E-2</v>
      </c>
      <c r="DB106" s="8"/>
      <c r="DC106" s="8"/>
      <c r="DD106" s="8"/>
      <c r="DE106" s="48">
        <f>Tabelle58971121[[#This Row],[Durchschnittsauslastung min]]*Tabelle58971121[[#This Row],[installierte Leistung MW min]]</f>
        <v>0</v>
      </c>
      <c r="DF106" s="48">
        <f>Tabelle58971121[[#This Row],[Durchschnittsauslastung durch]]*Tabelle58971121[[#This Row],[installierte Leistung MW durch]]</f>
        <v>0</v>
      </c>
      <c r="DG106" s="48">
        <f>Tabelle58971121[[#This Row],[Durchschnittsauslastung max]]*Tabelle58971121[[#This Row],[installierte Leistung MW max]]</f>
        <v>0</v>
      </c>
      <c r="DH106" s="87">
        <f>Tabelle58971121[[#This Row],[Maximalauslastung durch]]*Tabelle58971121[[#This Row],[installierte Leistung MW min]]</f>
        <v>924.16800000000001</v>
      </c>
      <c r="DI106" s="48">
        <f>Tabelle58971121[[#This Row],[Maximalauslastung durch]]*Tabelle58971121[[#This Row],[installierte Leistung MW durch]]</f>
        <v>926.08600000000001</v>
      </c>
      <c r="DJ106" s="18">
        <f>Tabelle58971121[[#This Row],[Maximalauslastung max]]*Tabelle58971121[[#This Row],[installierte Leistung MW durch]]</f>
        <v>2249.0660000000003</v>
      </c>
      <c r="DK106" s="8">
        <v>1.4E-2</v>
      </c>
      <c r="DL106" s="8">
        <v>0</v>
      </c>
      <c r="DM106" s="8">
        <v>3.4000000000000002E-2</v>
      </c>
      <c r="DN106" s="1">
        <v>66149</v>
      </c>
      <c r="DO106" s="1">
        <v>66012</v>
      </c>
      <c r="DP106" s="1">
        <v>66286</v>
      </c>
      <c r="DQ106" s="18"/>
      <c r="DR106" s="18"/>
      <c r="DW106" s="1">
        <v>1.75</v>
      </c>
      <c r="DX106" s="1">
        <v>1.1499999999999999</v>
      </c>
      <c r="DY106" s="1">
        <v>2.35</v>
      </c>
      <c r="DZ106" s="1">
        <v>1.75</v>
      </c>
      <c r="EA106" s="1">
        <v>0.5</v>
      </c>
      <c r="EB106" s="1">
        <v>3</v>
      </c>
      <c r="EC106" s="1">
        <v>3.5</v>
      </c>
      <c r="ED106" s="1">
        <v>2.2999999999999998</v>
      </c>
      <c r="EE106" s="1">
        <v>4.7</v>
      </c>
      <c r="EF106" s="1">
        <v>3.5</v>
      </c>
      <c r="EG106" s="1">
        <v>3.5</v>
      </c>
      <c r="EH106" s="1">
        <v>3.5</v>
      </c>
      <c r="EL106" s="1" t="s">
        <v>1046</v>
      </c>
      <c r="EM106" s="1" t="s">
        <v>1046</v>
      </c>
      <c r="EN106" s="1" t="s">
        <v>1046</v>
      </c>
      <c r="EO106" s="10"/>
      <c r="EP106" s="10"/>
      <c r="EQ106" s="10"/>
      <c r="ER106" s="1">
        <v>220</v>
      </c>
      <c r="ES106" s="1">
        <v>198</v>
      </c>
      <c r="ET106" s="1">
        <v>242</v>
      </c>
      <c r="EU106" s="1">
        <v>92.50411764705882</v>
      </c>
      <c r="EV106" s="18">
        <v>83.243529411764712</v>
      </c>
      <c r="EW106" s="18">
        <v>101.76470588235293</v>
      </c>
      <c r="EX106" s="18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>
        <v>753.05882352941171</v>
      </c>
      <c r="FK106" s="7">
        <v>745.52823529411762</v>
      </c>
      <c r="FL106" s="7">
        <v>760.5894117647058</v>
      </c>
      <c r="FO106" s="1">
        <v>67</v>
      </c>
      <c r="FP106" s="1">
        <v>67</v>
      </c>
      <c r="FQ106" s="1">
        <v>67</v>
      </c>
      <c r="FR106" s="12" t="s">
        <v>743</v>
      </c>
      <c r="FS106" s="12" t="s">
        <v>743</v>
      </c>
      <c r="FT106" s="12" t="s">
        <v>743</v>
      </c>
      <c r="FU106" s="12"/>
      <c r="FV106" s="12" t="s">
        <v>743</v>
      </c>
      <c r="FW106" s="12" t="s">
        <v>743</v>
      </c>
      <c r="FX106" s="12" t="s">
        <v>743</v>
      </c>
      <c r="FY106" s="12" t="s">
        <v>743</v>
      </c>
      <c r="FZ106" s="12" t="s">
        <v>743</v>
      </c>
      <c r="GA106" s="12" t="s">
        <v>743</v>
      </c>
      <c r="GB106" s="12" t="s">
        <v>743</v>
      </c>
      <c r="GE106" s="12" t="s">
        <v>743</v>
      </c>
      <c r="GF106" s="12" t="s">
        <v>743</v>
      </c>
      <c r="GH106" s="12" t="s">
        <v>743</v>
      </c>
    </row>
    <row r="107" spans="1:193" ht="12.75" customHeight="1" x14ac:dyDescent="0.2">
      <c r="A107" s="1" t="s">
        <v>132</v>
      </c>
      <c r="B107" s="1" t="s">
        <v>685</v>
      </c>
      <c r="E107" s="1" t="s">
        <v>142</v>
      </c>
      <c r="F107" s="1">
        <v>2</v>
      </c>
      <c r="G107" s="1">
        <v>2020</v>
      </c>
      <c r="H107" s="1">
        <v>0</v>
      </c>
      <c r="I107" s="1">
        <v>0</v>
      </c>
      <c r="J107" s="1">
        <v>1</v>
      </c>
      <c r="K107" s="18"/>
      <c r="L107" s="18"/>
      <c r="M107" s="18"/>
      <c r="N107" s="18">
        <v>14.387407499999886</v>
      </c>
      <c r="O107" s="18">
        <v>0</v>
      </c>
      <c r="P107" s="18">
        <v>230.6752799999999</v>
      </c>
      <c r="Q107" s="18">
        <v>330.91037249999999</v>
      </c>
      <c r="R107" s="18">
        <v>0</v>
      </c>
      <c r="S107" s="18">
        <v>1845.4022400000001</v>
      </c>
      <c r="T107" s="18">
        <v>14.387407499999886</v>
      </c>
      <c r="U107" s="18">
        <v>0</v>
      </c>
      <c r="V107" s="18">
        <v>230.6752799999999</v>
      </c>
      <c r="W107" s="18">
        <v>330.91037249999999</v>
      </c>
      <c r="X107" s="18">
        <v>0</v>
      </c>
      <c r="Y107" s="18">
        <v>1845.4022400000001</v>
      </c>
      <c r="Z107" s="18">
        <v>14.387407499999886</v>
      </c>
      <c r="AA107" s="18">
        <v>0</v>
      </c>
      <c r="AB107" s="18">
        <v>230.6752799999999</v>
      </c>
      <c r="AC107" s="18">
        <v>330.91037249999999</v>
      </c>
      <c r="AD107" s="18">
        <v>0</v>
      </c>
      <c r="AE107" s="18">
        <v>1845.4022400000001</v>
      </c>
      <c r="AF107" s="18">
        <v>14.387407499999886</v>
      </c>
      <c r="AG107" s="18">
        <v>0</v>
      </c>
      <c r="AH107" s="18">
        <v>230.6752799999999</v>
      </c>
      <c r="AI107" s="18">
        <v>330.91037249999999</v>
      </c>
      <c r="AJ107" s="18">
        <v>0</v>
      </c>
      <c r="AK107" s="18">
        <v>1845.4022400000001</v>
      </c>
      <c r="AL107" s="18">
        <v>14.387407499999886</v>
      </c>
      <c r="AM107" s="18">
        <v>0</v>
      </c>
      <c r="AN107" s="18">
        <v>230.6752799999999</v>
      </c>
      <c r="AO107" s="18">
        <v>330.91037249999999</v>
      </c>
      <c r="AP107" s="18">
        <v>0</v>
      </c>
      <c r="AQ107" s="18">
        <v>1845.4022400000001</v>
      </c>
      <c r="AR107" s="18">
        <v>14.387407499999886</v>
      </c>
      <c r="AS107" s="18">
        <v>0</v>
      </c>
      <c r="AT107" s="18">
        <v>230.6752799999999</v>
      </c>
      <c r="AU107" s="18">
        <v>330.91037249999999</v>
      </c>
      <c r="AV107" s="18">
        <v>0</v>
      </c>
      <c r="AW107" s="18">
        <v>1845.4022400000001</v>
      </c>
      <c r="AX107" s="18">
        <v>14.387407499999886</v>
      </c>
      <c r="AY107" s="18">
        <v>0</v>
      </c>
      <c r="AZ107" s="18">
        <v>230.6752799999999</v>
      </c>
      <c r="BA107" s="18">
        <v>330.91037249999999</v>
      </c>
      <c r="BB107" s="18">
        <v>0</v>
      </c>
      <c r="BC107" s="18">
        <v>1845.4022400000001</v>
      </c>
      <c r="BD107" s="18">
        <v>14.387407499999886</v>
      </c>
      <c r="BE107" s="18">
        <v>0</v>
      </c>
      <c r="BF107" s="18">
        <v>230.6752799999999</v>
      </c>
      <c r="BG107" s="18">
        <v>330.91037249999999</v>
      </c>
      <c r="BH107" s="18">
        <v>0</v>
      </c>
      <c r="BI107" s="18">
        <v>1845.4022400000001</v>
      </c>
      <c r="BJ107" s="18">
        <v>14.387407499999886</v>
      </c>
      <c r="BK107" s="18">
        <v>0</v>
      </c>
      <c r="BL107" s="18">
        <v>230.6752799999999</v>
      </c>
      <c r="BM107" s="18">
        <v>330.91037249999999</v>
      </c>
      <c r="BN107" s="18">
        <v>0</v>
      </c>
      <c r="BO107" s="18">
        <v>1845.4022400000001</v>
      </c>
      <c r="BP107" s="18"/>
      <c r="BQ107" s="18"/>
      <c r="BR107" s="18"/>
      <c r="BS107" s="18"/>
      <c r="BT107" s="10">
        <f>Tabelle58971121[[#This Row],[Mindestauslastung durch]]*Tabelle58971121[[#This Row],[installierte Leistung MW durch]]</f>
        <v>460.39704</v>
      </c>
      <c r="BU107" s="10">
        <f>Tabelle58971121[[#This Row],[Mindestauslastung min]]*Tabelle58971121[[#This Row],[installierte Leistung MW min]]</f>
        <v>459.44352000000003</v>
      </c>
      <c r="BV107" s="10">
        <f>Tabelle58971121[[#This Row],[Mindestauslastung max]]*Tabelle58971121[[#This Row],[installierte Leistung MW max]]</f>
        <v>461.35056000000003</v>
      </c>
      <c r="BW107" s="8">
        <v>8.0000000000000002E-3</v>
      </c>
      <c r="BX107" s="8">
        <v>8.0000000000000002E-3</v>
      </c>
      <c r="BY107" s="8">
        <v>8.0000000000000002E-3</v>
      </c>
      <c r="BZ107" s="8"/>
      <c r="CA107" s="8">
        <v>8.2499999999999987E-3</v>
      </c>
      <c r="CB107" s="8">
        <v>2E-3</v>
      </c>
      <c r="CC107" s="8">
        <v>1.2E-2</v>
      </c>
      <c r="CD107" s="8">
        <v>8.2499999999999987E-3</v>
      </c>
      <c r="CE107" s="8">
        <v>2E-3</v>
      </c>
      <c r="CF107" s="8">
        <v>1.2E-2</v>
      </c>
      <c r="CG107" s="8">
        <v>8.2499999999999987E-3</v>
      </c>
      <c r="CH107" s="8">
        <v>2E-3</v>
      </c>
      <c r="CI107" s="8">
        <v>1.2E-2</v>
      </c>
      <c r="CJ107" s="8">
        <v>8.2499999999999987E-3</v>
      </c>
      <c r="CK107" s="8">
        <v>2E-3</v>
      </c>
      <c r="CL107" s="8">
        <v>1.2E-2</v>
      </c>
      <c r="CM107" s="8">
        <v>8.2499999999999987E-3</v>
      </c>
      <c r="CN107" s="8">
        <v>2E-3</v>
      </c>
      <c r="CO107" s="8">
        <v>1.2E-2</v>
      </c>
      <c r="CP107" s="8">
        <v>8.2499999999999987E-3</v>
      </c>
      <c r="CQ107" s="8">
        <v>2E-3</v>
      </c>
      <c r="CR107" s="8">
        <v>1.2E-2</v>
      </c>
      <c r="CS107" s="8">
        <v>8.2499999999999987E-3</v>
      </c>
      <c r="CT107" s="8">
        <v>2E-3</v>
      </c>
      <c r="CU107" s="8">
        <v>1.2E-2</v>
      </c>
      <c r="CV107" s="8">
        <v>8.2499999999999987E-3</v>
      </c>
      <c r="CW107" s="8">
        <v>2E-3</v>
      </c>
      <c r="CX107" s="8">
        <v>1.2E-2</v>
      </c>
      <c r="CY107" s="8">
        <v>8.2499999999999987E-3</v>
      </c>
      <c r="CZ107" s="8">
        <v>2E-3</v>
      </c>
      <c r="DA107" s="8">
        <v>1.2E-2</v>
      </c>
      <c r="DB107" s="8"/>
      <c r="DC107" s="8"/>
      <c r="DD107" s="8"/>
      <c r="DE107" s="48">
        <f>Tabelle58971121[[#This Row],[Durchschnittsauslastung min]]*Tabelle58971121[[#This Row],[installierte Leistung MW min]]</f>
        <v>0</v>
      </c>
      <c r="DF107" s="48">
        <f>Tabelle58971121[[#This Row],[Durchschnittsauslastung durch]]*Tabelle58971121[[#This Row],[installierte Leistung MW durch]]</f>
        <v>0</v>
      </c>
      <c r="DG107" s="48">
        <f>Tabelle58971121[[#This Row],[Durchschnittsauslastung max]]*Tabelle58971121[[#This Row],[installierte Leistung MW max]]</f>
        <v>0</v>
      </c>
      <c r="DH107" s="87">
        <f>Tabelle58971121[[#This Row],[Maximalauslastung durch]]*Tabelle58971121[[#This Row],[installierte Leistung MW min]]</f>
        <v>804.02616</v>
      </c>
      <c r="DI107" s="48">
        <f>Tabelle58971121[[#This Row],[Maximalauslastung durch]]*Tabelle58971121[[#This Row],[installierte Leistung MW durch]]</f>
        <v>805.69481999999994</v>
      </c>
      <c r="DJ107" s="18">
        <f>Tabelle58971121[[#This Row],[Maximalauslastung max]]*Tabelle58971121[[#This Row],[installierte Leistung MW durch]]</f>
        <v>1956.68742</v>
      </c>
      <c r="DK107" s="8">
        <v>1.4E-2</v>
      </c>
      <c r="DL107" s="8">
        <v>0</v>
      </c>
      <c r="DM107" s="8">
        <v>3.4000000000000002E-2</v>
      </c>
      <c r="DN107" s="1">
        <v>57549.63</v>
      </c>
      <c r="DO107" s="1">
        <v>57430.44</v>
      </c>
      <c r="DP107" s="1">
        <v>57668.82</v>
      </c>
      <c r="DQ107" s="18"/>
      <c r="DR107" s="18"/>
      <c r="DW107" s="1">
        <v>1.75</v>
      </c>
      <c r="DX107" s="1">
        <v>1.1499999999999999</v>
      </c>
      <c r="DY107" s="1">
        <v>2.35</v>
      </c>
      <c r="DZ107" s="1">
        <v>1.75</v>
      </c>
      <c r="EA107" s="1">
        <v>0.5</v>
      </c>
      <c r="EB107" s="1">
        <v>3</v>
      </c>
      <c r="EC107" s="1">
        <v>3.5</v>
      </c>
      <c r="ED107" s="1">
        <v>2.2999999999999998</v>
      </c>
      <c r="EE107" s="1">
        <v>4.7</v>
      </c>
      <c r="EF107" s="1">
        <v>3.5</v>
      </c>
      <c r="EG107" s="1">
        <v>3.5</v>
      </c>
      <c r="EH107" s="1">
        <v>3.5</v>
      </c>
      <c r="EL107" s="1" t="s">
        <v>1046</v>
      </c>
      <c r="EM107" s="1" t="s">
        <v>1046</v>
      </c>
      <c r="EN107" s="1" t="s">
        <v>1046</v>
      </c>
      <c r="EO107" s="10"/>
      <c r="EP107" s="10"/>
      <c r="EQ107" s="10"/>
      <c r="ER107" s="1">
        <v>220</v>
      </c>
      <c r="ES107" s="1">
        <v>198</v>
      </c>
      <c r="ET107" s="1">
        <v>242</v>
      </c>
      <c r="EU107" s="1">
        <v>92.50411764705882</v>
      </c>
      <c r="EV107" s="18">
        <v>83.243529411764712</v>
      </c>
      <c r="EW107" s="18">
        <v>101.76470588235293</v>
      </c>
      <c r="EX107" s="18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>
        <v>753.05882352941171</v>
      </c>
      <c r="FK107" s="7">
        <v>745.52823529411762</v>
      </c>
      <c r="FL107" s="7">
        <v>760.5894117647058</v>
      </c>
      <c r="FO107" s="1">
        <v>67</v>
      </c>
      <c r="FP107" s="1">
        <v>67</v>
      </c>
      <c r="FQ107" s="1">
        <v>67</v>
      </c>
      <c r="FR107" s="12" t="s">
        <v>743</v>
      </c>
      <c r="FS107" s="12" t="s">
        <v>743</v>
      </c>
      <c r="FT107" s="12" t="s">
        <v>743</v>
      </c>
      <c r="FU107" s="12"/>
      <c r="FV107" s="12" t="s">
        <v>743</v>
      </c>
      <c r="FW107" s="12" t="s">
        <v>743</v>
      </c>
      <c r="FX107" s="12" t="s">
        <v>743</v>
      </c>
      <c r="FY107" s="12" t="s">
        <v>743</v>
      </c>
      <c r="FZ107" s="12" t="s">
        <v>743</v>
      </c>
      <c r="GA107" s="12" t="s">
        <v>743</v>
      </c>
      <c r="GB107" s="12" t="s">
        <v>743</v>
      </c>
      <c r="GE107" s="12" t="s">
        <v>743</v>
      </c>
      <c r="GF107" s="12" t="s">
        <v>743</v>
      </c>
      <c r="GH107" s="12" t="s">
        <v>743</v>
      </c>
    </row>
    <row r="108" spans="1:193" ht="12.75" customHeight="1" x14ac:dyDescent="0.2">
      <c r="A108" s="1" t="s">
        <v>132</v>
      </c>
      <c r="B108" s="1" t="s">
        <v>685</v>
      </c>
      <c r="E108" s="1" t="s">
        <v>142</v>
      </c>
      <c r="F108" s="1">
        <v>2</v>
      </c>
      <c r="G108" s="1">
        <v>2025</v>
      </c>
      <c r="H108" s="1">
        <v>0</v>
      </c>
      <c r="I108" s="1">
        <v>0</v>
      </c>
      <c r="J108" s="1">
        <v>1</v>
      </c>
      <c r="K108" s="18"/>
      <c r="L108" s="18"/>
      <c r="M108" s="18"/>
      <c r="N108" s="18">
        <v>12.402937499999901</v>
      </c>
      <c r="O108" s="18">
        <v>0</v>
      </c>
      <c r="P108" s="18">
        <v>198.85799999999992</v>
      </c>
      <c r="Q108" s="18">
        <v>285.2675625</v>
      </c>
      <c r="R108" s="18">
        <v>0</v>
      </c>
      <c r="S108" s="18">
        <v>1590.864</v>
      </c>
      <c r="T108" s="18">
        <v>12.402937499999901</v>
      </c>
      <c r="U108" s="18">
        <v>0</v>
      </c>
      <c r="V108" s="18">
        <v>198.85799999999992</v>
      </c>
      <c r="W108" s="18">
        <v>285.2675625</v>
      </c>
      <c r="X108" s="18">
        <v>0</v>
      </c>
      <c r="Y108" s="18">
        <v>1590.864</v>
      </c>
      <c r="Z108" s="18">
        <v>12.402937499999901</v>
      </c>
      <c r="AA108" s="18">
        <v>0</v>
      </c>
      <c r="AB108" s="18">
        <v>198.85799999999992</v>
      </c>
      <c r="AC108" s="18">
        <v>285.2675625</v>
      </c>
      <c r="AD108" s="18">
        <v>0</v>
      </c>
      <c r="AE108" s="18">
        <v>1590.864</v>
      </c>
      <c r="AF108" s="18">
        <v>12.402937499999901</v>
      </c>
      <c r="AG108" s="18">
        <v>0</v>
      </c>
      <c r="AH108" s="18">
        <v>198.85799999999992</v>
      </c>
      <c r="AI108" s="18">
        <v>285.2675625</v>
      </c>
      <c r="AJ108" s="18">
        <v>0</v>
      </c>
      <c r="AK108" s="18">
        <v>1590.864</v>
      </c>
      <c r="AL108" s="18">
        <v>12.402937499999901</v>
      </c>
      <c r="AM108" s="18">
        <v>0</v>
      </c>
      <c r="AN108" s="18">
        <v>198.85799999999992</v>
      </c>
      <c r="AO108" s="18">
        <v>285.2675625</v>
      </c>
      <c r="AP108" s="18">
        <v>0</v>
      </c>
      <c r="AQ108" s="18">
        <v>1590.864</v>
      </c>
      <c r="AR108" s="18">
        <v>12.402937499999901</v>
      </c>
      <c r="AS108" s="18">
        <v>0</v>
      </c>
      <c r="AT108" s="18">
        <v>198.85799999999992</v>
      </c>
      <c r="AU108" s="18">
        <v>285.2675625</v>
      </c>
      <c r="AV108" s="18">
        <v>0</v>
      </c>
      <c r="AW108" s="18">
        <v>1590.864</v>
      </c>
      <c r="AX108" s="18">
        <v>12.402937499999901</v>
      </c>
      <c r="AY108" s="18">
        <v>0</v>
      </c>
      <c r="AZ108" s="18">
        <v>198.85799999999992</v>
      </c>
      <c r="BA108" s="18">
        <v>285.2675625</v>
      </c>
      <c r="BB108" s="18">
        <v>0</v>
      </c>
      <c r="BC108" s="18">
        <v>1590.864</v>
      </c>
      <c r="BD108" s="18">
        <v>12.402937499999901</v>
      </c>
      <c r="BE108" s="18">
        <v>0</v>
      </c>
      <c r="BF108" s="18">
        <v>198.85799999999992</v>
      </c>
      <c r="BG108" s="18">
        <v>285.2675625</v>
      </c>
      <c r="BH108" s="18">
        <v>0</v>
      </c>
      <c r="BI108" s="18">
        <v>1590.864</v>
      </c>
      <c r="BJ108" s="18">
        <v>12.402937499999901</v>
      </c>
      <c r="BK108" s="18">
        <v>0</v>
      </c>
      <c r="BL108" s="18">
        <v>198.85799999999992</v>
      </c>
      <c r="BM108" s="18">
        <v>285.2675625</v>
      </c>
      <c r="BN108" s="18">
        <v>0</v>
      </c>
      <c r="BO108" s="18">
        <v>1590.864</v>
      </c>
      <c r="BP108" s="18"/>
      <c r="BQ108" s="18"/>
      <c r="BR108" s="18"/>
      <c r="BS108" s="18"/>
      <c r="BT108" s="10">
        <f>Tabelle58971121[[#This Row],[Mindestauslastung durch]]*Tabelle58971121[[#This Row],[installierte Leistung MW durch]]</f>
        <v>396.89400000000001</v>
      </c>
      <c r="BU108" s="10">
        <f>Tabelle58971121[[#This Row],[Mindestauslastung min]]*Tabelle58971121[[#This Row],[installierte Leistung MW min]]</f>
        <v>396.072</v>
      </c>
      <c r="BV108" s="10">
        <f>Tabelle58971121[[#This Row],[Mindestauslastung max]]*Tabelle58971121[[#This Row],[installierte Leistung MW max]]</f>
        <v>397.71600000000001</v>
      </c>
      <c r="BW108" s="8">
        <v>8.0000000000000002E-3</v>
      </c>
      <c r="BX108" s="8">
        <v>8.0000000000000002E-3</v>
      </c>
      <c r="BY108" s="8">
        <v>8.0000000000000002E-3</v>
      </c>
      <c r="BZ108" s="8"/>
      <c r="CA108" s="8">
        <v>8.2499999999999987E-3</v>
      </c>
      <c r="CB108" s="8">
        <v>2E-3</v>
      </c>
      <c r="CC108" s="8">
        <v>1.2E-2</v>
      </c>
      <c r="CD108" s="8">
        <v>8.2499999999999987E-3</v>
      </c>
      <c r="CE108" s="8">
        <v>2E-3</v>
      </c>
      <c r="CF108" s="8">
        <v>1.2E-2</v>
      </c>
      <c r="CG108" s="8">
        <v>8.2499999999999987E-3</v>
      </c>
      <c r="CH108" s="8">
        <v>2E-3</v>
      </c>
      <c r="CI108" s="8">
        <v>1.2E-2</v>
      </c>
      <c r="CJ108" s="8">
        <v>8.2499999999999987E-3</v>
      </c>
      <c r="CK108" s="8">
        <v>2E-3</v>
      </c>
      <c r="CL108" s="8">
        <v>1.2E-2</v>
      </c>
      <c r="CM108" s="8">
        <v>8.2499999999999987E-3</v>
      </c>
      <c r="CN108" s="8">
        <v>2E-3</v>
      </c>
      <c r="CO108" s="8">
        <v>1.2E-2</v>
      </c>
      <c r="CP108" s="8">
        <v>8.2499999999999987E-3</v>
      </c>
      <c r="CQ108" s="8">
        <v>2E-3</v>
      </c>
      <c r="CR108" s="8">
        <v>1.2E-2</v>
      </c>
      <c r="CS108" s="8">
        <v>8.2499999999999987E-3</v>
      </c>
      <c r="CT108" s="8">
        <v>2E-3</v>
      </c>
      <c r="CU108" s="8">
        <v>1.2E-2</v>
      </c>
      <c r="CV108" s="8">
        <v>8.2499999999999987E-3</v>
      </c>
      <c r="CW108" s="8">
        <v>2E-3</v>
      </c>
      <c r="CX108" s="8">
        <v>1.2E-2</v>
      </c>
      <c r="CY108" s="8">
        <v>8.2499999999999987E-3</v>
      </c>
      <c r="CZ108" s="8">
        <v>2E-3</v>
      </c>
      <c r="DA108" s="8">
        <v>1.2E-2</v>
      </c>
      <c r="DB108" s="8"/>
      <c r="DC108" s="8"/>
      <c r="DD108" s="8"/>
      <c r="DE108" s="48">
        <f>Tabelle58971121[[#This Row],[Durchschnittsauslastung min]]*Tabelle58971121[[#This Row],[installierte Leistung MW min]]</f>
        <v>0</v>
      </c>
      <c r="DF108" s="48">
        <f>Tabelle58971121[[#This Row],[Durchschnittsauslastung durch]]*Tabelle58971121[[#This Row],[installierte Leistung MW durch]]</f>
        <v>0</v>
      </c>
      <c r="DG108" s="48">
        <f>Tabelle58971121[[#This Row],[Durchschnittsauslastung max]]*Tabelle58971121[[#This Row],[installierte Leistung MW max]]</f>
        <v>0</v>
      </c>
      <c r="DH108" s="87">
        <f>Tabelle58971121[[#This Row],[Maximalauslastung durch]]*Tabelle58971121[[#This Row],[installierte Leistung MW min]]</f>
        <v>693.12599999999998</v>
      </c>
      <c r="DI108" s="48">
        <f>Tabelle58971121[[#This Row],[Maximalauslastung durch]]*Tabelle58971121[[#This Row],[installierte Leistung MW durch]]</f>
        <v>694.56450000000007</v>
      </c>
      <c r="DJ108" s="18">
        <f>Tabelle58971121[[#This Row],[Maximalauslastung max]]*Tabelle58971121[[#This Row],[installierte Leistung MW durch]]</f>
        <v>1686.7995000000001</v>
      </c>
      <c r="DK108" s="8">
        <v>1.4E-2</v>
      </c>
      <c r="DL108" s="8">
        <v>0</v>
      </c>
      <c r="DM108" s="8">
        <v>3.4000000000000002E-2</v>
      </c>
      <c r="DN108" s="1">
        <v>49611.75</v>
      </c>
      <c r="DO108" s="1">
        <v>49509</v>
      </c>
      <c r="DP108" s="1">
        <v>49714.5</v>
      </c>
      <c r="DQ108" s="18"/>
      <c r="DR108" s="18"/>
      <c r="DW108" s="1">
        <v>1.75</v>
      </c>
      <c r="DX108" s="1">
        <v>1.1499999999999999</v>
      </c>
      <c r="DY108" s="1">
        <v>2.35</v>
      </c>
      <c r="DZ108" s="1">
        <v>1.75</v>
      </c>
      <c r="EA108" s="1">
        <v>0.5</v>
      </c>
      <c r="EB108" s="1">
        <v>3</v>
      </c>
      <c r="EC108" s="1">
        <v>3.5</v>
      </c>
      <c r="ED108" s="1">
        <v>2.2999999999999998</v>
      </c>
      <c r="EE108" s="1">
        <v>4.7</v>
      </c>
      <c r="EF108" s="1">
        <v>3.5</v>
      </c>
      <c r="EG108" s="1">
        <v>3.5</v>
      </c>
      <c r="EH108" s="1">
        <v>3.5</v>
      </c>
      <c r="EL108" s="1" t="s">
        <v>1046</v>
      </c>
      <c r="EM108" s="1" t="s">
        <v>1046</v>
      </c>
      <c r="EN108" s="1" t="s">
        <v>1046</v>
      </c>
      <c r="EO108" s="10"/>
      <c r="EP108" s="10"/>
      <c r="EQ108" s="10"/>
      <c r="ER108" s="1">
        <v>220</v>
      </c>
      <c r="ES108" s="1">
        <v>198</v>
      </c>
      <c r="ET108" s="1">
        <v>242</v>
      </c>
      <c r="EU108" s="1">
        <v>92.50411764705882</v>
      </c>
      <c r="EV108" s="18">
        <v>83.243529411764712</v>
      </c>
      <c r="EW108" s="18">
        <v>101.76470588235293</v>
      </c>
      <c r="EX108" s="18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>
        <v>753.05882352941171</v>
      </c>
      <c r="FK108" s="7">
        <v>745.52823529411762</v>
      </c>
      <c r="FL108" s="7">
        <v>760.5894117647058</v>
      </c>
      <c r="FO108" s="1">
        <v>67</v>
      </c>
      <c r="FP108" s="1">
        <v>67</v>
      </c>
      <c r="FQ108" s="1">
        <v>67</v>
      </c>
      <c r="FR108" s="12" t="s">
        <v>743</v>
      </c>
      <c r="FS108" s="12" t="s">
        <v>743</v>
      </c>
      <c r="FT108" s="12" t="s">
        <v>743</v>
      </c>
      <c r="FU108" s="12"/>
      <c r="FV108" s="12" t="s">
        <v>743</v>
      </c>
      <c r="FW108" s="12" t="s">
        <v>743</v>
      </c>
      <c r="FX108" s="12" t="s">
        <v>743</v>
      </c>
      <c r="FY108" s="12" t="s">
        <v>743</v>
      </c>
      <c r="FZ108" s="12" t="s">
        <v>743</v>
      </c>
      <c r="GA108" s="12" t="s">
        <v>743</v>
      </c>
      <c r="GB108" s="12" t="s">
        <v>743</v>
      </c>
      <c r="GE108" s="12" t="s">
        <v>743</v>
      </c>
      <c r="GF108" s="12" t="s">
        <v>743</v>
      </c>
      <c r="GH108" s="12" t="s">
        <v>743</v>
      </c>
    </row>
    <row r="109" spans="1:193" ht="12.75" customHeight="1" x14ac:dyDescent="0.2">
      <c r="A109" s="1" t="s">
        <v>132</v>
      </c>
      <c r="B109" s="1" t="s">
        <v>685</v>
      </c>
      <c r="E109" s="1" t="s">
        <v>142</v>
      </c>
      <c r="F109" s="1">
        <v>2</v>
      </c>
      <c r="G109" s="1">
        <v>2030</v>
      </c>
      <c r="H109" s="1">
        <v>0</v>
      </c>
      <c r="I109" s="1">
        <v>0</v>
      </c>
      <c r="J109" s="1">
        <v>1</v>
      </c>
      <c r="K109" s="18"/>
      <c r="L109" s="18"/>
      <c r="M109" s="18"/>
      <c r="N109" s="18">
        <v>10.749212499999915</v>
      </c>
      <c r="O109" s="18">
        <v>0</v>
      </c>
      <c r="P109" s="18">
        <v>172.34359999999992</v>
      </c>
      <c r="Q109" s="18">
        <v>247.2318875</v>
      </c>
      <c r="R109" s="18">
        <v>0</v>
      </c>
      <c r="S109" s="18">
        <v>1378.7488000000001</v>
      </c>
      <c r="T109" s="18">
        <v>10.749212499999915</v>
      </c>
      <c r="U109" s="18">
        <v>0</v>
      </c>
      <c r="V109" s="18">
        <v>172.34359999999992</v>
      </c>
      <c r="W109" s="18">
        <v>247.2318875</v>
      </c>
      <c r="X109" s="18">
        <v>0</v>
      </c>
      <c r="Y109" s="18">
        <v>1378.7488000000001</v>
      </c>
      <c r="Z109" s="18">
        <v>10.749212499999915</v>
      </c>
      <c r="AA109" s="18">
        <v>0</v>
      </c>
      <c r="AB109" s="18">
        <v>172.34359999999992</v>
      </c>
      <c r="AC109" s="18">
        <v>247.2318875</v>
      </c>
      <c r="AD109" s="18">
        <v>0</v>
      </c>
      <c r="AE109" s="18">
        <v>1378.7488000000001</v>
      </c>
      <c r="AF109" s="18">
        <v>10.749212499999915</v>
      </c>
      <c r="AG109" s="18">
        <v>0</v>
      </c>
      <c r="AH109" s="18">
        <v>172.34359999999992</v>
      </c>
      <c r="AI109" s="18">
        <v>247.2318875</v>
      </c>
      <c r="AJ109" s="18">
        <v>0</v>
      </c>
      <c r="AK109" s="18">
        <v>1378.7488000000001</v>
      </c>
      <c r="AL109" s="18">
        <v>10.749212499999915</v>
      </c>
      <c r="AM109" s="18">
        <v>0</v>
      </c>
      <c r="AN109" s="18">
        <v>172.34359999999992</v>
      </c>
      <c r="AO109" s="18">
        <v>247.2318875</v>
      </c>
      <c r="AP109" s="18">
        <v>0</v>
      </c>
      <c r="AQ109" s="18">
        <v>1378.7488000000001</v>
      </c>
      <c r="AR109" s="18">
        <v>10.749212499999915</v>
      </c>
      <c r="AS109" s="18">
        <v>0</v>
      </c>
      <c r="AT109" s="18">
        <v>172.34359999999992</v>
      </c>
      <c r="AU109" s="18">
        <v>247.2318875</v>
      </c>
      <c r="AV109" s="18">
        <v>0</v>
      </c>
      <c r="AW109" s="18">
        <v>1378.7488000000001</v>
      </c>
      <c r="AX109" s="18">
        <v>10.749212499999915</v>
      </c>
      <c r="AY109" s="18">
        <v>0</v>
      </c>
      <c r="AZ109" s="18">
        <v>172.34359999999992</v>
      </c>
      <c r="BA109" s="18">
        <v>247.2318875</v>
      </c>
      <c r="BB109" s="18">
        <v>0</v>
      </c>
      <c r="BC109" s="18">
        <v>1378.7488000000001</v>
      </c>
      <c r="BD109" s="18">
        <v>10.749212499999915</v>
      </c>
      <c r="BE109" s="18">
        <v>0</v>
      </c>
      <c r="BF109" s="18">
        <v>172.34359999999992</v>
      </c>
      <c r="BG109" s="18">
        <v>247.2318875</v>
      </c>
      <c r="BH109" s="18">
        <v>0</v>
      </c>
      <c r="BI109" s="18">
        <v>1378.7488000000001</v>
      </c>
      <c r="BJ109" s="18">
        <v>10.749212499999915</v>
      </c>
      <c r="BK109" s="18">
        <v>0</v>
      </c>
      <c r="BL109" s="18">
        <v>172.34359999999992</v>
      </c>
      <c r="BM109" s="18">
        <v>247.2318875</v>
      </c>
      <c r="BN109" s="18">
        <v>0</v>
      </c>
      <c r="BO109" s="18">
        <v>1378.7488000000001</v>
      </c>
      <c r="BP109" s="18"/>
      <c r="BQ109" s="18"/>
      <c r="BR109" s="18"/>
      <c r="BS109" s="18"/>
      <c r="BT109" s="10">
        <f>Tabelle58971121[[#This Row],[Mindestauslastung durch]]*Tabelle58971121[[#This Row],[installierte Leistung MW durch]]</f>
        <v>343.97480000000002</v>
      </c>
      <c r="BU109" s="10">
        <f>Tabelle58971121[[#This Row],[Mindestauslastung min]]*Tabelle58971121[[#This Row],[installierte Leistung MW min]]</f>
        <v>343.26240000000001</v>
      </c>
      <c r="BV109" s="10">
        <f>Tabelle58971121[[#This Row],[Mindestauslastung max]]*Tabelle58971121[[#This Row],[installierte Leistung MW max]]</f>
        <v>344.68720000000002</v>
      </c>
      <c r="BW109" s="8">
        <v>8.0000000000000002E-3</v>
      </c>
      <c r="BX109" s="8">
        <v>8.0000000000000002E-3</v>
      </c>
      <c r="BY109" s="8">
        <v>8.0000000000000002E-3</v>
      </c>
      <c r="BZ109" s="8"/>
      <c r="CA109" s="8">
        <v>8.2499999999999987E-3</v>
      </c>
      <c r="CB109" s="8">
        <v>2E-3</v>
      </c>
      <c r="CC109" s="8">
        <v>1.2E-2</v>
      </c>
      <c r="CD109" s="8">
        <v>8.2499999999999987E-3</v>
      </c>
      <c r="CE109" s="8">
        <v>2E-3</v>
      </c>
      <c r="CF109" s="8">
        <v>1.2E-2</v>
      </c>
      <c r="CG109" s="8">
        <v>8.2499999999999987E-3</v>
      </c>
      <c r="CH109" s="8">
        <v>2E-3</v>
      </c>
      <c r="CI109" s="8">
        <v>1.2E-2</v>
      </c>
      <c r="CJ109" s="8">
        <v>8.2499999999999987E-3</v>
      </c>
      <c r="CK109" s="8">
        <v>2E-3</v>
      </c>
      <c r="CL109" s="8">
        <v>1.2E-2</v>
      </c>
      <c r="CM109" s="8">
        <v>8.2499999999999987E-3</v>
      </c>
      <c r="CN109" s="8">
        <v>2E-3</v>
      </c>
      <c r="CO109" s="8">
        <v>1.2E-2</v>
      </c>
      <c r="CP109" s="8">
        <v>8.2499999999999987E-3</v>
      </c>
      <c r="CQ109" s="8">
        <v>2E-3</v>
      </c>
      <c r="CR109" s="8">
        <v>1.2E-2</v>
      </c>
      <c r="CS109" s="8">
        <v>8.2499999999999987E-3</v>
      </c>
      <c r="CT109" s="8">
        <v>2E-3</v>
      </c>
      <c r="CU109" s="8">
        <v>1.2E-2</v>
      </c>
      <c r="CV109" s="8">
        <v>8.2499999999999987E-3</v>
      </c>
      <c r="CW109" s="8">
        <v>2E-3</v>
      </c>
      <c r="CX109" s="8">
        <v>1.2E-2</v>
      </c>
      <c r="CY109" s="8">
        <v>8.2499999999999987E-3</v>
      </c>
      <c r="CZ109" s="8">
        <v>2E-3</v>
      </c>
      <c r="DA109" s="8">
        <v>1.2E-2</v>
      </c>
      <c r="DB109" s="8"/>
      <c r="DC109" s="8"/>
      <c r="DD109" s="8"/>
      <c r="DE109" s="48">
        <f>Tabelle58971121[[#This Row],[Durchschnittsauslastung min]]*Tabelle58971121[[#This Row],[installierte Leistung MW min]]</f>
        <v>0</v>
      </c>
      <c r="DF109" s="48">
        <f>Tabelle58971121[[#This Row],[Durchschnittsauslastung durch]]*Tabelle58971121[[#This Row],[installierte Leistung MW durch]]</f>
        <v>0</v>
      </c>
      <c r="DG109" s="48">
        <f>Tabelle58971121[[#This Row],[Durchschnittsauslastung max]]*Tabelle58971121[[#This Row],[installierte Leistung MW max]]</f>
        <v>0</v>
      </c>
      <c r="DH109" s="87">
        <f>Tabelle58971121[[#This Row],[Maximalauslastung durch]]*Tabelle58971121[[#This Row],[installierte Leistung MW min]]</f>
        <v>600.70920000000001</v>
      </c>
      <c r="DI109" s="48">
        <f>Tabelle58971121[[#This Row],[Maximalauslastung durch]]*Tabelle58971121[[#This Row],[installierte Leistung MW durch]]</f>
        <v>601.95590000000004</v>
      </c>
      <c r="DJ109" s="18">
        <f>Tabelle58971121[[#This Row],[Maximalauslastung max]]*Tabelle58971121[[#This Row],[installierte Leistung MW durch]]</f>
        <v>1461.8929000000001</v>
      </c>
      <c r="DK109" s="8">
        <v>1.4E-2</v>
      </c>
      <c r="DL109" s="8">
        <v>0</v>
      </c>
      <c r="DM109" s="8">
        <v>3.4000000000000002E-2</v>
      </c>
      <c r="DN109" s="1">
        <v>42996.85</v>
      </c>
      <c r="DO109" s="1">
        <v>42907.8</v>
      </c>
      <c r="DP109" s="1">
        <v>43085.9</v>
      </c>
      <c r="DQ109" s="18"/>
      <c r="DR109" s="18"/>
      <c r="DW109" s="1">
        <v>1.75</v>
      </c>
      <c r="DX109" s="1">
        <v>1.1499999999999999</v>
      </c>
      <c r="DY109" s="1">
        <v>2.35</v>
      </c>
      <c r="DZ109" s="1">
        <v>1.75</v>
      </c>
      <c r="EA109" s="1">
        <v>0.5</v>
      </c>
      <c r="EB109" s="1">
        <v>3</v>
      </c>
      <c r="EC109" s="1">
        <v>3.5</v>
      </c>
      <c r="ED109" s="1">
        <v>2.2999999999999998</v>
      </c>
      <c r="EE109" s="1">
        <v>4.7</v>
      </c>
      <c r="EF109" s="1">
        <v>3.5</v>
      </c>
      <c r="EG109" s="1">
        <v>3.5</v>
      </c>
      <c r="EH109" s="1">
        <v>3.5</v>
      </c>
      <c r="EL109" s="1" t="s">
        <v>1046</v>
      </c>
      <c r="EM109" s="1" t="s">
        <v>1046</v>
      </c>
      <c r="EN109" s="1" t="s">
        <v>1046</v>
      </c>
      <c r="EO109" s="10"/>
      <c r="EP109" s="10"/>
      <c r="EQ109" s="10"/>
      <c r="ER109" s="1">
        <v>220</v>
      </c>
      <c r="ES109" s="1">
        <v>198</v>
      </c>
      <c r="ET109" s="1">
        <v>242</v>
      </c>
      <c r="EU109" s="1">
        <v>92.50411764705882</v>
      </c>
      <c r="EV109" s="18">
        <v>83.243529411764712</v>
      </c>
      <c r="EW109" s="18">
        <v>101.76470588235293</v>
      </c>
      <c r="EX109" s="18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>
        <v>753.05882352941171</v>
      </c>
      <c r="FK109" s="7">
        <v>745.52823529411762</v>
      </c>
      <c r="FL109" s="7">
        <v>760.5894117647058</v>
      </c>
      <c r="FO109" s="1">
        <v>67</v>
      </c>
      <c r="FP109" s="1">
        <v>67</v>
      </c>
      <c r="FQ109" s="1">
        <v>67</v>
      </c>
      <c r="FR109" s="12" t="s">
        <v>743</v>
      </c>
      <c r="FS109" s="12" t="s">
        <v>743</v>
      </c>
      <c r="FT109" s="12" t="s">
        <v>743</v>
      </c>
      <c r="FU109" s="12"/>
      <c r="FV109" s="12" t="s">
        <v>743</v>
      </c>
      <c r="FW109" s="12" t="s">
        <v>743</v>
      </c>
      <c r="FX109" s="12" t="s">
        <v>743</v>
      </c>
      <c r="FY109" s="12" t="s">
        <v>743</v>
      </c>
      <c r="FZ109" s="12" t="s">
        <v>743</v>
      </c>
      <c r="GA109" s="12" t="s">
        <v>743</v>
      </c>
      <c r="GB109" s="12" t="s">
        <v>743</v>
      </c>
      <c r="GE109" s="12" t="s">
        <v>743</v>
      </c>
      <c r="GF109" s="12" t="s">
        <v>743</v>
      </c>
      <c r="GH109" s="12" t="s">
        <v>743</v>
      </c>
    </row>
    <row r="110" spans="1:193" ht="12.75" customHeight="1" x14ac:dyDescent="0.2">
      <c r="A110" s="1" t="s">
        <v>132</v>
      </c>
      <c r="B110" s="1" t="s">
        <v>685</v>
      </c>
      <c r="E110" s="1" t="s">
        <v>142</v>
      </c>
      <c r="F110" s="1">
        <v>2</v>
      </c>
      <c r="G110" s="1">
        <v>2035</v>
      </c>
      <c r="H110" s="1">
        <v>0</v>
      </c>
      <c r="I110" s="1">
        <v>0</v>
      </c>
      <c r="J110" s="1">
        <v>1</v>
      </c>
      <c r="K110" s="18"/>
      <c r="L110" s="18"/>
      <c r="M110" s="18"/>
      <c r="N110" s="18">
        <v>10.253094999999918</v>
      </c>
      <c r="O110" s="18">
        <v>0</v>
      </c>
      <c r="P110" s="18">
        <v>164.38927999999993</v>
      </c>
      <c r="Q110" s="18">
        <v>235.82118499999999</v>
      </c>
      <c r="R110" s="18">
        <v>0</v>
      </c>
      <c r="S110" s="18">
        <v>1315.1142400000001</v>
      </c>
      <c r="T110" s="18">
        <v>10.253094999999918</v>
      </c>
      <c r="U110" s="18">
        <v>0</v>
      </c>
      <c r="V110" s="18">
        <v>164.38927999999993</v>
      </c>
      <c r="W110" s="18">
        <v>235.82118499999999</v>
      </c>
      <c r="X110" s="18">
        <v>0</v>
      </c>
      <c r="Y110" s="18">
        <v>1315.1142400000001</v>
      </c>
      <c r="Z110" s="18">
        <v>10.253094999999918</v>
      </c>
      <c r="AA110" s="18">
        <v>0</v>
      </c>
      <c r="AB110" s="18">
        <v>164.38927999999993</v>
      </c>
      <c r="AC110" s="18">
        <v>235.82118499999999</v>
      </c>
      <c r="AD110" s="18">
        <v>0</v>
      </c>
      <c r="AE110" s="18">
        <v>1315.1142400000001</v>
      </c>
      <c r="AF110" s="18">
        <v>10.253094999999918</v>
      </c>
      <c r="AG110" s="18">
        <v>0</v>
      </c>
      <c r="AH110" s="18">
        <v>164.38927999999993</v>
      </c>
      <c r="AI110" s="18">
        <v>235.82118499999999</v>
      </c>
      <c r="AJ110" s="18">
        <v>0</v>
      </c>
      <c r="AK110" s="18">
        <v>1315.1142400000001</v>
      </c>
      <c r="AL110" s="18">
        <v>10.253094999999918</v>
      </c>
      <c r="AM110" s="18">
        <v>0</v>
      </c>
      <c r="AN110" s="18">
        <v>164.38927999999993</v>
      </c>
      <c r="AO110" s="18">
        <v>235.82118499999999</v>
      </c>
      <c r="AP110" s="18">
        <v>0</v>
      </c>
      <c r="AQ110" s="18">
        <v>1315.1142400000001</v>
      </c>
      <c r="AR110" s="18">
        <v>10.253094999999918</v>
      </c>
      <c r="AS110" s="18">
        <v>0</v>
      </c>
      <c r="AT110" s="18">
        <v>164.38927999999993</v>
      </c>
      <c r="AU110" s="18">
        <v>235.82118499999999</v>
      </c>
      <c r="AV110" s="18">
        <v>0</v>
      </c>
      <c r="AW110" s="18">
        <v>1315.1142400000001</v>
      </c>
      <c r="AX110" s="18">
        <v>10.253094999999918</v>
      </c>
      <c r="AY110" s="18">
        <v>0</v>
      </c>
      <c r="AZ110" s="18">
        <v>164.38927999999993</v>
      </c>
      <c r="BA110" s="18">
        <v>235.82118499999999</v>
      </c>
      <c r="BB110" s="18">
        <v>0</v>
      </c>
      <c r="BC110" s="18">
        <v>1315.1142400000001</v>
      </c>
      <c r="BD110" s="18">
        <v>10.253094999999918</v>
      </c>
      <c r="BE110" s="18">
        <v>0</v>
      </c>
      <c r="BF110" s="18">
        <v>164.38927999999993</v>
      </c>
      <c r="BG110" s="18">
        <v>235.82118499999999</v>
      </c>
      <c r="BH110" s="18">
        <v>0</v>
      </c>
      <c r="BI110" s="18">
        <v>1315.1142400000001</v>
      </c>
      <c r="BJ110" s="18">
        <v>10.253094999999918</v>
      </c>
      <c r="BK110" s="18">
        <v>0</v>
      </c>
      <c r="BL110" s="18">
        <v>164.38927999999993</v>
      </c>
      <c r="BM110" s="18">
        <v>235.82118499999999</v>
      </c>
      <c r="BN110" s="18">
        <v>0</v>
      </c>
      <c r="BO110" s="18">
        <v>1315.1142400000001</v>
      </c>
      <c r="BP110" s="18"/>
      <c r="BQ110" s="18"/>
      <c r="BR110" s="18"/>
      <c r="BS110" s="18"/>
      <c r="BT110" s="10">
        <f>Tabelle58971121[[#This Row],[Mindestauslastung durch]]*Tabelle58971121[[#This Row],[installierte Leistung MW durch]]</f>
        <v>328.09904</v>
      </c>
      <c r="BU110" s="10">
        <f>Tabelle58971121[[#This Row],[Mindestauslastung min]]*Tabelle58971121[[#This Row],[installierte Leistung MW min]]</f>
        <v>327.41952000000003</v>
      </c>
      <c r="BV110" s="10">
        <f>Tabelle58971121[[#This Row],[Mindestauslastung max]]*Tabelle58971121[[#This Row],[installierte Leistung MW max]]</f>
        <v>328.77856000000003</v>
      </c>
      <c r="BW110" s="8">
        <v>8.0000000000000002E-3</v>
      </c>
      <c r="BX110" s="8">
        <v>8.0000000000000002E-3</v>
      </c>
      <c r="BY110" s="8">
        <v>8.0000000000000002E-3</v>
      </c>
      <c r="BZ110" s="8"/>
      <c r="CA110" s="8">
        <v>8.2499999999999987E-3</v>
      </c>
      <c r="CB110" s="8">
        <v>2E-3</v>
      </c>
      <c r="CC110" s="8">
        <v>1.2E-2</v>
      </c>
      <c r="CD110" s="8">
        <v>8.2499999999999987E-3</v>
      </c>
      <c r="CE110" s="8">
        <v>2E-3</v>
      </c>
      <c r="CF110" s="8">
        <v>1.2E-2</v>
      </c>
      <c r="CG110" s="8">
        <v>8.2499999999999987E-3</v>
      </c>
      <c r="CH110" s="8">
        <v>2E-3</v>
      </c>
      <c r="CI110" s="8">
        <v>1.2E-2</v>
      </c>
      <c r="CJ110" s="8">
        <v>8.2499999999999987E-3</v>
      </c>
      <c r="CK110" s="8">
        <v>2E-3</v>
      </c>
      <c r="CL110" s="8">
        <v>1.2E-2</v>
      </c>
      <c r="CM110" s="8">
        <v>8.2499999999999987E-3</v>
      </c>
      <c r="CN110" s="8">
        <v>2E-3</v>
      </c>
      <c r="CO110" s="8">
        <v>1.2E-2</v>
      </c>
      <c r="CP110" s="8">
        <v>8.2499999999999987E-3</v>
      </c>
      <c r="CQ110" s="8">
        <v>2E-3</v>
      </c>
      <c r="CR110" s="8">
        <v>1.2E-2</v>
      </c>
      <c r="CS110" s="8">
        <v>8.2499999999999987E-3</v>
      </c>
      <c r="CT110" s="8">
        <v>2E-3</v>
      </c>
      <c r="CU110" s="8">
        <v>1.2E-2</v>
      </c>
      <c r="CV110" s="8">
        <v>8.2499999999999987E-3</v>
      </c>
      <c r="CW110" s="8">
        <v>2E-3</v>
      </c>
      <c r="CX110" s="8">
        <v>1.2E-2</v>
      </c>
      <c r="CY110" s="8">
        <v>8.2499999999999987E-3</v>
      </c>
      <c r="CZ110" s="8">
        <v>2E-3</v>
      </c>
      <c r="DA110" s="8">
        <v>1.2E-2</v>
      </c>
      <c r="DB110" s="8"/>
      <c r="DC110" s="8"/>
      <c r="DD110" s="8"/>
      <c r="DE110" s="48">
        <f>Tabelle58971121[[#This Row],[Durchschnittsauslastung min]]*Tabelle58971121[[#This Row],[installierte Leistung MW min]]</f>
        <v>0</v>
      </c>
      <c r="DF110" s="48">
        <f>Tabelle58971121[[#This Row],[Durchschnittsauslastung durch]]*Tabelle58971121[[#This Row],[installierte Leistung MW durch]]</f>
        <v>0</v>
      </c>
      <c r="DG110" s="48">
        <f>Tabelle58971121[[#This Row],[Durchschnittsauslastung max]]*Tabelle58971121[[#This Row],[installierte Leistung MW max]]</f>
        <v>0</v>
      </c>
      <c r="DH110" s="87">
        <f>Tabelle58971121[[#This Row],[Maximalauslastung durch]]*Tabelle58971121[[#This Row],[installierte Leistung MW min]]</f>
        <v>572.98416000000009</v>
      </c>
      <c r="DI110" s="48">
        <f>Tabelle58971121[[#This Row],[Maximalauslastung durch]]*Tabelle58971121[[#This Row],[installierte Leistung MW durch]]</f>
        <v>574.17331999999999</v>
      </c>
      <c r="DJ110" s="18">
        <f>Tabelle58971121[[#This Row],[Maximalauslastung max]]*Tabelle58971121[[#This Row],[installierte Leistung MW durch]]</f>
        <v>1394.42092</v>
      </c>
      <c r="DK110" s="8">
        <v>1.4E-2</v>
      </c>
      <c r="DL110" s="8">
        <v>0</v>
      </c>
      <c r="DM110" s="8">
        <v>3.4000000000000002E-2</v>
      </c>
      <c r="DN110" s="1">
        <v>41012.379999999997</v>
      </c>
      <c r="DO110" s="1">
        <v>40927.440000000002</v>
      </c>
      <c r="DP110" s="1">
        <v>41097.32</v>
      </c>
      <c r="DQ110" s="18"/>
      <c r="DR110" s="18"/>
      <c r="DW110" s="1">
        <v>1.75</v>
      </c>
      <c r="DX110" s="1">
        <v>1.1499999999999999</v>
      </c>
      <c r="DY110" s="1">
        <v>2.35</v>
      </c>
      <c r="DZ110" s="1">
        <v>1.75</v>
      </c>
      <c r="EA110" s="1">
        <v>0.5</v>
      </c>
      <c r="EB110" s="1">
        <v>3</v>
      </c>
      <c r="EC110" s="1">
        <v>3.5</v>
      </c>
      <c r="ED110" s="1">
        <v>2.2999999999999998</v>
      </c>
      <c r="EE110" s="1">
        <v>4.7</v>
      </c>
      <c r="EF110" s="1">
        <v>3.5</v>
      </c>
      <c r="EG110" s="1">
        <v>3.5</v>
      </c>
      <c r="EH110" s="1">
        <v>3.5</v>
      </c>
      <c r="EL110" s="1" t="s">
        <v>1046</v>
      </c>
      <c r="EM110" s="1" t="s">
        <v>1046</v>
      </c>
      <c r="EN110" s="1" t="s">
        <v>1046</v>
      </c>
      <c r="EO110" s="10"/>
      <c r="EP110" s="10"/>
      <c r="EQ110" s="10"/>
      <c r="ER110" s="1">
        <v>220</v>
      </c>
      <c r="ES110" s="1">
        <v>198</v>
      </c>
      <c r="ET110" s="1">
        <v>242</v>
      </c>
      <c r="EU110" s="1">
        <v>92.50411764705882</v>
      </c>
      <c r="EV110" s="18">
        <v>83.243529411764712</v>
      </c>
      <c r="EW110" s="18">
        <v>101.76470588235293</v>
      </c>
      <c r="EX110" s="18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>
        <v>753.05882352941171</v>
      </c>
      <c r="FK110" s="7">
        <v>745.52823529411762</v>
      </c>
      <c r="FL110" s="7">
        <v>760.5894117647058</v>
      </c>
      <c r="FO110" s="1">
        <v>67</v>
      </c>
      <c r="FP110" s="1">
        <v>67</v>
      </c>
      <c r="FQ110" s="1">
        <v>67</v>
      </c>
      <c r="FR110" s="12" t="s">
        <v>743</v>
      </c>
      <c r="FS110" s="12" t="s">
        <v>743</v>
      </c>
      <c r="FT110" s="12" t="s">
        <v>743</v>
      </c>
      <c r="FU110" s="12"/>
      <c r="FV110" s="12" t="s">
        <v>743</v>
      </c>
      <c r="FW110" s="12" t="s">
        <v>743</v>
      </c>
      <c r="FX110" s="12" t="s">
        <v>743</v>
      </c>
      <c r="FY110" s="12" t="s">
        <v>743</v>
      </c>
      <c r="FZ110" s="12" t="s">
        <v>743</v>
      </c>
      <c r="GA110" s="12" t="s">
        <v>743</v>
      </c>
      <c r="GB110" s="12" t="s">
        <v>743</v>
      </c>
      <c r="GE110" s="12" t="s">
        <v>743</v>
      </c>
      <c r="GF110" s="12" t="s">
        <v>743</v>
      </c>
      <c r="GH110" s="12" t="s">
        <v>743</v>
      </c>
    </row>
    <row r="111" spans="1:193" ht="12.75" customHeight="1" x14ac:dyDescent="0.2">
      <c r="A111" s="1" t="s">
        <v>132</v>
      </c>
      <c r="B111" s="1" t="s">
        <v>685</v>
      </c>
      <c r="E111" s="1" t="s">
        <v>142</v>
      </c>
      <c r="F111" s="1">
        <v>2</v>
      </c>
      <c r="G111" s="1">
        <v>2040</v>
      </c>
      <c r="H111" s="1">
        <v>0</v>
      </c>
      <c r="I111" s="1">
        <v>0</v>
      </c>
      <c r="J111" s="1">
        <v>1</v>
      </c>
      <c r="K111" s="18"/>
      <c r="L111" s="18"/>
      <c r="M111" s="18"/>
      <c r="N111" s="18">
        <v>9.5916049999999231</v>
      </c>
      <c r="O111" s="18">
        <v>0</v>
      </c>
      <c r="P111" s="18">
        <v>153.78351999999992</v>
      </c>
      <c r="Q111" s="18">
        <v>220.60691499999996</v>
      </c>
      <c r="R111" s="18">
        <v>0</v>
      </c>
      <c r="S111" s="18">
        <v>1230.2681599999999</v>
      </c>
      <c r="T111" s="18">
        <v>9.5916049999999231</v>
      </c>
      <c r="U111" s="18">
        <v>0</v>
      </c>
      <c r="V111" s="18">
        <v>153.78351999999992</v>
      </c>
      <c r="W111" s="18">
        <v>220.60691499999996</v>
      </c>
      <c r="X111" s="18">
        <v>0</v>
      </c>
      <c r="Y111" s="18">
        <v>1230.2681599999999</v>
      </c>
      <c r="Z111" s="18">
        <v>9.5916049999999231</v>
      </c>
      <c r="AA111" s="18">
        <v>0</v>
      </c>
      <c r="AB111" s="18">
        <v>153.78351999999992</v>
      </c>
      <c r="AC111" s="18">
        <v>220.60691499999996</v>
      </c>
      <c r="AD111" s="18">
        <v>0</v>
      </c>
      <c r="AE111" s="18">
        <v>1230.2681599999999</v>
      </c>
      <c r="AF111" s="18">
        <v>9.5916049999999231</v>
      </c>
      <c r="AG111" s="18">
        <v>0</v>
      </c>
      <c r="AH111" s="18">
        <v>153.78351999999992</v>
      </c>
      <c r="AI111" s="18">
        <v>220.60691499999996</v>
      </c>
      <c r="AJ111" s="18">
        <v>0</v>
      </c>
      <c r="AK111" s="18">
        <v>1230.2681599999999</v>
      </c>
      <c r="AL111" s="18">
        <v>9.5916049999999231</v>
      </c>
      <c r="AM111" s="18">
        <v>0</v>
      </c>
      <c r="AN111" s="18">
        <v>153.78351999999992</v>
      </c>
      <c r="AO111" s="18">
        <v>220.60691499999996</v>
      </c>
      <c r="AP111" s="18">
        <v>0</v>
      </c>
      <c r="AQ111" s="18">
        <v>1230.2681599999999</v>
      </c>
      <c r="AR111" s="18">
        <v>9.5916049999999231</v>
      </c>
      <c r="AS111" s="18">
        <v>0</v>
      </c>
      <c r="AT111" s="18">
        <v>153.78351999999992</v>
      </c>
      <c r="AU111" s="18">
        <v>220.60691499999996</v>
      </c>
      <c r="AV111" s="18">
        <v>0</v>
      </c>
      <c r="AW111" s="18">
        <v>1230.2681599999999</v>
      </c>
      <c r="AX111" s="18">
        <v>9.5916049999999231</v>
      </c>
      <c r="AY111" s="18">
        <v>0</v>
      </c>
      <c r="AZ111" s="18">
        <v>153.78351999999992</v>
      </c>
      <c r="BA111" s="18">
        <v>220.60691499999996</v>
      </c>
      <c r="BB111" s="18">
        <v>0</v>
      </c>
      <c r="BC111" s="18">
        <v>1230.2681599999999</v>
      </c>
      <c r="BD111" s="18">
        <v>9.5916049999999231</v>
      </c>
      <c r="BE111" s="18">
        <v>0</v>
      </c>
      <c r="BF111" s="18">
        <v>153.78351999999992</v>
      </c>
      <c r="BG111" s="18">
        <v>220.60691499999996</v>
      </c>
      <c r="BH111" s="18">
        <v>0</v>
      </c>
      <c r="BI111" s="18">
        <v>1230.2681599999999</v>
      </c>
      <c r="BJ111" s="18">
        <v>9.5916049999999231</v>
      </c>
      <c r="BK111" s="18">
        <v>0</v>
      </c>
      <c r="BL111" s="18">
        <v>153.78351999999992</v>
      </c>
      <c r="BM111" s="18">
        <v>220.60691499999996</v>
      </c>
      <c r="BN111" s="18">
        <v>0</v>
      </c>
      <c r="BO111" s="18">
        <v>1230.2681599999999</v>
      </c>
      <c r="BP111" s="18"/>
      <c r="BQ111" s="18"/>
      <c r="BR111" s="18"/>
      <c r="BS111" s="18"/>
      <c r="BT111" s="10">
        <f>Tabelle58971121[[#This Row],[Mindestauslastung durch]]*Tabelle58971121[[#This Row],[installierte Leistung MW durch]]</f>
        <v>306.93135999999998</v>
      </c>
      <c r="BU111" s="10">
        <f>Tabelle58971121[[#This Row],[Mindestauslastung min]]*Tabelle58971121[[#This Row],[installierte Leistung MW min]]</f>
        <v>306.29568</v>
      </c>
      <c r="BV111" s="10">
        <f>Tabelle58971121[[#This Row],[Mindestauslastung max]]*Tabelle58971121[[#This Row],[installierte Leistung MW max]]</f>
        <v>307.56703999999996</v>
      </c>
      <c r="BW111" s="8">
        <v>8.0000000000000002E-3</v>
      </c>
      <c r="BX111" s="8">
        <v>8.0000000000000002E-3</v>
      </c>
      <c r="BY111" s="8">
        <v>8.0000000000000002E-3</v>
      </c>
      <c r="BZ111" s="8"/>
      <c r="CA111" s="8">
        <v>8.2499999999999987E-3</v>
      </c>
      <c r="CB111" s="8">
        <v>2E-3</v>
      </c>
      <c r="CC111" s="8">
        <v>1.2E-2</v>
      </c>
      <c r="CD111" s="8">
        <v>8.2499999999999987E-3</v>
      </c>
      <c r="CE111" s="8">
        <v>2E-3</v>
      </c>
      <c r="CF111" s="8">
        <v>1.2E-2</v>
      </c>
      <c r="CG111" s="8">
        <v>8.2499999999999987E-3</v>
      </c>
      <c r="CH111" s="8">
        <v>2E-3</v>
      </c>
      <c r="CI111" s="8">
        <v>1.2E-2</v>
      </c>
      <c r="CJ111" s="8">
        <v>8.2499999999999987E-3</v>
      </c>
      <c r="CK111" s="8">
        <v>2E-3</v>
      </c>
      <c r="CL111" s="8">
        <v>1.2E-2</v>
      </c>
      <c r="CM111" s="8">
        <v>8.2499999999999987E-3</v>
      </c>
      <c r="CN111" s="8">
        <v>2E-3</v>
      </c>
      <c r="CO111" s="8">
        <v>1.2E-2</v>
      </c>
      <c r="CP111" s="8">
        <v>8.2499999999999987E-3</v>
      </c>
      <c r="CQ111" s="8">
        <v>2E-3</v>
      </c>
      <c r="CR111" s="8">
        <v>1.2E-2</v>
      </c>
      <c r="CS111" s="8">
        <v>8.2499999999999987E-3</v>
      </c>
      <c r="CT111" s="8">
        <v>2E-3</v>
      </c>
      <c r="CU111" s="8">
        <v>1.2E-2</v>
      </c>
      <c r="CV111" s="8">
        <v>8.2499999999999987E-3</v>
      </c>
      <c r="CW111" s="8">
        <v>2E-3</v>
      </c>
      <c r="CX111" s="8">
        <v>1.2E-2</v>
      </c>
      <c r="CY111" s="8">
        <v>8.2499999999999987E-3</v>
      </c>
      <c r="CZ111" s="8">
        <v>2E-3</v>
      </c>
      <c r="DA111" s="8">
        <v>1.2E-2</v>
      </c>
      <c r="DB111" s="8"/>
      <c r="DC111" s="8"/>
      <c r="DD111" s="8"/>
      <c r="DE111" s="48">
        <f>Tabelle58971121[[#This Row],[Durchschnittsauslastung min]]*Tabelle58971121[[#This Row],[installierte Leistung MW min]]</f>
        <v>0</v>
      </c>
      <c r="DF111" s="48">
        <f>Tabelle58971121[[#This Row],[Durchschnittsauslastung durch]]*Tabelle58971121[[#This Row],[installierte Leistung MW durch]]</f>
        <v>0</v>
      </c>
      <c r="DG111" s="48">
        <f>Tabelle58971121[[#This Row],[Durchschnittsauslastung max]]*Tabelle58971121[[#This Row],[installierte Leistung MW max]]</f>
        <v>0</v>
      </c>
      <c r="DH111" s="87">
        <f>Tabelle58971121[[#This Row],[Maximalauslastung durch]]*Tabelle58971121[[#This Row],[installierte Leistung MW min]]</f>
        <v>536.01743999999997</v>
      </c>
      <c r="DI111" s="48">
        <f>Tabelle58971121[[#This Row],[Maximalauslastung durch]]*Tabelle58971121[[#This Row],[installierte Leistung MW durch]]</f>
        <v>537.12987999999996</v>
      </c>
      <c r="DJ111" s="18">
        <f>Tabelle58971121[[#This Row],[Maximalauslastung max]]*Tabelle58971121[[#This Row],[installierte Leistung MW durch]]</f>
        <v>1304.4582800000001</v>
      </c>
      <c r="DK111" s="8">
        <v>1.4E-2</v>
      </c>
      <c r="DL111" s="8">
        <v>0</v>
      </c>
      <c r="DM111" s="8">
        <v>3.4000000000000002E-2</v>
      </c>
      <c r="DN111" s="1">
        <v>38366.42</v>
      </c>
      <c r="DO111" s="1">
        <v>38286.959999999999</v>
      </c>
      <c r="DP111" s="1">
        <v>38445.879999999997</v>
      </c>
      <c r="DQ111" s="18"/>
      <c r="DR111" s="18"/>
      <c r="DW111" s="1">
        <v>1.75</v>
      </c>
      <c r="DX111" s="1">
        <v>1.1499999999999999</v>
      </c>
      <c r="DY111" s="1">
        <v>2.35</v>
      </c>
      <c r="DZ111" s="1">
        <v>1.75</v>
      </c>
      <c r="EA111" s="1">
        <v>0.5</v>
      </c>
      <c r="EB111" s="1">
        <v>3</v>
      </c>
      <c r="EC111" s="1">
        <v>3.5</v>
      </c>
      <c r="ED111" s="1">
        <v>2.2999999999999998</v>
      </c>
      <c r="EE111" s="1">
        <v>4.7</v>
      </c>
      <c r="EF111" s="1">
        <v>3.5</v>
      </c>
      <c r="EG111" s="1">
        <v>3.5</v>
      </c>
      <c r="EH111" s="1">
        <v>3.5</v>
      </c>
      <c r="EL111" s="1" t="s">
        <v>1046</v>
      </c>
      <c r="EM111" s="1" t="s">
        <v>1046</v>
      </c>
      <c r="EN111" s="1" t="s">
        <v>1046</v>
      </c>
      <c r="EO111" s="10"/>
      <c r="EP111" s="10"/>
      <c r="EQ111" s="10"/>
      <c r="ER111" s="1">
        <v>220</v>
      </c>
      <c r="ES111" s="1">
        <v>198</v>
      </c>
      <c r="ET111" s="1">
        <v>242</v>
      </c>
      <c r="EU111" s="1">
        <v>92.50411764705882</v>
      </c>
      <c r="EV111" s="18">
        <v>83.243529411764712</v>
      </c>
      <c r="EW111" s="18">
        <v>101.76470588235293</v>
      </c>
      <c r="EX111" s="18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>
        <v>753.05882352941171</v>
      </c>
      <c r="FK111" s="7">
        <v>745.52823529411762</v>
      </c>
      <c r="FL111" s="7">
        <v>760.5894117647058</v>
      </c>
      <c r="FO111" s="1">
        <v>67</v>
      </c>
      <c r="FP111" s="1">
        <v>67</v>
      </c>
      <c r="FQ111" s="1">
        <v>67</v>
      </c>
      <c r="FR111" s="12" t="s">
        <v>743</v>
      </c>
      <c r="FS111" s="12" t="s">
        <v>743</v>
      </c>
      <c r="FT111" s="12" t="s">
        <v>743</v>
      </c>
      <c r="FU111" s="12"/>
      <c r="FV111" s="12" t="s">
        <v>743</v>
      </c>
      <c r="FW111" s="12" t="s">
        <v>743</v>
      </c>
      <c r="FX111" s="12" t="s">
        <v>743</v>
      </c>
      <c r="FY111" s="12" t="s">
        <v>743</v>
      </c>
      <c r="FZ111" s="12" t="s">
        <v>743</v>
      </c>
      <c r="GA111" s="12" t="s">
        <v>743</v>
      </c>
      <c r="GB111" s="12" t="s">
        <v>743</v>
      </c>
      <c r="GE111" s="12" t="s">
        <v>743</v>
      </c>
      <c r="GF111" s="12" t="s">
        <v>743</v>
      </c>
      <c r="GH111" s="12" t="s">
        <v>743</v>
      </c>
    </row>
    <row r="112" spans="1:193" ht="12.75" customHeight="1" x14ac:dyDescent="0.2">
      <c r="A112" s="1" t="s">
        <v>132</v>
      </c>
      <c r="B112" s="1" t="s">
        <v>685</v>
      </c>
      <c r="E112" s="1" t="s">
        <v>142</v>
      </c>
      <c r="F112" s="1">
        <v>2</v>
      </c>
      <c r="G112" s="1">
        <v>2045</v>
      </c>
      <c r="H112" s="1">
        <v>0</v>
      </c>
      <c r="I112" s="1">
        <v>0</v>
      </c>
      <c r="J112" s="1">
        <v>1</v>
      </c>
      <c r="K112" s="18"/>
      <c r="L112" s="18"/>
      <c r="M112" s="18"/>
      <c r="N112" s="18">
        <v>9.095487499999928</v>
      </c>
      <c r="O112" s="18">
        <v>0</v>
      </c>
      <c r="P112" s="18">
        <v>145.82919999999996</v>
      </c>
      <c r="Q112" s="18">
        <v>209.1962125</v>
      </c>
      <c r="R112" s="18">
        <v>0</v>
      </c>
      <c r="S112" s="18">
        <v>1166.6336000000001</v>
      </c>
      <c r="T112" s="18">
        <v>9.095487499999928</v>
      </c>
      <c r="U112" s="18">
        <v>0</v>
      </c>
      <c r="V112" s="18">
        <v>145.82919999999996</v>
      </c>
      <c r="W112" s="18">
        <v>209.1962125</v>
      </c>
      <c r="X112" s="18">
        <v>0</v>
      </c>
      <c r="Y112" s="18">
        <v>1166.6336000000001</v>
      </c>
      <c r="Z112" s="18">
        <v>9.095487499999928</v>
      </c>
      <c r="AA112" s="18">
        <v>0</v>
      </c>
      <c r="AB112" s="18">
        <v>145.82919999999996</v>
      </c>
      <c r="AC112" s="18">
        <v>209.1962125</v>
      </c>
      <c r="AD112" s="18">
        <v>0</v>
      </c>
      <c r="AE112" s="18">
        <v>1166.6336000000001</v>
      </c>
      <c r="AF112" s="18">
        <v>9.095487499999928</v>
      </c>
      <c r="AG112" s="18">
        <v>0</v>
      </c>
      <c r="AH112" s="18">
        <v>145.82919999999996</v>
      </c>
      <c r="AI112" s="18">
        <v>209.1962125</v>
      </c>
      <c r="AJ112" s="18">
        <v>0</v>
      </c>
      <c r="AK112" s="18">
        <v>1166.6336000000001</v>
      </c>
      <c r="AL112" s="18">
        <v>9.095487499999928</v>
      </c>
      <c r="AM112" s="18">
        <v>0</v>
      </c>
      <c r="AN112" s="18">
        <v>145.82919999999996</v>
      </c>
      <c r="AO112" s="18">
        <v>209.1962125</v>
      </c>
      <c r="AP112" s="18">
        <v>0</v>
      </c>
      <c r="AQ112" s="18">
        <v>1166.6336000000001</v>
      </c>
      <c r="AR112" s="18">
        <v>9.095487499999928</v>
      </c>
      <c r="AS112" s="18">
        <v>0</v>
      </c>
      <c r="AT112" s="18">
        <v>145.82919999999996</v>
      </c>
      <c r="AU112" s="18">
        <v>209.1962125</v>
      </c>
      <c r="AV112" s="18">
        <v>0</v>
      </c>
      <c r="AW112" s="18">
        <v>1166.6336000000001</v>
      </c>
      <c r="AX112" s="18">
        <v>9.095487499999928</v>
      </c>
      <c r="AY112" s="18">
        <v>0</v>
      </c>
      <c r="AZ112" s="18">
        <v>145.82919999999996</v>
      </c>
      <c r="BA112" s="18">
        <v>209.1962125</v>
      </c>
      <c r="BB112" s="18">
        <v>0</v>
      </c>
      <c r="BC112" s="18">
        <v>1166.6336000000001</v>
      </c>
      <c r="BD112" s="18">
        <v>9.095487499999928</v>
      </c>
      <c r="BE112" s="18">
        <v>0</v>
      </c>
      <c r="BF112" s="18">
        <v>145.82919999999996</v>
      </c>
      <c r="BG112" s="18">
        <v>209.1962125</v>
      </c>
      <c r="BH112" s="18">
        <v>0</v>
      </c>
      <c r="BI112" s="18">
        <v>1166.6336000000001</v>
      </c>
      <c r="BJ112" s="18">
        <v>9.095487499999928</v>
      </c>
      <c r="BK112" s="18">
        <v>0</v>
      </c>
      <c r="BL112" s="18">
        <v>145.82919999999996</v>
      </c>
      <c r="BM112" s="18">
        <v>209.1962125</v>
      </c>
      <c r="BN112" s="18">
        <v>0</v>
      </c>
      <c r="BO112" s="18">
        <v>1166.6336000000001</v>
      </c>
      <c r="BP112" s="18"/>
      <c r="BQ112" s="18"/>
      <c r="BR112" s="18"/>
      <c r="BS112" s="18"/>
      <c r="BT112" s="10">
        <f>Tabelle58971121[[#This Row],[Mindestauslastung durch]]*Tabelle58971121[[#This Row],[installierte Leistung MW durch]]</f>
        <v>291.05559999999997</v>
      </c>
      <c r="BU112" s="10">
        <f>Tabelle58971121[[#This Row],[Mindestauslastung min]]*Tabelle58971121[[#This Row],[installierte Leistung MW min]]</f>
        <v>290.45279999999997</v>
      </c>
      <c r="BV112" s="10">
        <f>Tabelle58971121[[#This Row],[Mindestauslastung max]]*Tabelle58971121[[#This Row],[installierte Leistung MW max]]</f>
        <v>291.65840000000003</v>
      </c>
      <c r="BW112" s="8">
        <v>8.0000000000000002E-3</v>
      </c>
      <c r="BX112" s="8">
        <v>8.0000000000000002E-3</v>
      </c>
      <c r="BY112" s="8">
        <v>8.0000000000000002E-3</v>
      </c>
      <c r="BZ112" s="8"/>
      <c r="CA112" s="8">
        <v>8.2499999999999987E-3</v>
      </c>
      <c r="CB112" s="8">
        <v>2E-3</v>
      </c>
      <c r="CC112" s="8">
        <v>1.2E-2</v>
      </c>
      <c r="CD112" s="8">
        <v>8.2499999999999987E-3</v>
      </c>
      <c r="CE112" s="8">
        <v>2E-3</v>
      </c>
      <c r="CF112" s="8">
        <v>1.2E-2</v>
      </c>
      <c r="CG112" s="8">
        <v>8.2499999999999987E-3</v>
      </c>
      <c r="CH112" s="8">
        <v>2E-3</v>
      </c>
      <c r="CI112" s="8">
        <v>1.2E-2</v>
      </c>
      <c r="CJ112" s="8">
        <v>8.2499999999999987E-3</v>
      </c>
      <c r="CK112" s="8">
        <v>2E-3</v>
      </c>
      <c r="CL112" s="8">
        <v>1.2E-2</v>
      </c>
      <c r="CM112" s="8">
        <v>8.2499999999999987E-3</v>
      </c>
      <c r="CN112" s="8">
        <v>2E-3</v>
      </c>
      <c r="CO112" s="8">
        <v>1.2E-2</v>
      </c>
      <c r="CP112" s="8">
        <v>8.2499999999999987E-3</v>
      </c>
      <c r="CQ112" s="8">
        <v>2E-3</v>
      </c>
      <c r="CR112" s="8">
        <v>1.2E-2</v>
      </c>
      <c r="CS112" s="8">
        <v>8.2499999999999987E-3</v>
      </c>
      <c r="CT112" s="8">
        <v>2E-3</v>
      </c>
      <c r="CU112" s="8">
        <v>1.2E-2</v>
      </c>
      <c r="CV112" s="8">
        <v>8.2499999999999987E-3</v>
      </c>
      <c r="CW112" s="8">
        <v>2E-3</v>
      </c>
      <c r="CX112" s="8">
        <v>1.2E-2</v>
      </c>
      <c r="CY112" s="8">
        <v>8.2499999999999987E-3</v>
      </c>
      <c r="CZ112" s="8">
        <v>2E-3</v>
      </c>
      <c r="DA112" s="8">
        <v>1.2E-2</v>
      </c>
      <c r="DB112" s="8"/>
      <c r="DC112" s="8"/>
      <c r="DD112" s="8"/>
      <c r="DE112" s="48">
        <f>Tabelle58971121[[#This Row],[Durchschnittsauslastung min]]*Tabelle58971121[[#This Row],[installierte Leistung MW min]]</f>
        <v>0</v>
      </c>
      <c r="DF112" s="48">
        <f>Tabelle58971121[[#This Row],[Durchschnittsauslastung durch]]*Tabelle58971121[[#This Row],[installierte Leistung MW durch]]</f>
        <v>0</v>
      </c>
      <c r="DG112" s="48">
        <f>Tabelle58971121[[#This Row],[Durchschnittsauslastung max]]*Tabelle58971121[[#This Row],[installierte Leistung MW max]]</f>
        <v>0</v>
      </c>
      <c r="DH112" s="87">
        <f>Tabelle58971121[[#This Row],[Maximalauslastung durch]]*Tabelle58971121[[#This Row],[installierte Leistung MW min]]</f>
        <v>508.29239999999999</v>
      </c>
      <c r="DI112" s="48">
        <f>Tabelle58971121[[#This Row],[Maximalauslastung durch]]*Tabelle58971121[[#This Row],[installierte Leistung MW durch]]</f>
        <v>509.34729999999996</v>
      </c>
      <c r="DJ112" s="18">
        <f>Tabelle58971121[[#This Row],[Maximalauslastung max]]*Tabelle58971121[[#This Row],[installierte Leistung MW durch]]</f>
        <v>1236.9863</v>
      </c>
      <c r="DK112" s="8">
        <v>1.4E-2</v>
      </c>
      <c r="DL112" s="8">
        <v>0</v>
      </c>
      <c r="DM112" s="8">
        <v>3.4000000000000002E-2</v>
      </c>
      <c r="DN112" s="1">
        <v>36381.949999999997</v>
      </c>
      <c r="DO112" s="1">
        <v>36306.6</v>
      </c>
      <c r="DP112" s="1">
        <v>36457.300000000003</v>
      </c>
      <c r="DQ112" s="18"/>
      <c r="DR112" s="18"/>
      <c r="DW112" s="1">
        <v>1.75</v>
      </c>
      <c r="DX112" s="1">
        <v>1.1499999999999999</v>
      </c>
      <c r="DY112" s="1">
        <v>2.35</v>
      </c>
      <c r="DZ112" s="1">
        <v>1.75</v>
      </c>
      <c r="EA112" s="1">
        <v>0.5</v>
      </c>
      <c r="EB112" s="1">
        <v>3</v>
      </c>
      <c r="EC112" s="1">
        <v>3.5</v>
      </c>
      <c r="ED112" s="1">
        <v>2.2999999999999998</v>
      </c>
      <c r="EE112" s="1">
        <v>4.7</v>
      </c>
      <c r="EF112" s="1">
        <v>3.5</v>
      </c>
      <c r="EG112" s="1">
        <v>3.5</v>
      </c>
      <c r="EH112" s="1">
        <v>3.5</v>
      </c>
      <c r="EL112" s="1" t="s">
        <v>1046</v>
      </c>
      <c r="EM112" s="1" t="s">
        <v>1046</v>
      </c>
      <c r="EN112" s="1" t="s">
        <v>1046</v>
      </c>
      <c r="EO112" s="10"/>
      <c r="EP112" s="10"/>
      <c r="EQ112" s="10"/>
      <c r="ER112" s="1">
        <v>220</v>
      </c>
      <c r="ES112" s="1">
        <v>198</v>
      </c>
      <c r="ET112" s="1">
        <v>242</v>
      </c>
      <c r="EU112" s="1">
        <v>92.50411764705882</v>
      </c>
      <c r="EV112" s="18">
        <v>83.243529411764712</v>
      </c>
      <c r="EW112" s="18">
        <v>101.76470588235293</v>
      </c>
      <c r="EX112" s="18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>
        <v>753.05882352941171</v>
      </c>
      <c r="FK112" s="7">
        <v>745.52823529411762</v>
      </c>
      <c r="FL112" s="7">
        <v>760.5894117647058</v>
      </c>
      <c r="FO112" s="1">
        <v>67</v>
      </c>
      <c r="FP112" s="1">
        <v>67</v>
      </c>
      <c r="FQ112" s="1">
        <v>67</v>
      </c>
      <c r="FR112" s="12" t="s">
        <v>743</v>
      </c>
      <c r="FS112" s="12" t="s">
        <v>743</v>
      </c>
      <c r="FT112" s="12" t="s">
        <v>743</v>
      </c>
      <c r="FU112" s="12"/>
      <c r="FV112" s="12" t="s">
        <v>743</v>
      </c>
      <c r="FW112" s="12" t="s">
        <v>743</v>
      </c>
      <c r="FX112" s="12" t="s">
        <v>743</v>
      </c>
      <c r="FY112" s="12" t="s">
        <v>743</v>
      </c>
      <c r="FZ112" s="12" t="s">
        <v>743</v>
      </c>
      <c r="GA112" s="12" t="s">
        <v>743</v>
      </c>
      <c r="GB112" s="12" t="s">
        <v>743</v>
      </c>
      <c r="GE112" s="12" t="s">
        <v>743</v>
      </c>
      <c r="GF112" s="12" t="s">
        <v>743</v>
      </c>
      <c r="GH112" s="12" t="s">
        <v>743</v>
      </c>
    </row>
    <row r="113" spans="1:190" ht="12.75" customHeight="1" x14ac:dyDescent="0.2">
      <c r="A113" s="1" t="s">
        <v>132</v>
      </c>
      <c r="B113" s="1" t="s">
        <v>685</v>
      </c>
      <c r="E113" s="1" t="s">
        <v>142</v>
      </c>
      <c r="F113" s="1">
        <v>2</v>
      </c>
      <c r="G113" s="1">
        <v>2050</v>
      </c>
      <c r="H113" s="1">
        <v>0</v>
      </c>
      <c r="I113" s="1">
        <v>0</v>
      </c>
      <c r="J113" s="1">
        <v>1</v>
      </c>
      <c r="K113" s="18"/>
      <c r="L113" s="18"/>
      <c r="M113" s="18"/>
      <c r="N113" s="18">
        <v>8.4339974999999328</v>
      </c>
      <c r="O113" s="18">
        <v>0</v>
      </c>
      <c r="P113" s="18">
        <v>135.22343999999995</v>
      </c>
      <c r="Q113" s="18">
        <v>193.9819425</v>
      </c>
      <c r="R113" s="18">
        <v>0</v>
      </c>
      <c r="S113" s="18">
        <v>1081.7875200000001</v>
      </c>
      <c r="T113" s="18">
        <v>8.4339974999999328</v>
      </c>
      <c r="U113" s="18">
        <v>0</v>
      </c>
      <c r="V113" s="18">
        <v>135.22343999999995</v>
      </c>
      <c r="W113" s="18">
        <v>193.9819425</v>
      </c>
      <c r="X113" s="18">
        <v>0</v>
      </c>
      <c r="Y113" s="18">
        <v>1081.7875200000001</v>
      </c>
      <c r="Z113" s="18">
        <v>8.4339974999999328</v>
      </c>
      <c r="AA113" s="18">
        <v>0</v>
      </c>
      <c r="AB113" s="18">
        <v>135.22343999999995</v>
      </c>
      <c r="AC113" s="18">
        <v>193.9819425</v>
      </c>
      <c r="AD113" s="18">
        <v>0</v>
      </c>
      <c r="AE113" s="18">
        <v>1081.7875200000001</v>
      </c>
      <c r="AF113" s="18">
        <v>8.4339974999999328</v>
      </c>
      <c r="AG113" s="18">
        <v>0</v>
      </c>
      <c r="AH113" s="18">
        <v>135.22343999999995</v>
      </c>
      <c r="AI113" s="18">
        <v>193.9819425</v>
      </c>
      <c r="AJ113" s="18">
        <v>0</v>
      </c>
      <c r="AK113" s="18">
        <v>1081.7875200000001</v>
      </c>
      <c r="AL113" s="18">
        <v>8.4339974999999328</v>
      </c>
      <c r="AM113" s="18">
        <v>0</v>
      </c>
      <c r="AN113" s="18">
        <v>135.22343999999995</v>
      </c>
      <c r="AO113" s="18">
        <v>193.9819425</v>
      </c>
      <c r="AP113" s="18">
        <v>0</v>
      </c>
      <c r="AQ113" s="18">
        <v>1081.7875200000001</v>
      </c>
      <c r="AR113" s="18">
        <v>8.4339974999999328</v>
      </c>
      <c r="AS113" s="18">
        <v>0</v>
      </c>
      <c r="AT113" s="18">
        <v>135.22343999999995</v>
      </c>
      <c r="AU113" s="18">
        <v>193.9819425</v>
      </c>
      <c r="AV113" s="18">
        <v>0</v>
      </c>
      <c r="AW113" s="18">
        <v>1081.7875200000001</v>
      </c>
      <c r="AX113" s="18">
        <v>8.4339974999999328</v>
      </c>
      <c r="AY113" s="18">
        <v>0</v>
      </c>
      <c r="AZ113" s="18">
        <v>135.22343999999995</v>
      </c>
      <c r="BA113" s="18">
        <v>193.9819425</v>
      </c>
      <c r="BB113" s="18">
        <v>0</v>
      </c>
      <c r="BC113" s="18">
        <v>1081.7875200000001</v>
      </c>
      <c r="BD113" s="18">
        <v>8.4339974999999328</v>
      </c>
      <c r="BE113" s="18">
        <v>0</v>
      </c>
      <c r="BF113" s="18">
        <v>135.22343999999995</v>
      </c>
      <c r="BG113" s="18">
        <v>193.9819425</v>
      </c>
      <c r="BH113" s="18">
        <v>0</v>
      </c>
      <c r="BI113" s="18">
        <v>1081.7875200000001</v>
      </c>
      <c r="BJ113" s="18">
        <v>8.4339974999999328</v>
      </c>
      <c r="BK113" s="18">
        <v>0</v>
      </c>
      <c r="BL113" s="18">
        <v>135.22343999999995</v>
      </c>
      <c r="BM113" s="18">
        <v>193.9819425</v>
      </c>
      <c r="BN113" s="18">
        <v>0</v>
      </c>
      <c r="BO113" s="18">
        <v>1081.7875200000001</v>
      </c>
      <c r="BP113" s="18"/>
      <c r="BQ113" s="18"/>
      <c r="BR113" s="18"/>
      <c r="BS113" s="18"/>
      <c r="BT113" s="10">
        <f>Tabelle58971121[[#This Row],[Mindestauslastung durch]]*Tabelle58971121[[#This Row],[installierte Leistung MW durch]]</f>
        <v>269.88792000000001</v>
      </c>
      <c r="BU113" s="10">
        <f>Tabelle58971121[[#This Row],[Mindestauslastung min]]*Tabelle58971121[[#This Row],[installierte Leistung MW min]]</f>
        <v>269.32896000000005</v>
      </c>
      <c r="BV113" s="10">
        <f>Tabelle58971121[[#This Row],[Mindestauslastung max]]*Tabelle58971121[[#This Row],[installierte Leistung MW max]]</f>
        <v>270.44688000000002</v>
      </c>
      <c r="BW113" s="8">
        <v>8.0000000000000002E-3</v>
      </c>
      <c r="BX113" s="8">
        <v>8.0000000000000002E-3</v>
      </c>
      <c r="BY113" s="8">
        <v>8.0000000000000002E-3</v>
      </c>
      <c r="BZ113" s="8"/>
      <c r="CA113" s="8">
        <v>8.2499999999999987E-3</v>
      </c>
      <c r="CB113" s="8">
        <v>2E-3</v>
      </c>
      <c r="CC113" s="8">
        <v>1.2E-2</v>
      </c>
      <c r="CD113" s="8">
        <v>8.2499999999999987E-3</v>
      </c>
      <c r="CE113" s="8">
        <v>2E-3</v>
      </c>
      <c r="CF113" s="8">
        <v>1.2E-2</v>
      </c>
      <c r="CG113" s="8">
        <v>8.2499999999999987E-3</v>
      </c>
      <c r="CH113" s="8">
        <v>2E-3</v>
      </c>
      <c r="CI113" s="8">
        <v>1.2E-2</v>
      </c>
      <c r="CJ113" s="8">
        <v>8.2499999999999987E-3</v>
      </c>
      <c r="CK113" s="8">
        <v>2E-3</v>
      </c>
      <c r="CL113" s="8">
        <v>1.2E-2</v>
      </c>
      <c r="CM113" s="8">
        <v>8.2499999999999987E-3</v>
      </c>
      <c r="CN113" s="8">
        <v>2E-3</v>
      </c>
      <c r="CO113" s="8">
        <v>1.2E-2</v>
      </c>
      <c r="CP113" s="8">
        <v>8.2499999999999987E-3</v>
      </c>
      <c r="CQ113" s="8">
        <v>2E-3</v>
      </c>
      <c r="CR113" s="8">
        <v>1.2E-2</v>
      </c>
      <c r="CS113" s="8">
        <v>8.2499999999999987E-3</v>
      </c>
      <c r="CT113" s="8">
        <v>2E-3</v>
      </c>
      <c r="CU113" s="8">
        <v>1.2E-2</v>
      </c>
      <c r="CV113" s="8">
        <v>8.2499999999999987E-3</v>
      </c>
      <c r="CW113" s="8">
        <v>2E-3</v>
      </c>
      <c r="CX113" s="8">
        <v>1.2E-2</v>
      </c>
      <c r="CY113" s="8">
        <v>8.2499999999999987E-3</v>
      </c>
      <c r="CZ113" s="8">
        <v>2E-3</v>
      </c>
      <c r="DA113" s="8">
        <v>1.2E-2</v>
      </c>
      <c r="DB113" s="8"/>
      <c r="DC113" s="8"/>
      <c r="DD113" s="8"/>
      <c r="DE113" s="48">
        <f>Tabelle58971121[[#This Row],[Durchschnittsauslastung min]]*Tabelle58971121[[#This Row],[installierte Leistung MW min]]</f>
        <v>0</v>
      </c>
      <c r="DF113" s="48">
        <f>Tabelle58971121[[#This Row],[Durchschnittsauslastung durch]]*Tabelle58971121[[#This Row],[installierte Leistung MW durch]]</f>
        <v>0</v>
      </c>
      <c r="DG113" s="48">
        <f>Tabelle58971121[[#This Row],[Durchschnittsauslastung max]]*Tabelle58971121[[#This Row],[installierte Leistung MW max]]</f>
        <v>0</v>
      </c>
      <c r="DH113" s="87">
        <f>Tabelle58971121[[#This Row],[Maximalauslastung durch]]*Tabelle58971121[[#This Row],[installierte Leistung MW min]]</f>
        <v>471.32568000000003</v>
      </c>
      <c r="DI113" s="48">
        <f>Tabelle58971121[[#This Row],[Maximalauslastung durch]]*Tabelle58971121[[#This Row],[installierte Leistung MW durch]]</f>
        <v>472.30385999999999</v>
      </c>
      <c r="DJ113" s="18">
        <f>Tabelle58971121[[#This Row],[Maximalauslastung max]]*Tabelle58971121[[#This Row],[installierte Leistung MW durch]]</f>
        <v>1147.0236600000001</v>
      </c>
      <c r="DK113" s="8">
        <v>1.4E-2</v>
      </c>
      <c r="DL113" s="8">
        <v>0</v>
      </c>
      <c r="DM113" s="8">
        <v>3.4000000000000002E-2</v>
      </c>
      <c r="DN113" s="1">
        <v>33735.99</v>
      </c>
      <c r="DO113" s="1">
        <v>33666.120000000003</v>
      </c>
      <c r="DP113" s="1">
        <v>33805.86</v>
      </c>
      <c r="DQ113" s="18"/>
      <c r="DR113" s="18"/>
      <c r="DW113" s="1">
        <v>1.75</v>
      </c>
      <c r="DX113" s="1">
        <v>1.1499999999999999</v>
      </c>
      <c r="DY113" s="1">
        <v>2.35</v>
      </c>
      <c r="DZ113" s="1">
        <v>1.75</v>
      </c>
      <c r="EA113" s="1">
        <v>0.5</v>
      </c>
      <c r="EB113" s="1">
        <v>3</v>
      </c>
      <c r="EC113" s="1">
        <v>3.5</v>
      </c>
      <c r="ED113" s="1">
        <v>2.2999999999999998</v>
      </c>
      <c r="EE113" s="1">
        <v>4.7</v>
      </c>
      <c r="EF113" s="1">
        <v>3.5</v>
      </c>
      <c r="EG113" s="1">
        <v>3.5</v>
      </c>
      <c r="EH113" s="1">
        <v>3.5</v>
      </c>
      <c r="EL113" s="1" t="s">
        <v>1046</v>
      </c>
      <c r="EM113" s="1" t="s">
        <v>1046</v>
      </c>
      <c r="EN113" s="1" t="s">
        <v>1046</v>
      </c>
      <c r="EO113" s="10"/>
      <c r="EP113" s="10"/>
      <c r="EQ113" s="10"/>
      <c r="ER113" s="1">
        <v>220</v>
      </c>
      <c r="ES113" s="1">
        <v>198</v>
      </c>
      <c r="ET113" s="1">
        <v>242</v>
      </c>
      <c r="EU113" s="1">
        <v>92.50411764705882</v>
      </c>
      <c r="EV113" s="18">
        <v>83.243529411764712</v>
      </c>
      <c r="EW113" s="18">
        <v>101.76470588235293</v>
      </c>
      <c r="EX113" s="18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>
        <v>753.05882352941171</v>
      </c>
      <c r="FK113" s="7">
        <v>745.52823529411762</v>
      </c>
      <c r="FL113" s="7">
        <v>760.5894117647058</v>
      </c>
      <c r="FO113" s="1">
        <v>67</v>
      </c>
      <c r="FP113" s="1">
        <v>67</v>
      </c>
      <c r="FQ113" s="1">
        <v>67</v>
      </c>
      <c r="FR113" s="12" t="s">
        <v>743</v>
      </c>
      <c r="FS113" s="12" t="s">
        <v>743</v>
      </c>
      <c r="FT113" s="12" t="s">
        <v>743</v>
      </c>
      <c r="FU113" s="12"/>
      <c r="FV113" s="12" t="s">
        <v>743</v>
      </c>
      <c r="FW113" s="12" t="s">
        <v>743</v>
      </c>
      <c r="FX113" s="12" t="s">
        <v>743</v>
      </c>
      <c r="FY113" s="12" t="s">
        <v>743</v>
      </c>
      <c r="FZ113" s="12" t="s">
        <v>743</v>
      </c>
      <c r="GA113" s="12" t="s">
        <v>743</v>
      </c>
      <c r="GB113" s="12" t="s">
        <v>743</v>
      </c>
      <c r="GE113" s="12" t="s">
        <v>743</v>
      </c>
      <c r="GF113" s="12" t="s">
        <v>743</v>
      </c>
      <c r="GH113" s="12" t="s">
        <v>743</v>
      </c>
    </row>
    <row r="114" spans="1:190" ht="12.75" customHeight="1" x14ac:dyDescent="0.2">
      <c r="A114" s="1" t="s">
        <v>137</v>
      </c>
      <c r="B114" s="1" t="s">
        <v>687</v>
      </c>
      <c r="E114" s="1" t="s">
        <v>142</v>
      </c>
      <c r="F114" s="1">
        <v>2</v>
      </c>
      <c r="G114" s="1">
        <v>2015</v>
      </c>
      <c r="H114" s="1">
        <v>1</v>
      </c>
      <c r="I114" s="1">
        <v>0</v>
      </c>
      <c r="J114" s="1">
        <v>0</v>
      </c>
      <c r="K114" s="18"/>
      <c r="L114" s="18"/>
      <c r="M114" s="18"/>
      <c r="N114" s="18">
        <v>447.76666666666671</v>
      </c>
      <c r="O114" s="18">
        <v>288.99</v>
      </c>
      <c r="P114" s="18">
        <v>579.37</v>
      </c>
      <c r="Q114" s="18">
        <v>1067.2333333333329</v>
      </c>
      <c r="R114" s="18">
        <v>699.66</v>
      </c>
      <c r="S114" s="18">
        <v>1561.78</v>
      </c>
      <c r="T114" s="18">
        <v>447.76666666666671</v>
      </c>
      <c r="U114" s="18">
        <v>288.99</v>
      </c>
      <c r="V114" s="18">
        <v>579.37</v>
      </c>
      <c r="W114" s="18">
        <v>1067.2333333333329</v>
      </c>
      <c r="X114" s="18">
        <v>699.66</v>
      </c>
      <c r="Y114" s="18">
        <v>1561.78</v>
      </c>
      <c r="Z114" s="18">
        <v>447.76666666666671</v>
      </c>
      <c r="AA114" s="18">
        <v>288.99</v>
      </c>
      <c r="AB114" s="18">
        <v>579.37</v>
      </c>
      <c r="AC114" s="18">
        <v>1067.2333333333329</v>
      </c>
      <c r="AD114" s="18">
        <v>699.66</v>
      </c>
      <c r="AE114" s="18">
        <v>1561.78</v>
      </c>
      <c r="AF114" s="18">
        <v>877.85833333333346</v>
      </c>
      <c r="AG114" s="18">
        <v>577.98</v>
      </c>
      <c r="AH114" s="18">
        <v>1133.55</v>
      </c>
      <c r="AI114" s="18">
        <v>637.14166666666665</v>
      </c>
      <c r="AJ114" s="18">
        <v>365.04</v>
      </c>
      <c r="AK114" s="18">
        <v>1083.17</v>
      </c>
      <c r="AL114" s="18">
        <v>877.85833333333346</v>
      </c>
      <c r="AM114" s="18">
        <v>577.98</v>
      </c>
      <c r="AN114" s="18">
        <v>1133.55</v>
      </c>
      <c r="AO114" s="18">
        <v>637.14166666666665</v>
      </c>
      <c r="AP114" s="18">
        <v>365.04</v>
      </c>
      <c r="AQ114" s="18">
        <v>1083.17</v>
      </c>
      <c r="AR114" s="18">
        <v>877.85833333333346</v>
      </c>
      <c r="AS114" s="18">
        <v>577.98</v>
      </c>
      <c r="AT114" s="18">
        <v>1133.55</v>
      </c>
      <c r="AU114" s="18">
        <v>637.14166666666665</v>
      </c>
      <c r="AV114" s="18">
        <v>365.04</v>
      </c>
      <c r="AW114" s="18">
        <v>1083.17</v>
      </c>
      <c r="AX114" s="18">
        <v>1515.8416666666669</v>
      </c>
      <c r="AY114" s="18">
        <v>988.65</v>
      </c>
      <c r="AZ114" s="18">
        <v>1964.82</v>
      </c>
      <c r="BA114" s="18">
        <v>0</v>
      </c>
      <c r="BB114" s="18">
        <v>0</v>
      </c>
      <c r="BC114" s="18">
        <v>403.04</v>
      </c>
      <c r="BD114" s="18">
        <v>1515.8416666666669</v>
      </c>
      <c r="BE114" s="18">
        <v>988.65</v>
      </c>
      <c r="BF114" s="18">
        <v>1964.82</v>
      </c>
      <c r="BG114" s="18">
        <v>0</v>
      </c>
      <c r="BH114" s="18">
        <v>0</v>
      </c>
      <c r="BI114" s="18">
        <v>403.04</v>
      </c>
      <c r="BJ114" s="18">
        <v>1515.8416666666669</v>
      </c>
      <c r="BK114" s="18">
        <v>988.65</v>
      </c>
      <c r="BL114" s="18">
        <v>1964.82</v>
      </c>
      <c r="BM114" s="18">
        <v>0</v>
      </c>
      <c r="BN114" s="18">
        <v>0</v>
      </c>
      <c r="BO114" s="18">
        <v>403.04</v>
      </c>
      <c r="BP114" s="18"/>
      <c r="BQ114" s="18"/>
      <c r="BR114" s="18"/>
      <c r="BS114" s="18"/>
      <c r="BT114" s="10">
        <f>Tabelle58971121[[#This Row],[Mindestauslastung durch]]*Tabelle58971121[[#This Row],[installierte Leistung MW durch]]</f>
        <v>303</v>
      </c>
      <c r="BU114" s="10">
        <f>Tabelle58971121[[#This Row],[Mindestauslastung min]]*Tabelle58971121[[#This Row],[installierte Leistung MW min]]</f>
        <v>228.15</v>
      </c>
      <c r="BV114" s="10">
        <f>Tabelle58971121[[#This Row],[Mindestauslastung max]]*Tabelle58971121[[#This Row],[installierte Leistung MW max]]</f>
        <v>377.84999999999997</v>
      </c>
      <c r="BW114" s="8">
        <v>0.15</v>
      </c>
      <c r="BX114" s="8">
        <v>0.15</v>
      </c>
      <c r="BY114" s="8">
        <v>0.15</v>
      </c>
      <c r="BZ114" s="8"/>
      <c r="CA114" s="8">
        <v>0.22166666666666671</v>
      </c>
      <c r="CB114" s="8">
        <v>0.19</v>
      </c>
      <c r="CC114" s="8">
        <v>0.23</v>
      </c>
      <c r="CD114" s="8">
        <v>0.22166666666666671</v>
      </c>
      <c r="CE114" s="8">
        <v>0.19</v>
      </c>
      <c r="CF114" s="8">
        <v>0.23</v>
      </c>
      <c r="CG114" s="8">
        <v>0.22166666666666671</v>
      </c>
      <c r="CH114" s="8">
        <v>0.19</v>
      </c>
      <c r="CI114" s="8">
        <v>0.23</v>
      </c>
      <c r="CJ114" s="8">
        <v>0.43458333333333338</v>
      </c>
      <c r="CK114" s="8">
        <v>0.38</v>
      </c>
      <c r="CL114" s="8">
        <v>0.45</v>
      </c>
      <c r="CM114" s="8">
        <v>0.43458333333333338</v>
      </c>
      <c r="CN114" s="8">
        <v>0.38</v>
      </c>
      <c r="CO114" s="8">
        <v>0.45</v>
      </c>
      <c r="CP114" s="8">
        <v>0.43458333333333338</v>
      </c>
      <c r="CQ114" s="8">
        <v>0.38</v>
      </c>
      <c r="CR114" s="8">
        <v>0.45</v>
      </c>
      <c r="CS114" s="8">
        <v>0.75041666666666673</v>
      </c>
      <c r="CT114" s="8">
        <v>0.65</v>
      </c>
      <c r="CU114" s="8">
        <v>0.78</v>
      </c>
      <c r="CV114" s="8">
        <v>0.75041666666666673</v>
      </c>
      <c r="CW114" s="8">
        <v>0.65</v>
      </c>
      <c r="CX114" s="8">
        <v>0.78</v>
      </c>
      <c r="CY114" s="8">
        <v>0.75041666666666673</v>
      </c>
      <c r="CZ114" s="8">
        <v>0.65</v>
      </c>
      <c r="DA114" s="8">
        <v>0.78</v>
      </c>
      <c r="DB114" s="8"/>
      <c r="DC114" s="8"/>
      <c r="DD114" s="8"/>
      <c r="DE114" s="48">
        <f>Tabelle58971121[[#This Row],[Durchschnittsauslastung min]]*Tabelle58971121[[#This Row],[installierte Leistung MW min]]</f>
        <v>0</v>
      </c>
      <c r="DF114" s="48">
        <f>Tabelle58971121[[#This Row],[Durchschnittsauslastung durch]]*Tabelle58971121[[#This Row],[installierte Leistung MW durch]]</f>
        <v>0</v>
      </c>
      <c r="DG114" s="48">
        <f>Tabelle58971121[[#This Row],[Durchschnittsauslastung max]]*Tabelle58971121[[#This Row],[installierte Leistung MW max]]</f>
        <v>0</v>
      </c>
      <c r="DH114" s="87">
        <f>Tabelle58971121[[#This Row],[Maximalauslastung durch]]*Tabelle58971121[[#This Row],[installierte Leistung MW min]]</f>
        <v>1140.75</v>
      </c>
      <c r="DI114" s="48">
        <f>Tabelle58971121[[#This Row],[Maximalauslastung durch]]*Tabelle58971121[[#This Row],[installierte Leistung MW durch]]</f>
        <v>1515</v>
      </c>
      <c r="DJ114" s="18">
        <f>Tabelle58971121[[#This Row],[Maximalauslastung max]]*Tabelle58971121[[#This Row],[installierte Leistung MW durch]]</f>
        <v>1636.2</v>
      </c>
      <c r="DK114" s="8">
        <v>0.75</v>
      </c>
      <c r="DL114" s="8">
        <v>0.69</v>
      </c>
      <c r="DM114" s="8">
        <v>0.81</v>
      </c>
      <c r="DN114" s="1">
        <v>2020</v>
      </c>
      <c r="DO114" s="1">
        <v>1521</v>
      </c>
      <c r="DP114" s="1">
        <v>2519</v>
      </c>
      <c r="DQ114" s="18"/>
      <c r="DR114" s="18"/>
      <c r="DW114" s="1">
        <v>1.5</v>
      </c>
      <c r="DX114" s="1">
        <v>1</v>
      </c>
      <c r="DY114" s="1">
        <v>2</v>
      </c>
      <c r="DZ114" s="1">
        <v>1.5</v>
      </c>
      <c r="EA114" s="1">
        <v>1</v>
      </c>
      <c r="EB114" s="1">
        <v>2</v>
      </c>
      <c r="EC114" s="1">
        <v>3</v>
      </c>
      <c r="ED114" s="1">
        <v>2.4</v>
      </c>
      <c r="EE114" s="1">
        <v>3.6</v>
      </c>
      <c r="EF114" s="1">
        <v>2.5</v>
      </c>
      <c r="EG114" s="1">
        <v>1.4</v>
      </c>
      <c r="EH114" s="1">
        <v>3.6</v>
      </c>
      <c r="EL114" s="1">
        <v>639</v>
      </c>
      <c r="EM114" s="1">
        <v>575</v>
      </c>
      <c r="EN114" s="1">
        <v>703</v>
      </c>
      <c r="EO114" s="10"/>
      <c r="EP114" s="10"/>
      <c r="EQ114" s="10"/>
      <c r="ER114" s="1">
        <v>639</v>
      </c>
      <c r="ES114" s="1">
        <v>575</v>
      </c>
      <c r="ET114" s="1">
        <v>703</v>
      </c>
      <c r="EU114" s="1">
        <v>0</v>
      </c>
      <c r="EV114" s="18">
        <v>0</v>
      </c>
      <c r="EW114" s="18">
        <v>0</v>
      </c>
      <c r="EX114" s="18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>
        <v>90.977647058823536</v>
      </c>
      <c r="FK114" s="7">
        <v>45.488823529411768</v>
      </c>
      <c r="FL114" s="7">
        <v>136.46647058823527</v>
      </c>
      <c r="FO114" s="1">
        <v>67</v>
      </c>
      <c r="FP114" s="1">
        <v>67</v>
      </c>
      <c r="FQ114" s="1">
        <v>67</v>
      </c>
      <c r="FR114" s="12" t="s">
        <v>743</v>
      </c>
      <c r="FS114" s="12" t="s">
        <v>743</v>
      </c>
      <c r="FT114" s="12" t="s">
        <v>743</v>
      </c>
      <c r="FU114" s="12"/>
      <c r="FV114" s="12" t="s">
        <v>743</v>
      </c>
      <c r="FW114" s="12" t="s">
        <v>743</v>
      </c>
      <c r="FX114" s="12" t="s">
        <v>743</v>
      </c>
      <c r="FY114" s="12" t="s">
        <v>743</v>
      </c>
      <c r="FZ114" s="12" t="s">
        <v>743</v>
      </c>
      <c r="GA114" s="12" t="s">
        <v>743</v>
      </c>
      <c r="GB114" s="12" t="s">
        <v>743</v>
      </c>
      <c r="GE114" s="12" t="s">
        <v>743</v>
      </c>
      <c r="GF114" s="12" t="s">
        <v>743</v>
      </c>
      <c r="GH114" s="12" t="s">
        <v>743</v>
      </c>
    </row>
    <row r="115" spans="1:190" ht="12.75" customHeight="1" x14ac:dyDescent="0.2">
      <c r="A115" s="1" t="s">
        <v>137</v>
      </c>
      <c r="B115" s="1" t="s">
        <v>687</v>
      </c>
      <c r="E115" s="1" t="s">
        <v>142</v>
      </c>
      <c r="F115" s="1">
        <v>2</v>
      </c>
      <c r="G115" s="1">
        <v>2020</v>
      </c>
      <c r="H115" s="1">
        <v>1</v>
      </c>
      <c r="I115" s="1">
        <v>0</v>
      </c>
      <c r="J115" s="1">
        <v>0</v>
      </c>
      <c r="K115" s="18"/>
      <c r="L115" s="18"/>
      <c r="M115" s="18"/>
      <c r="N115" s="18">
        <v>640.30633333333333</v>
      </c>
      <c r="O115" s="18">
        <v>413.25569999999999</v>
      </c>
      <c r="P115" s="18">
        <v>828.4991</v>
      </c>
      <c r="Q115" s="18">
        <v>1526.1436666666659</v>
      </c>
      <c r="R115" s="18">
        <v>1000.5137999999999</v>
      </c>
      <c r="S115" s="18">
        <v>2233.3453999999997</v>
      </c>
      <c r="T115" s="18">
        <v>640.30633333333333</v>
      </c>
      <c r="U115" s="18">
        <v>413.25569999999999</v>
      </c>
      <c r="V115" s="18">
        <v>828.4991</v>
      </c>
      <c r="W115" s="18">
        <v>1526.1436666666659</v>
      </c>
      <c r="X115" s="18">
        <v>1000.5137999999999</v>
      </c>
      <c r="Y115" s="18">
        <v>2233.3453999999997</v>
      </c>
      <c r="Z115" s="18">
        <v>640.30633333333333</v>
      </c>
      <c r="AA115" s="18">
        <v>413.25569999999999</v>
      </c>
      <c r="AB115" s="18">
        <v>828.4991</v>
      </c>
      <c r="AC115" s="18">
        <v>1526.1436666666659</v>
      </c>
      <c r="AD115" s="18">
        <v>1000.5137999999999</v>
      </c>
      <c r="AE115" s="18">
        <v>2233.3453999999997</v>
      </c>
      <c r="AF115" s="18">
        <v>1255.3374166666667</v>
      </c>
      <c r="AG115" s="18">
        <v>826.51139999999998</v>
      </c>
      <c r="AH115" s="18">
        <v>1620.9764999999998</v>
      </c>
      <c r="AI115" s="18">
        <v>911.1125833333333</v>
      </c>
      <c r="AJ115" s="18">
        <v>522.00720000000001</v>
      </c>
      <c r="AK115" s="18">
        <v>1548.9331</v>
      </c>
      <c r="AL115" s="18">
        <v>1255.3374166666667</v>
      </c>
      <c r="AM115" s="18">
        <v>826.51139999999998</v>
      </c>
      <c r="AN115" s="18">
        <v>1620.9764999999998</v>
      </c>
      <c r="AO115" s="18">
        <v>911.1125833333333</v>
      </c>
      <c r="AP115" s="18">
        <v>522.00720000000001</v>
      </c>
      <c r="AQ115" s="18">
        <v>1548.9331</v>
      </c>
      <c r="AR115" s="18">
        <v>1255.3374166666667</v>
      </c>
      <c r="AS115" s="18">
        <v>826.51139999999998</v>
      </c>
      <c r="AT115" s="18">
        <v>1620.9764999999998</v>
      </c>
      <c r="AU115" s="18">
        <v>911.1125833333333</v>
      </c>
      <c r="AV115" s="18">
        <v>522.00720000000001</v>
      </c>
      <c r="AW115" s="18">
        <v>1548.9331</v>
      </c>
      <c r="AX115" s="18">
        <v>2167.6535833333337</v>
      </c>
      <c r="AY115" s="18">
        <v>1413.7694999999999</v>
      </c>
      <c r="AZ115" s="18">
        <v>2809.6925999999999</v>
      </c>
      <c r="BA115" s="18">
        <v>0</v>
      </c>
      <c r="BB115" s="18">
        <v>0</v>
      </c>
      <c r="BC115" s="18">
        <v>576.34720000000004</v>
      </c>
      <c r="BD115" s="18">
        <v>2167.6535833333337</v>
      </c>
      <c r="BE115" s="18">
        <v>1413.7694999999999</v>
      </c>
      <c r="BF115" s="18">
        <v>2809.6925999999999</v>
      </c>
      <c r="BG115" s="18">
        <v>0</v>
      </c>
      <c r="BH115" s="18">
        <v>0</v>
      </c>
      <c r="BI115" s="18">
        <v>576.34720000000004</v>
      </c>
      <c r="BJ115" s="18">
        <v>2167.6535833333337</v>
      </c>
      <c r="BK115" s="18">
        <v>1413.7694999999999</v>
      </c>
      <c r="BL115" s="18">
        <v>2809.6925999999999</v>
      </c>
      <c r="BM115" s="18">
        <v>0</v>
      </c>
      <c r="BN115" s="18">
        <v>0</v>
      </c>
      <c r="BO115" s="18">
        <v>576.34720000000004</v>
      </c>
      <c r="BP115" s="18"/>
      <c r="BQ115" s="18"/>
      <c r="BR115" s="18"/>
      <c r="BS115" s="18"/>
      <c r="BT115" s="10">
        <f>Tabelle58971121[[#This Row],[Mindestauslastung durch]]*Tabelle58971121[[#This Row],[installierte Leistung MW durch]]</f>
        <v>433.28999999999996</v>
      </c>
      <c r="BU115" s="10">
        <f>Tabelle58971121[[#This Row],[Mindestauslastung min]]*Tabelle58971121[[#This Row],[installierte Leistung MW min]]</f>
        <v>326.25450000000001</v>
      </c>
      <c r="BV115" s="10">
        <f>Tabelle58971121[[#This Row],[Mindestauslastung max]]*Tabelle58971121[[#This Row],[installierte Leistung MW max]]</f>
        <v>540.32550000000003</v>
      </c>
      <c r="BW115" s="8">
        <v>0.15</v>
      </c>
      <c r="BX115" s="8">
        <v>0.15</v>
      </c>
      <c r="BY115" s="8">
        <v>0.15</v>
      </c>
      <c r="BZ115" s="8"/>
      <c r="CA115" s="8">
        <v>0.22166666666666671</v>
      </c>
      <c r="CB115" s="8">
        <v>0.19</v>
      </c>
      <c r="CC115" s="8">
        <v>0.23</v>
      </c>
      <c r="CD115" s="8">
        <v>0.22166666666666671</v>
      </c>
      <c r="CE115" s="8">
        <v>0.19</v>
      </c>
      <c r="CF115" s="8">
        <v>0.23</v>
      </c>
      <c r="CG115" s="8">
        <v>0.22166666666666671</v>
      </c>
      <c r="CH115" s="8">
        <v>0.19</v>
      </c>
      <c r="CI115" s="8">
        <v>0.23</v>
      </c>
      <c r="CJ115" s="8">
        <v>0.43458333333333338</v>
      </c>
      <c r="CK115" s="8">
        <v>0.38</v>
      </c>
      <c r="CL115" s="8">
        <v>0.45</v>
      </c>
      <c r="CM115" s="8">
        <v>0.43458333333333338</v>
      </c>
      <c r="CN115" s="8">
        <v>0.38</v>
      </c>
      <c r="CO115" s="8">
        <v>0.45</v>
      </c>
      <c r="CP115" s="8">
        <v>0.43458333333333338</v>
      </c>
      <c r="CQ115" s="8">
        <v>0.38</v>
      </c>
      <c r="CR115" s="8">
        <v>0.45</v>
      </c>
      <c r="CS115" s="8">
        <v>0.75041666666666673</v>
      </c>
      <c r="CT115" s="8">
        <v>0.65</v>
      </c>
      <c r="CU115" s="8">
        <v>0.78</v>
      </c>
      <c r="CV115" s="8">
        <v>0.75041666666666673</v>
      </c>
      <c r="CW115" s="8">
        <v>0.65</v>
      </c>
      <c r="CX115" s="8">
        <v>0.78</v>
      </c>
      <c r="CY115" s="8">
        <v>0.75041666666666673</v>
      </c>
      <c r="CZ115" s="8">
        <v>0.65</v>
      </c>
      <c r="DA115" s="8">
        <v>0.78</v>
      </c>
      <c r="DB115" s="8"/>
      <c r="DC115" s="8"/>
      <c r="DD115" s="8"/>
      <c r="DE115" s="48">
        <f>Tabelle58971121[[#This Row],[Durchschnittsauslastung min]]*Tabelle58971121[[#This Row],[installierte Leistung MW min]]</f>
        <v>0</v>
      </c>
      <c r="DF115" s="48">
        <f>Tabelle58971121[[#This Row],[Durchschnittsauslastung durch]]*Tabelle58971121[[#This Row],[installierte Leistung MW durch]]</f>
        <v>0</v>
      </c>
      <c r="DG115" s="48">
        <f>Tabelle58971121[[#This Row],[Durchschnittsauslastung max]]*Tabelle58971121[[#This Row],[installierte Leistung MW max]]</f>
        <v>0</v>
      </c>
      <c r="DH115" s="87">
        <f>Tabelle58971121[[#This Row],[Maximalauslastung durch]]*Tabelle58971121[[#This Row],[installierte Leistung MW min]]</f>
        <v>1631.2725</v>
      </c>
      <c r="DI115" s="48">
        <f>Tabelle58971121[[#This Row],[Maximalauslastung durch]]*Tabelle58971121[[#This Row],[installierte Leistung MW durch]]</f>
        <v>2166.4499999999998</v>
      </c>
      <c r="DJ115" s="18">
        <f>Tabelle58971121[[#This Row],[Maximalauslastung max]]*Tabelle58971121[[#This Row],[installierte Leistung MW durch]]</f>
        <v>2339.7660000000001</v>
      </c>
      <c r="DK115" s="8">
        <v>0.75</v>
      </c>
      <c r="DL115" s="8">
        <v>0.69</v>
      </c>
      <c r="DM115" s="8">
        <v>0.81</v>
      </c>
      <c r="DN115" s="1">
        <v>2888.6</v>
      </c>
      <c r="DO115" s="1">
        <v>2175.0300000000002</v>
      </c>
      <c r="DP115" s="1">
        <v>3602.17</v>
      </c>
      <c r="DQ115" s="18"/>
      <c r="DR115" s="18"/>
      <c r="DW115" s="1">
        <v>1.5</v>
      </c>
      <c r="DX115" s="1">
        <v>1</v>
      </c>
      <c r="DY115" s="1">
        <v>2</v>
      </c>
      <c r="DZ115" s="1">
        <v>1.5</v>
      </c>
      <c r="EA115" s="1">
        <v>1</v>
      </c>
      <c r="EB115" s="1">
        <v>2</v>
      </c>
      <c r="EC115" s="1">
        <v>3</v>
      </c>
      <c r="ED115" s="1">
        <v>2.4</v>
      </c>
      <c r="EE115" s="1">
        <v>3.6</v>
      </c>
      <c r="EF115" s="1">
        <v>2.5</v>
      </c>
      <c r="EG115" s="1">
        <v>1.4</v>
      </c>
      <c r="EH115" s="1">
        <v>3.6</v>
      </c>
      <c r="EL115" s="1">
        <v>639</v>
      </c>
      <c r="EM115" s="1">
        <v>575</v>
      </c>
      <c r="EN115" s="1">
        <v>703</v>
      </c>
      <c r="EO115" s="10"/>
      <c r="EP115" s="10"/>
      <c r="EQ115" s="10"/>
      <c r="ER115" s="1">
        <v>639</v>
      </c>
      <c r="ES115" s="1">
        <v>575</v>
      </c>
      <c r="ET115" s="1">
        <v>703</v>
      </c>
      <c r="EU115" s="1">
        <v>0</v>
      </c>
      <c r="EV115" s="18">
        <v>0</v>
      </c>
      <c r="EW115" s="18">
        <v>0</v>
      </c>
      <c r="EX115" s="18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>
        <v>90.977647058823536</v>
      </c>
      <c r="FK115" s="7">
        <v>45.488823529411768</v>
      </c>
      <c r="FL115" s="7">
        <v>136.46647058823527</v>
      </c>
      <c r="FO115" s="1">
        <v>67</v>
      </c>
      <c r="FP115" s="1">
        <v>67</v>
      </c>
      <c r="FQ115" s="1">
        <v>67</v>
      </c>
      <c r="FR115" s="12" t="s">
        <v>743</v>
      </c>
      <c r="FS115" s="12" t="s">
        <v>743</v>
      </c>
      <c r="FT115" s="12" t="s">
        <v>743</v>
      </c>
      <c r="FU115" s="12"/>
      <c r="FV115" s="12" t="s">
        <v>743</v>
      </c>
      <c r="FW115" s="12" t="s">
        <v>743</v>
      </c>
      <c r="FX115" s="12" t="s">
        <v>743</v>
      </c>
      <c r="FY115" s="12" t="s">
        <v>743</v>
      </c>
      <c r="FZ115" s="12" t="s">
        <v>743</v>
      </c>
      <c r="GA115" s="12" t="s">
        <v>743</v>
      </c>
      <c r="GB115" s="12" t="s">
        <v>743</v>
      </c>
      <c r="GE115" s="12" t="s">
        <v>743</v>
      </c>
      <c r="GF115" s="12" t="s">
        <v>743</v>
      </c>
      <c r="GH115" s="12" t="s">
        <v>743</v>
      </c>
    </row>
    <row r="116" spans="1:190" x14ac:dyDescent="0.2">
      <c r="A116" s="1" t="s">
        <v>137</v>
      </c>
      <c r="B116" s="1" t="s">
        <v>687</v>
      </c>
      <c r="E116" s="1" t="s">
        <v>142</v>
      </c>
      <c r="F116" s="1">
        <v>2</v>
      </c>
      <c r="G116" s="1">
        <v>2025</v>
      </c>
      <c r="H116" s="1">
        <v>1</v>
      </c>
      <c r="I116" s="1">
        <v>0</v>
      </c>
      <c r="J116" s="1">
        <v>0</v>
      </c>
      <c r="K116" s="18"/>
      <c r="L116" s="18"/>
      <c r="M116" s="18"/>
      <c r="N116" s="18">
        <v>676.12766666666676</v>
      </c>
      <c r="O116" s="18">
        <v>436.37490000000003</v>
      </c>
      <c r="P116" s="18">
        <v>874.84870000000001</v>
      </c>
      <c r="Q116" s="18">
        <v>1611.5223333333327</v>
      </c>
      <c r="R116" s="18">
        <v>1056.4866</v>
      </c>
      <c r="S116" s="18">
        <v>2358.2878000000001</v>
      </c>
      <c r="T116" s="18">
        <v>676.12766666666676</v>
      </c>
      <c r="U116" s="18">
        <v>436.37490000000003</v>
      </c>
      <c r="V116" s="18">
        <v>874.84870000000001</v>
      </c>
      <c r="W116" s="18">
        <v>1611.5223333333327</v>
      </c>
      <c r="X116" s="18">
        <v>1056.4866</v>
      </c>
      <c r="Y116" s="18">
        <v>2358.2878000000001</v>
      </c>
      <c r="Z116" s="18">
        <v>676.12766666666676</v>
      </c>
      <c r="AA116" s="18">
        <v>436.37490000000003</v>
      </c>
      <c r="AB116" s="18">
        <v>874.84870000000001</v>
      </c>
      <c r="AC116" s="18">
        <v>1611.5223333333327</v>
      </c>
      <c r="AD116" s="18">
        <v>1056.4866</v>
      </c>
      <c r="AE116" s="18">
        <v>2358.2878000000001</v>
      </c>
      <c r="AF116" s="18">
        <v>1325.5660833333336</v>
      </c>
      <c r="AG116" s="18">
        <v>872.74980000000005</v>
      </c>
      <c r="AH116" s="18">
        <v>1711.6605</v>
      </c>
      <c r="AI116" s="18">
        <v>962.0839166666666</v>
      </c>
      <c r="AJ116" s="18">
        <v>551.21040000000005</v>
      </c>
      <c r="AK116" s="18">
        <v>1635.5867000000001</v>
      </c>
      <c r="AL116" s="18">
        <v>1325.5660833333336</v>
      </c>
      <c r="AM116" s="18">
        <v>872.74980000000005</v>
      </c>
      <c r="AN116" s="18">
        <v>1711.6605</v>
      </c>
      <c r="AO116" s="18">
        <v>962.0839166666666</v>
      </c>
      <c r="AP116" s="18">
        <v>551.21040000000005</v>
      </c>
      <c r="AQ116" s="18">
        <v>1635.5867000000001</v>
      </c>
      <c r="AR116" s="18">
        <v>1325.5660833333336</v>
      </c>
      <c r="AS116" s="18">
        <v>872.74980000000005</v>
      </c>
      <c r="AT116" s="18">
        <v>1711.6605</v>
      </c>
      <c r="AU116" s="18">
        <v>962.0839166666666</v>
      </c>
      <c r="AV116" s="18">
        <v>551.21040000000005</v>
      </c>
      <c r="AW116" s="18">
        <v>1635.5867000000001</v>
      </c>
      <c r="AX116" s="18">
        <v>2288.9209166666669</v>
      </c>
      <c r="AY116" s="18">
        <v>1492.8615</v>
      </c>
      <c r="AZ116" s="18">
        <v>2966.8782000000001</v>
      </c>
      <c r="BA116" s="18">
        <v>0</v>
      </c>
      <c r="BB116" s="18">
        <v>0</v>
      </c>
      <c r="BC116" s="18">
        <v>608.59040000000005</v>
      </c>
      <c r="BD116" s="18">
        <v>2288.9209166666669</v>
      </c>
      <c r="BE116" s="18">
        <v>1492.8615</v>
      </c>
      <c r="BF116" s="18">
        <v>2966.8782000000001</v>
      </c>
      <c r="BG116" s="18">
        <v>0</v>
      </c>
      <c r="BH116" s="18">
        <v>0</v>
      </c>
      <c r="BI116" s="18">
        <v>608.59040000000005</v>
      </c>
      <c r="BJ116" s="18">
        <v>2288.9209166666669</v>
      </c>
      <c r="BK116" s="18">
        <v>1492.8615</v>
      </c>
      <c r="BL116" s="18">
        <v>2966.8782000000001</v>
      </c>
      <c r="BM116" s="18">
        <v>0</v>
      </c>
      <c r="BN116" s="18">
        <v>0</v>
      </c>
      <c r="BO116" s="18">
        <v>608.59040000000005</v>
      </c>
      <c r="BP116" s="18"/>
      <c r="BQ116" s="18"/>
      <c r="BR116" s="18"/>
      <c r="BS116" s="18"/>
      <c r="BT116" s="10">
        <f>Tabelle58971121[[#This Row],[Mindestauslastung durch]]*Tabelle58971121[[#This Row],[installierte Leistung MW durch]]</f>
        <v>457.53</v>
      </c>
      <c r="BU116" s="10">
        <f>Tabelle58971121[[#This Row],[Mindestauslastung min]]*Tabelle58971121[[#This Row],[installierte Leistung MW min]]</f>
        <v>344.50650000000002</v>
      </c>
      <c r="BV116" s="10">
        <f>Tabelle58971121[[#This Row],[Mindestauslastung max]]*Tabelle58971121[[#This Row],[installierte Leistung MW max]]</f>
        <v>570.55349999999999</v>
      </c>
      <c r="BW116" s="8">
        <v>0.15</v>
      </c>
      <c r="BX116" s="8">
        <v>0.15</v>
      </c>
      <c r="BY116" s="8">
        <v>0.15</v>
      </c>
      <c r="BZ116" s="8"/>
      <c r="CA116" s="8">
        <v>0.22166666666666671</v>
      </c>
      <c r="CB116" s="8">
        <v>0.19</v>
      </c>
      <c r="CC116" s="8">
        <v>0.23</v>
      </c>
      <c r="CD116" s="8">
        <v>0.22166666666666671</v>
      </c>
      <c r="CE116" s="8">
        <v>0.19</v>
      </c>
      <c r="CF116" s="8">
        <v>0.23</v>
      </c>
      <c r="CG116" s="8">
        <v>0.22166666666666671</v>
      </c>
      <c r="CH116" s="8">
        <v>0.19</v>
      </c>
      <c r="CI116" s="8">
        <v>0.23</v>
      </c>
      <c r="CJ116" s="8">
        <v>0.43458333333333338</v>
      </c>
      <c r="CK116" s="8">
        <v>0.38</v>
      </c>
      <c r="CL116" s="8">
        <v>0.45</v>
      </c>
      <c r="CM116" s="8">
        <v>0.43458333333333338</v>
      </c>
      <c r="CN116" s="8">
        <v>0.38</v>
      </c>
      <c r="CO116" s="8">
        <v>0.45</v>
      </c>
      <c r="CP116" s="8">
        <v>0.43458333333333338</v>
      </c>
      <c r="CQ116" s="8">
        <v>0.38</v>
      </c>
      <c r="CR116" s="8">
        <v>0.45</v>
      </c>
      <c r="CS116" s="8">
        <v>0.75041666666666673</v>
      </c>
      <c r="CT116" s="8">
        <v>0.65</v>
      </c>
      <c r="CU116" s="8">
        <v>0.78</v>
      </c>
      <c r="CV116" s="8">
        <v>0.75041666666666673</v>
      </c>
      <c r="CW116" s="8">
        <v>0.65</v>
      </c>
      <c r="CX116" s="8">
        <v>0.78</v>
      </c>
      <c r="CY116" s="8">
        <v>0.75041666666666673</v>
      </c>
      <c r="CZ116" s="8">
        <v>0.65</v>
      </c>
      <c r="DA116" s="8">
        <v>0.78</v>
      </c>
      <c r="DB116" s="8"/>
      <c r="DC116" s="8"/>
      <c r="DD116" s="8"/>
      <c r="DE116" s="48">
        <f>Tabelle58971121[[#This Row],[Durchschnittsauslastung min]]*Tabelle58971121[[#This Row],[installierte Leistung MW min]]</f>
        <v>0</v>
      </c>
      <c r="DF116" s="48">
        <f>Tabelle58971121[[#This Row],[Durchschnittsauslastung durch]]*Tabelle58971121[[#This Row],[installierte Leistung MW durch]]</f>
        <v>0</v>
      </c>
      <c r="DG116" s="48">
        <f>Tabelle58971121[[#This Row],[Durchschnittsauslastung max]]*Tabelle58971121[[#This Row],[installierte Leistung MW max]]</f>
        <v>0</v>
      </c>
      <c r="DH116" s="87">
        <f>Tabelle58971121[[#This Row],[Maximalauslastung durch]]*Tabelle58971121[[#This Row],[installierte Leistung MW min]]</f>
        <v>1722.5325</v>
      </c>
      <c r="DI116" s="48">
        <f>Tabelle58971121[[#This Row],[Maximalauslastung durch]]*Tabelle58971121[[#This Row],[installierte Leistung MW durch]]</f>
        <v>2287.6499999999996</v>
      </c>
      <c r="DJ116" s="18">
        <f>Tabelle58971121[[#This Row],[Maximalauslastung max]]*Tabelle58971121[[#This Row],[installierte Leistung MW durch]]</f>
        <v>2470.6619999999998</v>
      </c>
      <c r="DK116" s="8">
        <v>0.75</v>
      </c>
      <c r="DL116" s="8">
        <v>0.69</v>
      </c>
      <c r="DM116" s="8">
        <v>0.81</v>
      </c>
      <c r="DN116" s="1">
        <v>3050.2</v>
      </c>
      <c r="DO116" s="1">
        <v>2296.71</v>
      </c>
      <c r="DP116" s="1">
        <v>3803.69</v>
      </c>
      <c r="DQ116" s="18"/>
      <c r="DR116" s="18"/>
      <c r="DW116" s="1">
        <v>1.5</v>
      </c>
      <c r="DX116" s="1">
        <v>1</v>
      </c>
      <c r="DY116" s="1">
        <v>2</v>
      </c>
      <c r="DZ116" s="1">
        <v>1.5</v>
      </c>
      <c r="EA116" s="1">
        <v>1</v>
      </c>
      <c r="EB116" s="1">
        <v>2</v>
      </c>
      <c r="EC116" s="1">
        <v>3</v>
      </c>
      <c r="ED116" s="1">
        <v>2.4</v>
      </c>
      <c r="EE116" s="1">
        <v>3.6</v>
      </c>
      <c r="EF116" s="1">
        <v>2.5</v>
      </c>
      <c r="EG116" s="1">
        <v>1.4</v>
      </c>
      <c r="EH116" s="1">
        <v>3.6</v>
      </c>
      <c r="EL116" s="1">
        <v>639</v>
      </c>
      <c r="EM116" s="1">
        <v>575</v>
      </c>
      <c r="EN116" s="1">
        <v>703</v>
      </c>
      <c r="EO116" s="10"/>
      <c r="EP116" s="10"/>
      <c r="EQ116" s="10"/>
      <c r="ER116" s="1">
        <v>639</v>
      </c>
      <c r="ES116" s="1">
        <v>575</v>
      </c>
      <c r="ET116" s="1">
        <v>703</v>
      </c>
      <c r="EU116" s="1">
        <v>0</v>
      </c>
      <c r="EV116" s="18">
        <v>0</v>
      </c>
      <c r="EW116" s="18">
        <v>0</v>
      </c>
      <c r="EX116" s="18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>
        <v>90.977647058823536</v>
      </c>
      <c r="FK116" s="7">
        <v>45.488823529411768</v>
      </c>
      <c r="FL116" s="7">
        <v>136.46647058823527</v>
      </c>
      <c r="FO116" s="1">
        <v>67</v>
      </c>
      <c r="FP116" s="1">
        <v>67</v>
      </c>
      <c r="FQ116" s="1">
        <v>67</v>
      </c>
      <c r="FR116" s="12" t="s">
        <v>743</v>
      </c>
      <c r="FS116" s="12" t="s">
        <v>743</v>
      </c>
      <c r="FT116" s="12" t="s">
        <v>743</v>
      </c>
      <c r="FU116" s="12"/>
      <c r="FV116" s="12" t="s">
        <v>743</v>
      </c>
      <c r="FW116" s="12" t="s">
        <v>743</v>
      </c>
      <c r="FX116" s="12" t="s">
        <v>743</v>
      </c>
      <c r="FY116" s="12" t="s">
        <v>743</v>
      </c>
      <c r="FZ116" s="12" t="s">
        <v>743</v>
      </c>
      <c r="GA116" s="12" t="s">
        <v>743</v>
      </c>
      <c r="GB116" s="12" t="s">
        <v>743</v>
      </c>
      <c r="GE116" s="12" t="s">
        <v>743</v>
      </c>
      <c r="GF116" s="12" t="s">
        <v>743</v>
      </c>
      <c r="GH116" s="12" t="s">
        <v>743</v>
      </c>
    </row>
    <row r="117" spans="1:190" x14ac:dyDescent="0.2">
      <c r="A117" s="1" t="s">
        <v>137</v>
      </c>
      <c r="B117" s="1" t="s">
        <v>687</v>
      </c>
      <c r="E117" s="1" t="s">
        <v>142</v>
      </c>
      <c r="F117" s="1">
        <v>2</v>
      </c>
      <c r="G117" s="1">
        <v>2030</v>
      </c>
      <c r="H117" s="1">
        <v>1</v>
      </c>
      <c r="I117" s="1">
        <v>0</v>
      </c>
      <c r="J117" s="1">
        <v>0</v>
      </c>
      <c r="K117" s="18"/>
      <c r="L117" s="18"/>
      <c r="M117" s="18"/>
      <c r="N117" s="18">
        <v>720.9043333333334</v>
      </c>
      <c r="O117" s="18">
        <v>465.27390000000003</v>
      </c>
      <c r="P117" s="18">
        <v>932.78570000000002</v>
      </c>
      <c r="Q117" s="18">
        <v>1718.245666666666</v>
      </c>
      <c r="R117" s="18">
        <v>1126.4526000000001</v>
      </c>
      <c r="S117" s="18">
        <v>2514.4657999999999</v>
      </c>
      <c r="T117" s="18">
        <v>720.9043333333334</v>
      </c>
      <c r="U117" s="18">
        <v>465.27390000000003</v>
      </c>
      <c r="V117" s="18">
        <v>932.78570000000002</v>
      </c>
      <c r="W117" s="18">
        <v>1718.245666666666</v>
      </c>
      <c r="X117" s="18">
        <v>1126.4526000000001</v>
      </c>
      <c r="Y117" s="18">
        <v>2514.4657999999999</v>
      </c>
      <c r="Z117" s="18">
        <v>720.9043333333334</v>
      </c>
      <c r="AA117" s="18">
        <v>465.27390000000003</v>
      </c>
      <c r="AB117" s="18">
        <v>932.78570000000002</v>
      </c>
      <c r="AC117" s="18">
        <v>1718.245666666666</v>
      </c>
      <c r="AD117" s="18">
        <v>1126.4526000000001</v>
      </c>
      <c r="AE117" s="18">
        <v>2514.4657999999999</v>
      </c>
      <c r="AF117" s="18">
        <v>1413.351916666667</v>
      </c>
      <c r="AG117" s="18">
        <v>930.54780000000005</v>
      </c>
      <c r="AH117" s="18">
        <v>1825.0155</v>
      </c>
      <c r="AI117" s="18">
        <v>1025.7980833333334</v>
      </c>
      <c r="AJ117" s="18">
        <v>587.71440000000007</v>
      </c>
      <c r="AK117" s="18">
        <v>1743.9037000000003</v>
      </c>
      <c r="AL117" s="18">
        <v>1413.351916666667</v>
      </c>
      <c r="AM117" s="18">
        <v>930.54780000000005</v>
      </c>
      <c r="AN117" s="18">
        <v>1825.0155</v>
      </c>
      <c r="AO117" s="18">
        <v>1025.7980833333334</v>
      </c>
      <c r="AP117" s="18">
        <v>587.71440000000007</v>
      </c>
      <c r="AQ117" s="18">
        <v>1743.9037000000003</v>
      </c>
      <c r="AR117" s="18">
        <v>1413.351916666667</v>
      </c>
      <c r="AS117" s="18">
        <v>930.54780000000005</v>
      </c>
      <c r="AT117" s="18">
        <v>1825.0155</v>
      </c>
      <c r="AU117" s="18">
        <v>1025.7980833333334</v>
      </c>
      <c r="AV117" s="18">
        <v>587.71440000000007</v>
      </c>
      <c r="AW117" s="18">
        <v>1743.9037000000003</v>
      </c>
      <c r="AX117" s="18">
        <v>2440.5050833333339</v>
      </c>
      <c r="AY117" s="18">
        <v>1591.7265</v>
      </c>
      <c r="AZ117" s="18">
        <v>3163.3602000000001</v>
      </c>
      <c r="BA117" s="18">
        <v>0</v>
      </c>
      <c r="BB117" s="18">
        <v>0</v>
      </c>
      <c r="BC117" s="18">
        <v>648.89440000000002</v>
      </c>
      <c r="BD117" s="18">
        <v>2440.5050833333339</v>
      </c>
      <c r="BE117" s="18">
        <v>1591.7265</v>
      </c>
      <c r="BF117" s="18">
        <v>3163.3602000000001</v>
      </c>
      <c r="BG117" s="18">
        <v>0</v>
      </c>
      <c r="BH117" s="18">
        <v>0</v>
      </c>
      <c r="BI117" s="18">
        <v>648.89440000000002</v>
      </c>
      <c r="BJ117" s="18">
        <v>2440.5050833333339</v>
      </c>
      <c r="BK117" s="18">
        <v>1591.7265</v>
      </c>
      <c r="BL117" s="18">
        <v>3163.3602000000001</v>
      </c>
      <c r="BM117" s="18">
        <v>0</v>
      </c>
      <c r="BN117" s="18">
        <v>0</v>
      </c>
      <c r="BO117" s="18">
        <v>648.89440000000002</v>
      </c>
      <c r="BP117" s="18"/>
      <c r="BQ117" s="18"/>
      <c r="BR117" s="18"/>
      <c r="BS117" s="18"/>
      <c r="BT117" s="10">
        <f>Tabelle58971121[[#This Row],[Mindestauslastung durch]]*Tabelle58971121[[#This Row],[installierte Leistung MW durch]]</f>
        <v>487.82999999999993</v>
      </c>
      <c r="BU117" s="10">
        <f>Tabelle58971121[[#This Row],[Mindestauslastung min]]*Tabelle58971121[[#This Row],[installierte Leistung MW min]]</f>
        <v>367.32149999999996</v>
      </c>
      <c r="BV117" s="10">
        <f>Tabelle58971121[[#This Row],[Mindestauslastung max]]*Tabelle58971121[[#This Row],[installierte Leistung MW max]]</f>
        <v>608.33849999999995</v>
      </c>
      <c r="BW117" s="8">
        <v>0.15</v>
      </c>
      <c r="BX117" s="8">
        <v>0.15</v>
      </c>
      <c r="BY117" s="8">
        <v>0.15</v>
      </c>
      <c r="BZ117" s="8"/>
      <c r="CA117" s="8">
        <v>0.22166666666666671</v>
      </c>
      <c r="CB117" s="8">
        <v>0.19</v>
      </c>
      <c r="CC117" s="8">
        <v>0.23</v>
      </c>
      <c r="CD117" s="8">
        <v>0.22166666666666671</v>
      </c>
      <c r="CE117" s="8">
        <v>0.19</v>
      </c>
      <c r="CF117" s="8">
        <v>0.23</v>
      </c>
      <c r="CG117" s="8">
        <v>0.22166666666666671</v>
      </c>
      <c r="CH117" s="8">
        <v>0.19</v>
      </c>
      <c r="CI117" s="8">
        <v>0.23</v>
      </c>
      <c r="CJ117" s="8">
        <v>0.43458333333333338</v>
      </c>
      <c r="CK117" s="8">
        <v>0.38</v>
      </c>
      <c r="CL117" s="8">
        <v>0.45</v>
      </c>
      <c r="CM117" s="8">
        <v>0.43458333333333338</v>
      </c>
      <c r="CN117" s="8">
        <v>0.38</v>
      </c>
      <c r="CO117" s="8">
        <v>0.45</v>
      </c>
      <c r="CP117" s="8">
        <v>0.43458333333333338</v>
      </c>
      <c r="CQ117" s="8">
        <v>0.38</v>
      </c>
      <c r="CR117" s="8">
        <v>0.45</v>
      </c>
      <c r="CS117" s="8">
        <v>0.75041666666666673</v>
      </c>
      <c r="CT117" s="8">
        <v>0.65</v>
      </c>
      <c r="CU117" s="8">
        <v>0.78</v>
      </c>
      <c r="CV117" s="8">
        <v>0.75041666666666673</v>
      </c>
      <c r="CW117" s="8">
        <v>0.65</v>
      </c>
      <c r="CX117" s="8">
        <v>0.78</v>
      </c>
      <c r="CY117" s="8">
        <v>0.75041666666666673</v>
      </c>
      <c r="CZ117" s="8">
        <v>0.65</v>
      </c>
      <c r="DA117" s="8">
        <v>0.78</v>
      </c>
      <c r="DB117" s="8"/>
      <c r="DC117" s="8"/>
      <c r="DD117" s="8"/>
      <c r="DE117" s="48">
        <f>Tabelle58971121[[#This Row],[Durchschnittsauslastung min]]*Tabelle58971121[[#This Row],[installierte Leistung MW min]]</f>
        <v>0</v>
      </c>
      <c r="DF117" s="48">
        <f>Tabelle58971121[[#This Row],[Durchschnittsauslastung durch]]*Tabelle58971121[[#This Row],[installierte Leistung MW durch]]</f>
        <v>0</v>
      </c>
      <c r="DG117" s="48">
        <f>Tabelle58971121[[#This Row],[Durchschnittsauslastung max]]*Tabelle58971121[[#This Row],[installierte Leistung MW max]]</f>
        <v>0</v>
      </c>
      <c r="DH117" s="87">
        <f>Tabelle58971121[[#This Row],[Maximalauslastung durch]]*Tabelle58971121[[#This Row],[installierte Leistung MW min]]</f>
        <v>1836.6075000000001</v>
      </c>
      <c r="DI117" s="48">
        <f>Tabelle58971121[[#This Row],[Maximalauslastung durch]]*Tabelle58971121[[#This Row],[installierte Leistung MW durch]]</f>
        <v>2439.1499999999996</v>
      </c>
      <c r="DJ117" s="18">
        <f>Tabelle58971121[[#This Row],[Maximalauslastung max]]*Tabelle58971121[[#This Row],[installierte Leistung MW durch]]</f>
        <v>2634.2820000000002</v>
      </c>
      <c r="DK117" s="8">
        <v>0.75</v>
      </c>
      <c r="DL117" s="8">
        <v>0.69</v>
      </c>
      <c r="DM117" s="8">
        <v>0.81</v>
      </c>
      <c r="DN117" s="1">
        <v>3252.2</v>
      </c>
      <c r="DO117" s="1">
        <v>2448.81</v>
      </c>
      <c r="DP117" s="1">
        <v>4055.59</v>
      </c>
      <c r="DQ117" s="18"/>
      <c r="DR117" s="18"/>
      <c r="DW117" s="1">
        <v>1.5</v>
      </c>
      <c r="DX117" s="1">
        <v>1</v>
      </c>
      <c r="DY117" s="1">
        <v>2</v>
      </c>
      <c r="DZ117" s="1">
        <v>1.5</v>
      </c>
      <c r="EA117" s="1">
        <v>1</v>
      </c>
      <c r="EB117" s="1">
        <v>2</v>
      </c>
      <c r="EC117" s="1">
        <v>3</v>
      </c>
      <c r="ED117" s="1">
        <v>2.4</v>
      </c>
      <c r="EE117" s="1">
        <v>3.6</v>
      </c>
      <c r="EF117" s="1">
        <v>2.5</v>
      </c>
      <c r="EG117" s="1">
        <v>1.4</v>
      </c>
      <c r="EH117" s="1">
        <v>3.6</v>
      </c>
      <c r="EL117" s="1">
        <v>639</v>
      </c>
      <c r="EM117" s="1">
        <v>575</v>
      </c>
      <c r="EN117" s="1">
        <v>703</v>
      </c>
      <c r="EO117" s="10"/>
      <c r="EP117" s="10"/>
      <c r="EQ117" s="10"/>
      <c r="ER117" s="1">
        <v>639</v>
      </c>
      <c r="ES117" s="1">
        <v>575</v>
      </c>
      <c r="ET117" s="1">
        <v>703</v>
      </c>
      <c r="EU117" s="1">
        <v>0</v>
      </c>
      <c r="EV117" s="18">
        <v>0</v>
      </c>
      <c r="EW117" s="18">
        <v>0</v>
      </c>
      <c r="EX117" s="18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>
        <v>90.977647058823536</v>
      </c>
      <c r="FK117" s="7">
        <v>45.488823529411768</v>
      </c>
      <c r="FL117" s="7">
        <v>136.46647058823527</v>
      </c>
      <c r="FO117" s="1">
        <v>67</v>
      </c>
      <c r="FP117" s="1">
        <v>67</v>
      </c>
      <c r="FQ117" s="1">
        <v>67</v>
      </c>
      <c r="FR117" s="12" t="s">
        <v>743</v>
      </c>
      <c r="FS117" s="12" t="s">
        <v>743</v>
      </c>
      <c r="FT117" s="12" t="s">
        <v>743</v>
      </c>
      <c r="FU117" s="12"/>
      <c r="FV117" s="12" t="s">
        <v>743</v>
      </c>
      <c r="FW117" s="12" t="s">
        <v>743</v>
      </c>
      <c r="FX117" s="12" t="s">
        <v>743</v>
      </c>
      <c r="FY117" s="12" t="s">
        <v>743</v>
      </c>
      <c r="FZ117" s="12" t="s">
        <v>743</v>
      </c>
      <c r="GA117" s="12" t="s">
        <v>743</v>
      </c>
      <c r="GB117" s="12" t="s">
        <v>743</v>
      </c>
      <c r="GE117" s="12" t="s">
        <v>743</v>
      </c>
      <c r="GF117" s="12" t="s">
        <v>743</v>
      </c>
      <c r="GH117" s="12" t="s">
        <v>743</v>
      </c>
    </row>
    <row r="118" spans="1:190" x14ac:dyDescent="0.2">
      <c r="A118" s="1" t="s">
        <v>137</v>
      </c>
      <c r="B118" s="1" t="s">
        <v>687</v>
      </c>
      <c r="E118" s="1" t="s">
        <v>142</v>
      </c>
      <c r="F118" s="1">
        <v>2</v>
      </c>
      <c r="G118" s="1">
        <v>2035</v>
      </c>
      <c r="H118" s="1">
        <v>1</v>
      </c>
      <c r="I118" s="1">
        <v>0</v>
      </c>
      <c r="J118" s="1">
        <v>0</v>
      </c>
      <c r="K118" s="18"/>
      <c r="L118" s="18"/>
      <c r="M118" s="18"/>
      <c r="N118" s="18">
        <v>770.1586666666667</v>
      </c>
      <c r="O118" s="18">
        <v>497.06279999999998</v>
      </c>
      <c r="P118" s="18">
        <v>996.51639999999998</v>
      </c>
      <c r="Q118" s="18">
        <v>1835.6413333333326</v>
      </c>
      <c r="R118" s="18">
        <v>1203.4151999999999</v>
      </c>
      <c r="S118" s="18">
        <v>2686.2615999999998</v>
      </c>
      <c r="T118" s="18">
        <v>770.1586666666667</v>
      </c>
      <c r="U118" s="18">
        <v>497.06279999999998</v>
      </c>
      <c r="V118" s="18">
        <v>996.51639999999998</v>
      </c>
      <c r="W118" s="18">
        <v>1835.6413333333326</v>
      </c>
      <c r="X118" s="18">
        <v>1203.4151999999999</v>
      </c>
      <c r="Y118" s="18">
        <v>2686.2615999999998</v>
      </c>
      <c r="Z118" s="18">
        <v>770.1586666666667</v>
      </c>
      <c r="AA118" s="18">
        <v>497.06279999999998</v>
      </c>
      <c r="AB118" s="18">
        <v>996.51639999999998</v>
      </c>
      <c r="AC118" s="18">
        <v>1835.6413333333326</v>
      </c>
      <c r="AD118" s="18">
        <v>1203.4151999999999</v>
      </c>
      <c r="AE118" s="18">
        <v>2686.2615999999998</v>
      </c>
      <c r="AF118" s="18">
        <v>1509.9163333333336</v>
      </c>
      <c r="AG118" s="18">
        <v>994.12559999999996</v>
      </c>
      <c r="AH118" s="18">
        <v>1949.7059999999999</v>
      </c>
      <c r="AI118" s="18">
        <v>1095.8836666666666</v>
      </c>
      <c r="AJ118" s="18">
        <v>627.86880000000008</v>
      </c>
      <c r="AK118" s="18">
        <v>1863.0524</v>
      </c>
      <c r="AL118" s="18">
        <v>1509.9163333333336</v>
      </c>
      <c r="AM118" s="18">
        <v>994.12559999999996</v>
      </c>
      <c r="AN118" s="18">
        <v>1949.7059999999999</v>
      </c>
      <c r="AO118" s="18">
        <v>1095.8836666666666</v>
      </c>
      <c r="AP118" s="18">
        <v>627.86880000000008</v>
      </c>
      <c r="AQ118" s="18">
        <v>1863.0524</v>
      </c>
      <c r="AR118" s="18">
        <v>1509.9163333333336</v>
      </c>
      <c r="AS118" s="18">
        <v>994.12559999999996</v>
      </c>
      <c r="AT118" s="18">
        <v>1949.7059999999999</v>
      </c>
      <c r="AU118" s="18">
        <v>1095.8836666666666</v>
      </c>
      <c r="AV118" s="18">
        <v>627.86880000000008</v>
      </c>
      <c r="AW118" s="18">
        <v>1863.0524</v>
      </c>
      <c r="AX118" s="18">
        <v>2607.2476666666671</v>
      </c>
      <c r="AY118" s="18">
        <v>1700.4779999999998</v>
      </c>
      <c r="AZ118" s="18">
        <v>3379.4903999999997</v>
      </c>
      <c r="BA118" s="18">
        <v>0</v>
      </c>
      <c r="BB118" s="18">
        <v>0</v>
      </c>
      <c r="BC118" s="18">
        <v>693.22879999999998</v>
      </c>
      <c r="BD118" s="18">
        <v>2607.2476666666671</v>
      </c>
      <c r="BE118" s="18">
        <v>1700.4779999999998</v>
      </c>
      <c r="BF118" s="18">
        <v>3379.4903999999997</v>
      </c>
      <c r="BG118" s="18">
        <v>0</v>
      </c>
      <c r="BH118" s="18">
        <v>0</v>
      </c>
      <c r="BI118" s="18">
        <v>693.22879999999998</v>
      </c>
      <c r="BJ118" s="18">
        <v>2607.2476666666671</v>
      </c>
      <c r="BK118" s="18">
        <v>1700.4779999999998</v>
      </c>
      <c r="BL118" s="18">
        <v>3379.4903999999997</v>
      </c>
      <c r="BM118" s="18">
        <v>0</v>
      </c>
      <c r="BN118" s="18">
        <v>0</v>
      </c>
      <c r="BO118" s="18">
        <v>693.22879999999998</v>
      </c>
      <c r="BP118" s="18"/>
      <c r="BQ118" s="18"/>
      <c r="BR118" s="18"/>
      <c r="BS118" s="18"/>
      <c r="BT118" s="10">
        <f>Tabelle58971121[[#This Row],[Mindestauslastung durch]]*Tabelle58971121[[#This Row],[installierte Leistung MW durch]]</f>
        <v>521.16</v>
      </c>
      <c r="BU118" s="10">
        <f>Tabelle58971121[[#This Row],[Mindestauslastung min]]*Tabelle58971121[[#This Row],[installierte Leistung MW min]]</f>
        <v>392.41799999999995</v>
      </c>
      <c r="BV118" s="10">
        <f>Tabelle58971121[[#This Row],[Mindestauslastung max]]*Tabelle58971121[[#This Row],[installierte Leistung MW max]]</f>
        <v>649.90200000000004</v>
      </c>
      <c r="BW118" s="8">
        <v>0.15</v>
      </c>
      <c r="BX118" s="8">
        <v>0.15</v>
      </c>
      <c r="BY118" s="8">
        <v>0.15</v>
      </c>
      <c r="BZ118" s="8"/>
      <c r="CA118" s="8">
        <v>0.22166666666666671</v>
      </c>
      <c r="CB118" s="8">
        <v>0.19</v>
      </c>
      <c r="CC118" s="8">
        <v>0.23</v>
      </c>
      <c r="CD118" s="8">
        <v>0.22166666666666671</v>
      </c>
      <c r="CE118" s="8">
        <v>0.19</v>
      </c>
      <c r="CF118" s="8">
        <v>0.23</v>
      </c>
      <c r="CG118" s="8">
        <v>0.22166666666666671</v>
      </c>
      <c r="CH118" s="8">
        <v>0.19</v>
      </c>
      <c r="CI118" s="8">
        <v>0.23</v>
      </c>
      <c r="CJ118" s="8">
        <v>0.43458333333333338</v>
      </c>
      <c r="CK118" s="8">
        <v>0.38</v>
      </c>
      <c r="CL118" s="8">
        <v>0.45</v>
      </c>
      <c r="CM118" s="8">
        <v>0.43458333333333338</v>
      </c>
      <c r="CN118" s="8">
        <v>0.38</v>
      </c>
      <c r="CO118" s="8">
        <v>0.45</v>
      </c>
      <c r="CP118" s="8">
        <v>0.43458333333333338</v>
      </c>
      <c r="CQ118" s="8">
        <v>0.38</v>
      </c>
      <c r="CR118" s="8">
        <v>0.45</v>
      </c>
      <c r="CS118" s="8">
        <v>0.75041666666666673</v>
      </c>
      <c r="CT118" s="8">
        <v>0.65</v>
      </c>
      <c r="CU118" s="8">
        <v>0.78</v>
      </c>
      <c r="CV118" s="8">
        <v>0.75041666666666673</v>
      </c>
      <c r="CW118" s="8">
        <v>0.65</v>
      </c>
      <c r="CX118" s="8">
        <v>0.78</v>
      </c>
      <c r="CY118" s="8">
        <v>0.75041666666666673</v>
      </c>
      <c r="CZ118" s="8">
        <v>0.65</v>
      </c>
      <c r="DA118" s="8">
        <v>0.78</v>
      </c>
      <c r="DB118" s="8"/>
      <c r="DC118" s="8"/>
      <c r="DD118" s="8"/>
      <c r="DE118" s="48">
        <f>Tabelle58971121[[#This Row],[Durchschnittsauslastung min]]*Tabelle58971121[[#This Row],[installierte Leistung MW min]]</f>
        <v>0</v>
      </c>
      <c r="DF118" s="48">
        <f>Tabelle58971121[[#This Row],[Durchschnittsauslastung durch]]*Tabelle58971121[[#This Row],[installierte Leistung MW durch]]</f>
        <v>0</v>
      </c>
      <c r="DG118" s="48">
        <f>Tabelle58971121[[#This Row],[Durchschnittsauslastung max]]*Tabelle58971121[[#This Row],[installierte Leistung MW max]]</f>
        <v>0</v>
      </c>
      <c r="DH118" s="87">
        <f>Tabelle58971121[[#This Row],[Maximalauslastung durch]]*Tabelle58971121[[#This Row],[installierte Leistung MW min]]</f>
        <v>1962.09</v>
      </c>
      <c r="DI118" s="48">
        <f>Tabelle58971121[[#This Row],[Maximalauslastung durch]]*Tabelle58971121[[#This Row],[installierte Leistung MW durch]]</f>
        <v>2605.8000000000002</v>
      </c>
      <c r="DJ118" s="18">
        <f>Tabelle58971121[[#This Row],[Maximalauslastung max]]*Tabelle58971121[[#This Row],[installierte Leistung MW durch]]</f>
        <v>2814.2640000000001</v>
      </c>
      <c r="DK118" s="8">
        <v>0.75</v>
      </c>
      <c r="DL118" s="8">
        <v>0.69</v>
      </c>
      <c r="DM118" s="8">
        <v>0.81</v>
      </c>
      <c r="DN118" s="1">
        <v>3474.4</v>
      </c>
      <c r="DO118" s="1">
        <v>2616.12</v>
      </c>
      <c r="DP118" s="1">
        <v>4332.68</v>
      </c>
      <c r="DQ118" s="18"/>
      <c r="DR118" s="18"/>
      <c r="DW118" s="1">
        <v>1.5</v>
      </c>
      <c r="DX118" s="1">
        <v>1</v>
      </c>
      <c r="DY118" s="1">
        <v>2</v>
      </c>
      <c r="DZ118" s="1">
        <v>1.5</v>
      </c>
      <c r="EA118" s="1">
        <v>1</v>
      </c>
      <c r="EB118" s="1">
        <v>2</v>
      </c>
      <c r="EC118" s="1">
        <v>3</v>
      </c>
      <c r="ED118" s="1">
        <v>2.4</v>
      </c>
      <c r="EE118" s="1">
        <v>3.6</v>
      </c>
      <c r="EF118" s="1">
        <v>2.5</v>
      </c>
      <c r="EG118" s="1">
        <v>1.4</v>
      </c>
      <c r="EH118" s="1">
        <v>3.6</v>
      </c>
      <c r="EL118" s="1">
        <v>639</v>
      </c>
      <c r="EM118" s="1">
        <v>575</v>
      </c>
      <c r="EN118" s="1">
        <v>703</v>
      </c>
      <c r="EO118" s="10"/>
      <c r="EP118" s="10"/>
      <c r="EQ118" s="10"/>
      <c r="ER118" s="1">
        <v>639</v>
      </c>
      <c r="ES118" s="1">
        <v>575</v>
      </c>
      <c r="ET118" s="1">
        <v>703</v>
      </c>
      <c r="EU118" s="1">
        <v>0</v>
      </c>
      <c r="EV118" s="18">
        <v>0</v>
      </c>
      <c r="EW118" s="18">
        <v>0</v>
      </c>
      <c r="EX118" s="18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>
        <v>90.977647058823536</v>
      </c>
      <c r="FK118" s="7">
        <v>45.488823529411768</v>
      </c>
      <c r="FL118" s="7">
        <v>136.46647058823527</v>
      </c>
      <c r="FO118" s="1">
        <v>67</v>
      </c>
      <c r="FP118" s="1">
        <v>67</v>
      </c>
      <c r="FQ118" s="1">
        <v>67</v>
      </c>
      <c r="FR118" s="12" t="s">
        <v>743</v>
      </c>
      <c r="FS118" s="12" t="s">
        <v>743</v>
      </c>
      <c r="FT118" s="12" t="s">
        <v>743</v>
      </c>
      <c r="FU118" s="12"/>
      <c r="FV118" s="12" t="s">
        <v>743</v>
      </c>
      <c r="FW118" s="12" t="s">
        <v>743</v>
      </c>
      <c r="FX118" s="12" t="s">
        <v>743</v>
      </c>
      <c r="FY118" s="12" t="s">
        <v>743</v>
      </c>
      <c r="FZ118" s="12" t="s">
        <v>743</v>
      </c>
      <c r="GA118" s="12" t="s">
        <v>743</v>
      </c>
      <c r="GB118" s="12" t="s">
        <v>743</v>
      </c>
      <c r="GE118" s="12" t="s">
        <v>743</v>
      </c>
      <c r="GF118" s="12" t="s">
        <v>743</v>
      </c>
      <c r="GH118" s="12" t="s">
        <v>743</v>
      </c>
    </row>
    <row r="119" spans="1:190" ht="12.75" customHeight="1" x14ac:dyDescent="0.2">
      <c r="A119" s="1" t="s">
        <v>137</v>
      </c>
      <c r="B119" s="1" t="s">
        <v>687</v>
      </c>
      <c r="E119" s="1" t="s">
        <v>142</v>
      </c>
      <c r="F119" s="1">
        <v>2</v>
      </c>
      <c r="G119" s="1">
        <v>2040</v>
      </c>
      <c r="H119" s="1">
        <v>1</v>
      </c>
      <c r="I119" s="1">
        <v>0</v>
      </c>
      <c r="J119" s="1">
        <v>0</v>
      </c>
      <c r="K119" s="18"/>
      <c r="L119" s="18"/>
      <c r="M119" s="18"/>
      <c r="N119" s="18">
        <v>837.32366666666678</v>
      </c>
      <c r="O119" s="18">
        <v>540.4113000000001</v>
      </c>
      <c r="P119" s="18">
        <v>1083.4219000000001</v>
      </c>
      <c r="Q119" s="18">
        <v>1995.7263333333326</v>
      </c>
      <c r="R119" s="18">
        <v>1308.3642</v>
      </c>
      <c r="S119" s="18">
        <v>2920.5286000000001</v>
      </c>
      <c r="T119" s="18">
        <v>837.32366666666678</v>
      </c>
      <c r="U119" s="18">
        <v>540.4113000000001</v>
      </c>
      <c r="V119" s="18">
        <v>1083.4219000000001</v>
      </c>
      <c r="W119" s="18">
        <v>1995.7263333333326</v>
      </c>
      <c r="X119" s="18">
        <v>1308.3642</v>
      </c>
      <c r="Y119" s="18">
        <v>2920.5286000000001</v>
      </c>
      <c r="Z119" s="18">
        <v>837.32366666666678</v>
      </c>
      <c r="AA119" s="18">
        <v>540.4113000000001</v>
      </c>
      <c r="AB119" s="18">
        <v>1083.4219000000001</v>
      </c>
      <c r="AC119" s="18">
        <v>1995.7263333333326</v>
      </c>
      <c r="AD119" s="18">
        <v>1308.3642</v>
      </c>
      <c r="AE119" s="18">
        <v>2920.5286000000001</v>
      </c>
      <c r="AF119" s="18">
        <v>1641.5950833333336</v>
      </c>
      <c r="AG119" s="18">
        <v>1080.8226000000002</v>
      </c>
      <c r="AH119" s="18">
        <v>2119.7384999999999</v>
      </c>
      <c r="AI119" s="18">
        <v>1191.4549166666668</v>
      </c>
      <c r="AJ119" s="18">
        <v>682.62480000000005</v>
      </c>
      <c r="AK119" s="18">
        <v>2025.5279000000003</v>
      </c>
      <c r="AL119" s="18">
        <v>1641.5950833333336</v>
      </c>
      <c r="AM119" s="18">
        <v>1080.8226000000002</v>
      </c>
      <c r="AN119" s="18">
        <v>2119.7384999999999</v>
      </c>
      <c r="AO119" s="18">
        <v>1191.4549166666668</v>
      </c>
      <c r="AP119" s="18">
        <v>682.62480000000005</v>
      </c>
      <c r="AQ119" s="18">
        <v>2025.5279000000003</v>
      </c>
      <c r="AR119" s="18">
        <v>1641.5950833333336</v>
      </c>
      <c r="AS119" s="18">
        <v>1080.8226000000002</v>
      </c>
      <c r="AT119" s="18">
        <v>2119.7384999999999</v>
      </c>
      <c r="AU119" s="18">
        <v>1191.4549166666668</v>
      </c>
      <c r="AV119" s="18">
        <v>682.62480000000005</v>
      </c>
      <c r="AW119" s="18">
        <v>2025.5279000000003</v>
      </c>
      <c r="AX119" s="18">
        <v>2834.6239166666674</v>
      </c>
      <c r="AY119" s="18">
        <v>1848.7755</v>
      </c>
      <c r="AZ119" s="18">
        <v>3674.2134000000001</v>
      </c>
      <c r="BA119" s="18">
        <v>0</v>
      </c>
      <c r="BB119" s="18">
        <v>0</v>
      </c>
      <c r="BC119" s="18">
        <v>753.68480000000011</v>
      </c>
      <c r="BD119" s="18">
        <v>2834.6239166666674</v>
      </c>
      <c r="BE119" s="18">
        <v>1848.7755</v>
      </c>
      <c r="BF119" s="18">
        <v>3674.2134000000001</v>
      </c>
      <c r="BG119" s="18">
        <v>0</v>
      </c>
      <c r="BH119" s="18">
        <v>0</v>
      </c>
      <c r="BI119" s="18">
        <v>753.68480000000011</v>
      </c>
      <c r="BJ119" s="18">
        <v>2834.6239166666674</v>
      </c>
      <c r="BK119" s="18">
        <v>1848.7755</v>
      </c>
      <c r="BL119" s="18">
        <v>3674.2134000000001</v>
      </c>
      <c r="BM119" s="18">
        <v>0</v>
      </c>
      <c r="BN119" s="18">
        <v>0</v>
      </c>
      <c r="BO119" s="18">
        <v>753.68480000000011</v>
      </c>
      <c r="BP119" s="18"/>
      <c r="BQ119" s="18"/>
      <c r="BR119" s="18"/>
      <c r="BS119" s="18"/>
      <c r="BT119" s="10">
        <f>Tabelle58971121[[#This Row],[Mindestauslastung durch]]*Tabelle58971121[[#This Row],[installierte Leistung MW durch]]</f>
        <v>566.61</v>
      </c>
      <c r="BU119" s="10">
        <f>Tabelle58971121[[#This Row],[Mindestauslastung min]]*Tabelle58971121[[#This Row],[installierte Leistung MW min]]</f>
        <v>426.64049999999997</v>
      </c>
      <c r="BV119" s="10">
        <f>Tabelle58971121[[#This Row],[Mindestauslastung max]]*Tabelle58971121[[#This Row],[installierte Leistung MW max]]</f>
        <v>706.57949999999994</v>
      </c>
      <c r="BW119" s="8">
        <v>0.15</v>
      </c>
      <c r="BX119" s="8">
        <v>0.15</v>
      </c>
      <c r="BY119" s="8">
        <v>0.15</v>
      </c>
      <c r="BZ119" s="8"/>
      <c r="CA119" s="8">
        <v>0.22166666666666671</v>
      </c>
      <c r="CB119" s="8">
        <v>0.19</v>
      </c>
      <c r="CC119" s="8">
        <v>0.23</v>
      </c>
      <c r="CD119" s="8">
        <v>0.22166666666666671</v>
      </c>
      <c r="CE119" s="8">
        <v>0.19</v>
      </c>
      <c r="CF119" s="8">
        <v>0.23</v>
      </c>
      <c r="CG119" s="8">
        <v>0.22166666666666671</v>
      </c>
      <c r="CH119" s="8">
        <v>0.19</v>
      </c>
      <c r="CI119" s="8">
        <v>0.23</v>
      </c>
      <c r="CJ119" s="8">
        <v>0.43458333333333338</v>
      </c>
      <c r="CK119" s="8">
        <v>0.38</v>
      </c>
      <c r="CL119" s="8">
        <v>0.45</v>
      </c>
      <c r="CM119" s="8">
        <v>0.43458333333333338</v>
      </c>
      <c r="CN119" s="8">
        <v>0.38</v>
      </c>
      <c r="CO119" s="8">
        <v>0.45</v>
      </c>
      <c r="CP119" s="8">
        <v>0.43458333333333338</v>
      </c>
      <c r="CQ119" s="8">
        <v>0.38</v>
      </c>
      <c r="CR119" s="8">
        <v>0.45</v>
      </c>
      <c r="CS119" s="8">
        <v>0.75041666666666673</v>
      </c>
      <c r="CT119" s="8">
        <v>0.65</v>
      </c>
      <c r="CU119" s="8">
        <v>0.78</v>
      </c>
      <c r="CV119" s="8">
        <v>0.75041666666666673</v>
      </c>
      <c r="CW119" s="8">
        <v>0.65</v>
      </c>
      <c r="CX119" s="8">
        <v>0.78</v>
      </c>
      <c r="CY119" s="8">
        <v>0.75041666666666673</v>
      </c>
      <c r="CZ119" s="8">
        <v>0.65</v>
      </c>
      <c r="DA119" s="8">
        <v>0.78</v>
      </c>
      <c r="DB119" s="8"/>
      <c r="DC119" s="8"/>
      <c r="DD119" s="8"/>
      <c r="DE119" s="48">
        <f>Tabelle58971121[[#This Row],[Durchschnittsauslastung min]]*Tabelle58971121[[#This Row],[installierte Leistung MW min]]</f>
        <v>0</v>
      </c>
      <c r="DF119" s="48">
        <f>Tabelle58971121[[#This Row],[Durchschnittsauslastung durch]]*Tabelle58971121[[#This Row],[installierte Leistung MW durch]]</f>
        <v>0</v>
      </c>
      <c r="DG119" s="48">
        <f>Tabelle58971121[[#This Row],[Durchschnittsauslastung max]]*Tabelle58971121[[#This Row],[installierte Leistung MW max]]</f>
        <v>0</v>
      </c>
      <c r="DH119" s="87">
        <f>Tabelle58971121[[#This Row],[Maximalauslastung durch]]*Tabelle58971121[[#This Row],[installierte Leistung MW min]]</f>
        <v>2133.2024999999999</v>
      </c>
      <c r="DI119" s="48">
        <f>Tabelle58971121[[#This Row],[Maximalauslastung durch]]*Tabelle58971121[[#This Row],[installierte Leistung MW durch]]</f>
        <v>2833.05</v>
      </c>
      <c r="DJ119" s="18">
        <f>Tabelle58971121[[#This Row],[Maximalauslastung max]]*Tabelle58971121[[#This Row],[installierte Leistung MW durch]]</f>
        <v>3059.6940000000004</v>
      </c>
      <c r="DK119" s="8">
        <v>0.75</v>
      </c>
      <c r="DL119" s="8">
        <v>0.69</v>
      </c>
      <c r="DM119" s="8">
        <v>0.81</v>
      </c>
      <c r="DN119" s="1">
        <v>3777.4</v>
      </c>
      <c r="DO119" s="1">
        <v>2844.27</v>
      </c>
      <c r="DP119" s="1">
        <v>4710.53</v>
      </c>
      <c r="DQ119" s="18"/>
      <c r="DR119" s="18"/>
      <c r="DW119" s="1">
        <v>1.5</v>
      </c>
      <c r="DX119" s="1">
        <v>1</v>
      </c>
      <c r="DY119" s="1">
        <v>2</v>
      </c>
      <c r="DZ119" s="1">
        <v>1.5</v>
      </c>
      <c r="EA119" s="1">
        <v>1</v>
      </c>
      <c r="EB119" s="1">
        <v>2</v>
      </c>
      <c r="EC119" s="1">
        <v>3</v>
      </c>
      <c r="ED119" s="1">
        <v>2.4</v>
      </c>
      <c r="EE119" s="1">
        <v>3.6</v>
      </c>
      <c r="EF119" s="1">
        <v>2.5</v>
      </c>
      <c r="EG119" s="1">
        <v>1.4</v>
      </c>
      <c r="EH119" s="1">
        <v>3.6</v>
      </c>
      <c r="EL119" s="1">
        <v>639</v>
      </c>
      <c r="EM119" s="1">
        <v>575</v>
      </c>
      <c r="EN119" s="1">
        <v>703</v>
      </c>
      <c r="EO119" s="10"/>
      <c r="EP119" s="10"/>
      <c r="EQ119" s="10"/>
      <c r="ER119" s="1">
        <v>639</v>
      </c>
      <c r="ES119" s="1">
        <v>575</v>
      </c>
      <c r="ET119" s="1">
        <v>703</v>
      </c>
      <c r="EU119" s="1">
        <v>0</v>
      </c>
      <c r="EV119" s="18">
        <v>0</v>
      </c>
      <c r="EW119" s="18">
        <v>0</v>
      </c>
      <c r="EX119" s="18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>
        <v>90.977647058823536</v>
      </c>
      <c r="FK119" s="7">
        <v>45.488823529411768</v>
      </c>
      <c r="FL119" s="7">
        <v>136.46647058823527</v>
      </c>
      <c r="FO119" s="1">
        <v>67</v>
      </c>
      <c r="FP119" s="1">
        <v>67</v>
      </c>
      <c r="FQ119" s="1">
        <v>67</v>
      </c>
      <c r="FR119" s="12" t="s">
        <v>743</v>
      </c>
      <c r="FS119" s="12" t="s">
        <v>743</v>
      </c>
      <c r="FT119" s="12" t="s">
        <v>743</v>
      </c>
      <c r="FU119" s="12"/>
      <c r="FV119" s="12" t="s">
        <v>743</v>
      </c>
      <c r="FW119" s="12" t="s">
        <v>743</v>
      </c>
      <c r="FX119" s="12" t="s">
        <v>743</v>
      </c>
      <c r="FY119" s="12" t="s">
        <v>743</v>
      </c>
      <c r="FZ119" s="12" t="s">
        <v>743</v>
      </c>
      <c r="GA119" s="12" t="s">
        <v>743</v>
      </c>
      <c r="GB119" s="12" t="s">
        <v>743</v>
      </c>
      <c r="GE119" s="12" t="s">
        <v>743</v>
      </c>
      <c r="GF119" s="12" t="s">
        <v>743</v>
      </c>
      <c r="GH119" s="12" t="s">
        <v>743</v>
      </c>
    </row>
    <row r="120" spans="1:190" ht="12.75" customHeight="1" x14ac:dyDescent="0.2">
      <c r="A120" s="1" t="s">
        <v>137</v>
      </c>
      <c r="B120" s="1" t="s">
        <v>687</v>
      </c>
      <c r="E120" s="1" t="s">
        <v>142</v>
      </c>
      <c r="F120" s="1">
        <v>2</v>
      </c>
      <c r="G120" s="1">
        <v>2045</v>
      </c>
      <c r="H120" s="1">
        <v>1</v>
      </c>
      <c r="I120" s="1">
        <v>0</v>
      </c>
      <c r="J120" s="1">
        <v>0</v>
      </c>
      <c r="K120" s="18"/>
      <c r="L120" s="18"/>
      <c r="M120" s="18"/>
      <c r="N120" s="18">
        <v>926.87700000000007</v>
      </c>
      <c r="O120" s="18">
        <v>598.20929999999998</v>
      </c>
      <c r="P120" s="18">
        <v>1199.2958999999998</v>
      </c>
      <c r="Q120" s="18">
        <v>2209.1729999999989</v>
      </c>
      <c r="R120" s="18">
        <v>1448.2961999999998</v>
      </c>
      <c r="S120" s="18">
        <v>3232.8845999999999</v>
      </c>
      <c r="T120" s="18">
        <v>926.87700000000007</v>
      </c>
      <c r="U120" s="18">
        <v>598.20929999999998</v>
      </c>
      <c r="V120" s="18">
        <v>1199.2958999999998</v>
      </c>
      <c r="W120" s="18">
        <v>2209.1729999999989</v>
      </c>
      <c r="X120" s="18">
        <v>1448.2961999999998</v>
      </c>
      <c r="Y120" s="18">
        <v>3232.8845999999999</v>
      </c>
      <c r="Z120" s="18">
        <v>926.87700000000007</v>
      </c>
      <c r="AA120" s="18">
        <v>598.20929999999998</v>
      </c>
      <c r="AB120" s="18">
        <v>1199.2958999999998</v>
      </c>
      <c r="AC120" s="18">
        <v>2209.1729999999989</v>
      </c>
      <c r="AD120" s="18">
        <v>1448.2961999999998</v>
      </c>
      <c r="AE120" s="18">
        <v>3232.8845999999999</v>
      </c>
      <c r="AF120" s="18">
        <v>1817.1667500000001</v>
      </c>
      <c r="AG120" s="18">
        <v>1196.4186</v>
      </c>
      <c r="AH120" s="18">
        <v>2346.4484999999995</v>
      </c>
      <c r="AI120" s="18">
        <v>1318.8832499999999</v>
      </c>
      <c r="AJ120" s="18">
        <v>755.63279999999997</v>
      </c>
      <c r="AK120" s="18">
        <v>2242.1619000000001</v>
      </c>
      <c r="AL120" s="18">
        <v>1817.1667500000001</v>
      </c>
      <c r="AM120" s="18">
        <v>1196.4186</v>
      </c>
      <c r="AN120" s="18">
        <v>2346.4484999999995</v>
      </c>
      <c r="AO120" s="18">
        <v>1318.8832499999999</v>
      </c>
      <c r="AP120" s="18">
        <v>755.63279999999997</v>
      </c>
      <c r="AQ120" s="18">
        <v>2242.1619000000001</v>
      </c>
      <c r="AR120" s="18">
        <v>1817.1667500000001</v>
      </c>
      <c r="AS120" s="18">
        <v>1196.4186</v>
      </c>
      <c r="AT120" s="18">
        <v>2346.4484999999995</v>
      </c>
      <c r="AU120" s="18">
        <v>1318.8832499999999</v>
      </c>
      <c r="AV120" s="18">
        <v>755.63279999999997</v>
      </c>
      <c r="AW120" s="18">
        <v>2242.1619000000001</v>
      </c>
      <c r="AX120" s="18">
        <v>3137.7922500000004</v>
      </c>
      <c r="AY120" s="18">
        <v>2046.5054999999998</v>
      </c>
      <c r="AZ120" s="18">
        <v>4067.1773999999996</v>
      </c>
      <c r="BA120" s="18">
        <v>0</v>
      </c>
      <c r="BB120" s="18">
        <v>0</v>
      </c>
      <c r="BC120" s="18">
        <v>834.29279999999994</v>
      </c>
      <c r="BD120" s="18">
        <v>3137.7922500000004</v>
      </c>
      <c r="BE120" s="18">
        <v>2046.5054999999998</v>
      </c>
      <c r="BF120" s="18">
        <v>4067.1773999999996</v>
      </c>
      <c r="BG120" s="18">
        <v>0</v>
      </c>
      <c r="BH120" s="18">
        <v>0</v>
      </c>
      <c r="BI120" s="18">
        <v>834.29279999999994</v>
      </c>
      <c r="BJ120" s="18">
        <v>3137.7922500000004</v>
      </c>
      <c r="BK120" s="18">
        <v>2046.5054999999998</v>
      </c>
      <c r="BL120" s="18">
        <v>4067.1773999999996</v>
      </c>
      <c r="BM120" s="18">
        <v>0</v>
      </c>
      <c r="BN120" s="18">
        <v>0</v>
      </c>
      <c r="BO120" s="18">
        <v>834.29279999999994</v>
      </c>
      <c r="BP120" s="18"/>
      <c r="BQ120" s="18"/>
      <c r="BR120" s="18"/>
      <c r="BS120" s="18"/>
      <c r="BT120" s="10">
        <f>Tabelle58971121[[#This Row],[Mindestauslastung durch]]*Tabelle58971121[[#This Row],[installierte Leistung MW durch]]</f>
        <v>627.20999999999992</v>
      </c>
      <c r="BU120" s="10">
        <f>Tabelle58971121[[#This Row],[Mindestauslastung min]]*Tabelle58971121[[#This Row],[installierte Leistung MW min]]</f>
        <v>472.27049999999997</v>
      </c>
      <c r="BV120" s="10">
        <f>Tabelle58971121[[#This Row],[Mindestauslastung max]]*Tabelle58971121[[#This Row],[installierte Leistung MW max]]</f>
        <v>782.14949999999999</v>
      </c>
      <c r="BW120" s="8">
        <v>0.15</v>
      </c>
      <c r="BX120" s="8">
        <v>0.15</v>
      </c>
      <c r="BY120" s="8">
        <v>0.15</v>
      </c>
      <c r="BZ120" s="8"/>
      <c r="CA120" s="8">
        <v>0.22166666666666671</v>
      </c>
      <c r="CB120" s="8">
        <v>0.19</v>
      </c>
      <c r="CC120" s="8">
        <v>0.23</v>
      </c>
      <c r="CD120" s="8">
        <v>0.22166666666666671</v>
      </c>
      <c r="CE120" s="8">
        <v>0.19</v>
      </c>
      <c r="CF120" s="8">
        <v>0.23</v>
      </c>
      <c r="CG120" s="8">
        <v>0.22166666666666671</v>
      </c>
      <c r="CH120" s="8">
        <v>0.19</v>
      </c>
      <c r="CI120" s="8">
        <v>0.23</v>
      </c>
      <c r="CJ120" s="8">
        <v>0.43458333333333338</v>
      </c>
      <c r="CK120" s="8">
        <v>0.38</v>
      </c>
      <c r="CL120" s="8">
        <v>0.45</v>
      </c>
      <c r="CM120" s="8">
        <v>0.43458333333333338</v>
      </c>
      <c r="CN120" s="8">
        <v>0.38</v>
      </c>
      <c r="CO120" s="8">
        <v>0.45</v>
      </c>
      <c r="CP120" s="8">
        <v>0.43458333333333338</v>
      </c>
      <c r="CQ120" s="8">
        <v>0.38</v>
      </c>
      <c r="CR120" s="8">
        <v>0.45</v>
      </c>
      <c r="CS120" s="8">
        <v>0.75041666666666673</v>
      </c>
      <c r="CT120" s="8">
        <v>0.65</v>
      </c>
      <c r="CU120" s="8">
        <v>0.78</v>
      </c>
      <c r="CV120" s="8">
        <v>0.75041666666666673</v>
      </c>
      <c r="CW120" s="8">
        <v>0.65</v>
      </c>
      <c r="CX120" s="8">
        <v>0.78</v>
      </c>
      <c r="CY120" s="8">
        <v>0.75041666666666673</v>
      </c>
      <c r="CZ120" s="8">
        <v>0.65</v>
      </c>
      <c r="DA120" s="8">
        <v>0.78</v>
      </c>
      <c r="DB120" s="8"/>
      <c r="DC120" s="8"/>
      <c r="DD120" s="8"/>
      <c r="DE120" s="48">
        <f>Tabelle58971121[[#This Row],[Durchschnittsauslastung min]]*Tabelle58971121[[#This Row],[installierte Leistung MW min]]</f>
        <v>0</v>
      </c>
      <c r="DF120" s="48">
        <f>Tabelle58971121[[#This Row],[Durchschnittsauslastung durch]]*Tabelle58971121[[#This Row],[installierte Leistung MW durch]]</f>
        <v>0</v>
      </c>
      <c r="DG120" s="48">
        <f>Tabelle58971121[[#This Row],[Durchschnittsauslastung max]]*Tabelle58971121[[#This Row],[installierte Leistung MW max]]</f>
        <v>0</v>
      </c>
      <c r="DH120" s="87">
        <f>Tabelle58971121[[#This Row],[Maximalauslastung durch]]*Tabelle58971121[[#This Row],[installierte Leistung MW min]]</f>
        <v>2361.3525</v>
      </c>
      <c r="DI120" s="48">
        <f>Tabelle58971121[[#This Row],[Maximalauslastung durch]]*Tabelle58971121[[#This Row],[installierte Leistung MW durch]]</f>
        <v>3136.0499999999997</v>
      </c>
      <c r="DJ120" s="18">
        <f>Tabelle58971121[[#This Row],[Maximalauslastung max]]*Tabelle58971121[[#This Row],[installierte Leistung MW durch]]</f>
        <v>3386.9339999999997</v>
      </c>
      <c r="DK120" s="8">
        <v>0.75</v>
      </c>
      <c r="DL120" s="8">
        <v>0.69</v>
      </c>
      <c r="DM120" s="8">
        <v>0.81</v>
      </c>
      <c r="DN120" s="1">
        <v>4181.3999999999996</v>
      </c>
      <c r="DO120" s="1">
        <v>3148.47</v>
      </c>
      <c r="DP120" s="1">
        <v>5214.33</v>
      </c>
      <c r="DQ120" s="18"/>
      <c r="DR120" s="18"/>
      <c r="DW120" s="1">
        <v>1.5</v>
      </c>
      <c r="DX120" s="1">
        <v>1</v>
      </c>
      <c r="DY120" s="1">
        <v>2</v>
      </c>
      <c r="DZ120" s="1">
        <v>1.5</v>
      </c>
      <c r="EA120" s="1">
        <v>1</v>
      </c>
      <c r="EB120" s="1">
        <v>2</v>
      </c>
      <c r="EC120" s="1">
        <v>3</v>
      </c>
      <c r="ED120" s="1">
        <v>2.4</v>
      </c>
      <c r="EE120" s="1">
        <v>3.6</v>
      </c>
      <c r="EF120" s="1">
        <v>2.5</v>
      </c>
      <c r="EG120" s="1">
        <v>1.4</v>
      </c>
      <c r="EH120" s="1">
        <v>3.6</v>
      </c>
      <c r="EL120" s="1">
        <v>639</v>
      </c>
      <c r="EM120" s="1">
        <v>575</v>
      </c>
      <c r="EN120" s="1">
        <v>703</v>
      </c>
      <c r="EO120" s="10"/>
      <c r="EP120" s="10"/>
      <c r="EQ120" s="10"/>
      <c r="ER120" s="1">
        <v>639</v>
      </c>
      <c r="ES120" s="1">
        <v>575</v>
      </c>
      <c r="ET120" s="1">
        <v>703</v>
      </c>
      <c r="EU120" s="1">
        <v>0</v>
      </c>
      <c r="EV120" s="18">
        <v>0</v>
      </c>
      <c r="EW120" s="18">
        <v>0</v>
      </c>
      <c r="EX120" s="18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>
        <v>90.977647058823536</v>
      </c>
      <c r="FK120" s="7">
        <v>45.488823529411768</v>
      </c>
      <c r="FL120" s="7">
        <v>136.46647058823527</v>
      </c>
      <c r="FO120" s="1">
        <v>67</v>
      </c>
      <c r="FP120" s="1">
        <v>67</v>
      </c>
      <c r="FQ120" s="1">
        <v>67</v>
      </c>
      <c r="FR120" s="12" t="s">
        <v>743</v>
      </c>
      <c r="FS120" s="12" t="s">
        <v>743</v>
      </c>
      <c r="FT120" s="12" t="s">
        <v>743</v>
      </c>
      <c r="FU120" s="12"/>
      <c r="FV120" s="12" t="s">
        <v>743</v>
      </c>
      <c r="FW120" s="12" t="s">
        <v>743</v>
      </c>
      <c r="FX120" s="12" t="s">
        <v>743</v>
      </c>
      <c r="FY120" s="12" t="s">
        <v>743</v>
      </c>
      <c r="FZ120" s="12" t="s">
        <v>743</v>
      </c>
      <c r="GA120" s="12" t="s">
        <v>743</v>
      </c>
      <c r="GB120" s="12" t="s">
        <v>743</v>
      </c>
      <c r="GE120" s="12" t="s">
        <v>743</v>
      </c>
      <c r="GF120" s="12" t="s">
        <v>743</v>
      </c>
      <c r="GH120" s="12" t="s">
        <v>743</v>
      </c>
    </row>
    <row r="121" spans="1:190" ht="12.75" customHeight="1" x14ac:dyDescent="0.2">
      <c r="A121" s="1" t="s">
        <v>137</v>
      </c>
      <c r="B121" s="1" t="s">
        <v>687</v>
      </c>
      <c r="E121" s="1" t="s">
        <v>142</v>
      </c>
      <c r="F121" s="1">
        <v>2</v>
      </c>
      <c r="G121" s="1">
        <v>2050</v>
      </c>
      <c r="H121" s="1">
        <v>1</v>
      </c>
      <c r="I121" s="1">
        <v>0</v>
      </c>
      <c r="J121" s="1">
        <v>0</v>
      </c>
      <c r="K121" s="18"/>
      <c r="L121" s="18"/>
      <c r="M121" s="18"/>
      <c r="N121" s="18">
        <v>1038.8186666666668</v>
      </c>
      <c r="O121" s="18">
        <v>670.45679999999993</v>
      </c>
      <c r="P121" s="18">
        <v>1344.1383999999998</v>
      </c>
      <c r="Q121" s="18">
        <v>2475.9813333333323</v>
      </c>
      <c r="R121" s="18">
        <v>1623.2111999999997</v>
      </c>
      <c r="S121" s="18">
        <v>3623.3295999999996</v>
      </c>
      <c r="T121" s="18">
        <v>1038.8186666666668</v>
      </c>
      <c r="U121" s="18">
        <v>670.45679999999993</v>
      </c>
      <c r="V121" s="18">
        <v>1344.1383999999998</v>
      </c>
      <c r="W121" s="18">
        <v>2475.9813333333323</v>
      </c>
      <c r="X121" s="18">
        <v>1623.2111999999997</v>
      </c>
      <c r="Y121" s="18">
        <v>3623.3295999999996</v>
      </c>
      <c r="Z121" s="18">
        <v>1038.8186666666668</v>
      </c>
      <c r="AA121" s="18">
        <v>670.45679999999993</v>
      </c>
      <c r="AB121" s="18">
        <v>1344.1383999999998</v>
      </c>
      <c r="AC121" s="18">
        <v>2475.9813333333323</v>
      </c>
      <c r="AD121" s="18">
        <v>1623.2111999999997</v>
      </c>
      <c r="AE121" s="18">
        <v>3623.3295999999996</v>
      </c>
      <c r="AF121" s="18">
        <v>2036.6313333333335</v>
      </c>
      <c r="AG121" s="18">
        <v>1340.9135999999999</v>
      </c>
      <c r="AH121" s="18">
        <v>2629.8359999999998</v>
      </c>
      <c r="AI121" s="18">
        <v>1478.1686666666665</v>
      </c>
      <c r="AJ121" s="18">
        <v>846.89279999999997</v>
      </c>
      <c r="AK121" s="18">
        <v>2512.9544000000001</v>
      </c>
      <c r="AL121" s="18">
        <v>2036.6313333333335</v>
      </c>
      <c r="AM121" s="18">
        <v>1340.9135999999999</v>
      </c>
      <c r="AN121" s="18">
        <v>2629.8359999999998</v>
      </c>
      <c r="AO121" s="18">
        <v>1478.1686666666665</v>
      </c>
      <c r="AP121" s="18">
        <v>846.89279999999997</v>
      </c>
      <c r="AQ121" s="18">
        <v>2512.9544000000001</v>
      </c>
      <c r="AR121" s="18">
        <v>2036.6313333333335</v>
      </c>
      <c r="AS121" s="18">
        <v>1340.9135999999999</v>
      </c>
      <c r="AT121" s="18">
        <v>2629.8359999999998</v>
      </c>
      <c r="AU121" s="18">
        <v>1478.1686666666665</v>
      </c>
      <c r="AV121" s="18">
        <v>846.89279999999997</v>
      </c>
      <c r="AW121" s="18">
        <v>2512.9544000000001</v>
      </c>
      <c r="AX121" s="18">
        <v>3516.7526666666672</v>
      </c>
      <c r="AY121" s="18">
        <v>2293.6679999999997</v>
      </c>
      <c r="AZ121" s="18">
        <v>4558.3823999999995</v>
      </c>
      <c r="BA121" s="18">
        <v>0</v>
      </c>
      <c r="BB121" s="18">
        <v>0</v>
      </c>
      <c r="BC121" s="18">
        <v>935.05279999999993</v>
      </c>
      <c r="BD121" s="18">
        <v>3516.7526666666672</v>
      </c>
      <c r="BE121" s="18">
        <v>2293.6679999999997</v>
      </c>
      <c r="BF121" s="18">
        <v>4558.3823999999995</v>
      </c>
      <c r="BG121" s="18">
        <v>0</v>
      </c>
      <c r="BH121" s="18">
        <v>0</v>
      </c>
      <c r="BI121" s="18">
        <v>935.05279999999993</v>
      </c>
      <c r="BJ121" s="18">
        <v>3516.7526666666672</v>
      </c>
      <c r="BK121" s="18">
        <v>2293.6679999999997</v>
      </c>
      <c r="BL121" s="18">
        <v>4558.3823999999995</v>
      </c>
      <c r="BM121" s="18">
        <v>0</v>
      </c>
      <c r="BN121" s="18">
        <v>0</v>
      </c>
      <c r="BO121" s="18">
        <v>935.05279999999993</v>
      </c>
      <c r="BP121" s="18"/>
      <c r="BQ121" s="18"/>
      <c r="BR121" s="18"/>
      <c r="BS121" s="18"/>
      <c r="BT121" s="10">
        <f>Tabelle58971121[[#This Row],[Mindestauslastung durch]]*Tabelle58971121[[#This Row],[installierte Leistung MW durch]]</f>
        <v>702.95999999999992</v>
      </c>
      <c r="BU121" s="10">
        <f>Tabelle58971121[[#This Row],[Mindestauslastung min]]*Tabelle58971121[[#This Row],[installierte Leistung MW min]]</f>
        <v>529.30799999999999</v>
      </c>
      <c r="BV121" s="10">
        <f>Tabelle58971121[[#This Row],[Mindestauslastung max]]*Tabelle58971121[[#This Row],[installierte Leistung MW max]]</f>
        <v>876.61199999999997</v>
      </c>
      <c r="BW121" s="8">
        <v>0.15</v>
      </c>
      <c r="BX121" s="8">
        <v>0.15</v>
      </c>
      <c r="BY121" s="8">
        <v>0.15</v>
      </c>
      <c r="BZ121" s="8"/>
      <c r="CA121" s="8">
        <v>0.22166666666666671</v>
      </c>
      <c r="CB121" s="8">
        <v>0.19</v>
      </c>
      <c r="CC121" s="8">
        <v>0.23</v>
      </c>
      <c r="CD121" s="8">
        <v>0.22166666666666671</v>
      </c>
      <c r="CE121" s="8">
        <v>0.19</v>
      </c>
      <c r="CF121" s="8">
        <v>0.23</v>
      </c>
      <c r="CG121" s="8">
        <v>0.22166666666666671</v>
      </c>
      <c r="CH121" s="8">
        <v>0.19</v>
      </c>
      <c r="CI121" s="8">
        <v>0.23</v>
      </c>
      <c r="CJ121" s="8">
        <v>0.43458333333333338</v>
      </c>
      <c r="CK121" s="8">
        <v>0.38</v>
      </c>
      <c r="CL121" s="8">
        <v>0.45</v>
      </c>
      <c r="CM121" s="8">
        <v>0.43458333333333338</v>
      </c>
      <c r="CN121" s="8">
        <v>0.38</v>
      </c>
      <c r="CO121" s="8">
        <v>0.45</v>
      </c>
      <c r="CP121" s="8">
        <v>0.43458333333333338</v>
      </c>
      <c r="CQ121" s="8">
        <v>0.38</v>
      </c>
      <c r="CR121" s="8">
        <v>0.45</v>
      </c>
      <c r="CS121" s="8">
        <v>0.75041666666666673</v>
      </c>
      <c r="CT121" s="8">
        <v>0.65</v>
      </c>
      <c r="CU121" s="8">
        <v>0.78</v>
      </c>
      <c r="CV121" s="8">
        <v>0.75041666666666673</v>
      </c>
      <c r="CW121" s="8">
        <v>0.65</v>
      </c>
      <c r="CX121" s="8">
        <v>0.78</v>
      </c>
      <c r="CY121" s="8">
        <v>0.75041666666666673</v>
      </c>
      <c r="CZ121" s="8">
        <v>0.65</v>
      </c>
      <c r="DA121" s="8">
        <v>0.78</v>
      </c>
      <c r="DB121" s="8"/>
      <c r="DC121" s="8"/>
      <c r="DD121" s="8"/>
      <c r="DE121" s="48">
        <f>Tabelle58971121[[#This Row],[Durchschnittsauslastung min]]*Tabelle58971121[[#This Row],[installierte Leistung MW min]]</f>
        <v>0</v>
      </c>
      <c r="DF121" s="48">
        <f>Tabelle58971121[[#This Row],[Durchschnittsauslastung durch]]*Tabelle58971121[[#This Row],[installierte Leistung MW durch]]</f>
        <v>0</v>
      </c>
      <c r="DG121" s="48">
        <f>Tabelle58971121[[#This Row],[Durchschnittsauslastung max]]*Tabelle58971121[[#This Row],[installierte Leistung MW max]]</f>
        <v>0</v>
      </c>
      <c r="DH121" s="87">
        <f>Tabelle58971121[[#This Row],[Maximalauslastung durch]]*Tabelle58971121[[#This Row],[installierte Leistung MW min]]</f>
        <v>2646.54</v>
      </c>
      <c r="DI121" s="48">
        <f>Tabelle58971121[[#This Row],[Maximalauslastung durch]]*Tabelle58971121[[#This Row],[installierte Leistung MW durch]]</f>
        <v>3514.7999999999997</v>
      </c>
      <c r="DJ121" s="18">
        <f>Tabelle58971121[[#This Row],[Maximalauslastung max]]*Tabelle58971121[[#This Row],[installierte Leistung MW durch]]</f>
        <v>3795.9839999999999</v>
      </c>
      <c r="DK121" s="8">
        <v>0.75</v>
      </c>
      <c r="DL121" s="8">
        <v>0.69</v>
      </c>
      <c r="DM121" s="8">
        <v>0.81</v>
      </c>
      <c r="DN121" s="1">
        <v>4686.3999999999996</v>
      </c>
      <c r="DO121" s="1">
        <v>3528.72</v>
      </c>
      <c r="DP121" s="1">
        <v>5844.08</v>
      </c>
      <c r="DQ121" s="18"/>
      <c r="DR121" s="18"/>
      <c r="DW121" s="1">
        <v>1.5</v>
      </c>
      <c r="DX121" s="1">
        <v>1</v>
      </c>
      <c r="DY121" s="1">
        <v>2</v>
      </c>
      <c r="DZ121" s="1">
        <v>1.5</v>
      </c>
      <c r="EA121" s="1">
        <v>1</v>
      </c>
      <c r="EB121" s="1">
        <v>2</v>
      </c>
      <c r="EC121" s="1">
        <v>3</v>
      </c>
      <c r="ED121" s="1">
        <v>2.4</v>
      </c>
      <c r="EE121" s="1">
        <v>3.6</v>
      </c>
      <c r="EF121" s="1">
        <v>2.5</v>
      </c>
      <c r="EG121" s="1">
        <v>1.4</v>
      </c>
      <c r="EH121" s="1">
        <v>3.6</v>
      </c>
      <c r="EL121" s="1">
        <v>639</v>
      </c>
      <c r="EM121" s="1">
        <v>575</v>
      </c>
      <c r="EN121" s="1">
        <v>703</v>
      </c>
      <c r="EO121" s="10"/>
      <c r="EP121" s="10"/>
      <c r="EQ121" s="10"/>
      <c r="ER121" s="1">
        <v>639</v>
      </c>
      <c r="ES121" s="1">
        <v>575</v>
      </c>
      <c r="ET121" s="1">
        <v>703</v>
      </c>
      <c r="EU121" s="1">
        <v>0</v>
      </c>
      <c r="EV121" s="18">
        <v>0</v>
      </c>
      <c r="EW121" s="18">
        <v>0</v>
      </c>
      <c r="EX121" s="18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>
        <v>90.977647058823536</v>
      </c>
      <c r="FK121" s="7">
        <v>45.488823529411768</v>
      </c>
      <c r="FL121" s="7">
        <v>136.46647058823527</v>
      </c>
      <c r="FO121" s="1">
        <v>67</v>
      </c>
      <c r="FP121" s="1">
        <v>67</v>
      </c>
      <c r="FQ121" s="1">
        <v>67</v>
      </c>
      <c r="FR121" s="12" t="s">
        <v>743</v>
      </c>
      <c r="FS121" s="12" t="s">
        <v>743</v>
      </c>
      <c r="FT121" s="12" t="s">
        <v>743</v>
      </c>
      <c r="FU121" s="12"/>
      <c r="FV121" s="12" t="s">
        <v>743</v>
      </c>
      <c r="FW121" s="12" t="s">
        <v>743</v>
      </c>
      <c r="FX121" s="12" t="s">
        <v>743</v>
      </c>
      <c r="FY121" s="12" t="s">
        <v>743</v>
      </c>
      <c r="FZ121" s="12" t="s">
        <v>743</v>
      </c>
      <c r="GA121" s="12" t="s">
        <v>743</v>
      </c>
      <c r="GB121" s="12" t="s">
        <v>743</v>
      </c>
      <c r="GE121" s="12" t="s">
        <v>743</v>
      </c>
      <c r="GF121" s="12" t="s">
        <v>743</v>
      </c>
      <c r="GH121" s="12" t="s">
        <v>743</v>
      </c>
    </row>
    <row r="122" spans="1:190" ht="12.75" customHeight="1" x14ac:dyDescent="0.2">
      <c r="A122" s="1" t="s">
        <v>133</v>
      </c>
      <c r="B122" s="1" t="s">
        <v>688</v>
      </c>
      <c r="E122" s="1" t="s">
        <v>142</v>
      </c>
      <c r="F122" s="1">
        <v>2</v>
      </c>
      <c r="G122" s="1">
        <v>2015</v>
      </c>
      <c r="H122" s="1">
        <v>0</v>
      </c>
      <c r="I122" s="1">
        <v>0</v>
      </c>
      <c r="J122" s="1">
        <v>1</v>
      </c>
      <c r="K122" s="18"/>
      <c r="L122" s="18"/>
      <c r="M122" s="18"/>
      <c r="N122" s="18">
        <v>0</v>
      </c>
      <c r="O122" s="18">
        <v>0</v>
      </c>
      <c r="P122" s="18">
        <v>143.65199999999999</v>
      </c>
      <c r="Q122" s="18">
        <v>359.31599999999997</v>
      </c>
      <c r="R122" s="18">
        <v>0</v>
      </c>
      <c r="S122" s="18">
        <v>1436.52</v>
      </c>
      <c r="T122" s="18">
        <v>0</v>
      </c>
      <c r="U122" s="18">
        <v>0</v>
      </c>
      <c r="V122" s="18">
        <v>143.65199999999999</v>
      </c>
      <c r="W122" s="18">
        <v>359.31599999999997</v>
      </c>
      <c r="X122" s="18">
        <v>0</v>
      </c>
      <c r="Y122" s="18">
        <v>1436.52</v>
      </c>
      <c r="Z122" s="18">
        <v>0</v>
      </c>
      <c r="AA122" s="18">
        <v>0</v>
      </c>
      <c r="AB122" s="18">
        <v>143.65199999999999</v>
      </c>
      <c r="AC122" s="18">
        <v>359.31599999999997</v>
      </c>
      <c r="AD122" s="18">
        <v>0</v>
      </c>
      <c r="AE122" s="18">
        <v>1436.52</v>
      </c>
      <c r="AF122" s="18">
        <v>0</v>
      </c>
      <c r="AG122" s="18">
        <v>0</v>
      </c>
      <c r="AH122" s="18">
        <v>143.65199999999999</v>
      </c>
      <c r="AI122" s="18">
        <v>359.31599999999997</v>
      </c>
      <c r="AJ122" s="18">
        <v>0</v>
      </c>
      <c r="AK122" s="18">
        <v>1436.52</v>
      </c>
      <c r="AL122" s="18">
        <v>0</v>
      </c>
      <c r="AM122" s="18">
        <v>0</v>
      </c>
      <c r="AN122" s="18">
        <v>143.65199999999999</v>
      </c>
      <c r="AO122" s="18">
        <v>359.31599999999997</v>
      </c>
      <c r="AP122" s="18">
        <v>0</v>
      </c>
      <c r="AQ122" s="18">
        <v>1436.52</v>
      </c>
      <c r="AR122" s="18">
        <v>0</v>
      </c>
      <c r="AS122" s="18">
        <v>0</v>
      </c>
      <c r="AT122" s="18">
        <v>143.65199999999999</v>
      </c>
      <c r="AU122" s="18">
        <v>359.31599999999997</v>
      </c>
      <c r="AV122" s="18">
        <v>0</v>
      </c>
      <c r="AW122" s="18">
        <v>1436.52</v>
      </c>
      <c r="AX122" s="18">
        <v>0</v>
      </c>
      <c r="AY122" s="18">
        <v>0</v>
      </c>
      <c r="AZ122" s="18">
        <v>143.65199999999999</v>
      </c>
      <c r="BA122" s="18">
        <v>359.31599999999997</v>
      </c>
      <c r="BB122" s="18">
        <v>0</v>
      </c>
      <c r="BC122" s="18">
        <v>1436.52</v>
      </c>
      <c r="BD122" s="18">
        <v>0</v>
      </c>
      <c r="BE122" s="18">
        <v>0</v>
      </c>
      <c r="BF122" s="18">
        <v>143.65199999999999</v>
      </c>
      <c r="BG122" s="18">
        <v>359.31599999999997</v>
      </c>
      <c r="BH122" s="18">
        <v>0</v>
      </c>
      <c r="BI122" s="18">
        <v>1436.52</v>
      </c>
      <c r="BJ122" s="18">
        <v>0</v>
      </c>
      <c r="BK122" s="18">
        <v>0</v>
      </c>
      <c r="BL122" s="18">
        <v>143.65199999999999</v>
      </c>
      <c r="BM122" s="18">
        <v>359.31599999999997</v>
      </c>
      <c r="BN122" s="18">
        <v>0</v>
      </c>
      <c r="BO122" s="18">
        <v>1436.52</v>
      </c>
      <c r="BP122" s="18"/>
      <c r="BQ122" s="18"/>
      <c r="BR122" s="18"/>
      <c r="BS122" s="18"/>
      <c r="BT122" s="10">
        <f>Tabelle58971121[[#This Row],[Mindestauslastung durch]]*Tabelle58971121[[#This Row],[installierte Leistung MW durch]]</f>
        <v>532.31999999999994</v>
      </c>
      <c r="BU122" s="10">
        <f>Tabelle58971121[[#This Row],[Mindestauslastung min]]*Tabelle58971121[[#This Row],[installierte Leistung MW min]]</f>
        <v>525.94499999999994</v>
      </c>
      <c r="BV122" s="10">
        <f>Tabelle58971121[[#This Row],[Mindestauslastung max]]*Tabelle58971121[[#This Row],[installierte Leistung MW max]]</f>
        <v>538.69499999999994</v>
      </c>
      <c r="BW122" s="8">
        <v>1.4999999999999999E-2</v>
      </c>
      <c r="BX122" s="8">
        <v>1.4999999999999999E-2</v>
      </c>
      <c r="BY122" s="8">
        <v>1.4999999999999999E-2</v>
      </c>
      <c r="BZ122" s="8"/>
      <c r="CA122" s="8">
        <v>1.2874999999999999E-2</v>
      </c>
      <c r="CB122" s="8">
        <v>3.0000000000000001E-3</v>
      </c>
      <c r="CC122" s="8">
        <v>1.9E-2</v>
      </c>
      <c r="CD122" s="8">
        <v>1.2874999999999999E-2</v>
      </c>
      <c r="CE122" s="8">
        <v>3.0000000000000001E-3</v>
      </c>
      <c r="CF122" s="8">
        <v>1.9E-2</v>
      </c>
      <c r="CG122" s="8">
        <v>1.2874999999999999E-2</v>
      </c>
      <c r="CH122" s="8">
        <v>3.0000000000000001E-3</v>
      </c>
      <c r="CI122" s="8">
        <v>1.9E-2</v>
      </c>
      <c r="CJ122" s="8">
        <v>1.2874999999999999E-2</v>
      </c>
      <c r="CK122" s="8">
        <v>3.0000000000000001E-3</v>
      </c>
      <c r="CL122" s="8">
        <v>1.9E-2</v>
      </c>
      <c r="CM122" s="8">
        <v>1.2874999999999999E-2</v>
      </c>
      <c r="CN122" s="8">
        <v>3.0000000000000001E-3</v>
      </c>
      <c r="CO122" s="8">
        <v>1.9E-2</v>
      </c>
      <c r="CP122" s="8">
        <v>1.2874999999999999E-2</v>
      </c>
      <c r="CQ122" s="8">
        <v>3.0000000000000001E-3</v>
      </c>
      <c r="CR122" s="8">
        <v>1.9E-2</v>
      </c>
      <c r="CS122" s="8">
        <v>1.2874999999999999E-2</v>
      </c>
      <c r="CT122" s="8">
        <v>3.0000000000000001E-3</v>
      </c>
      <c r="CU122" s="8">
        <v>1.9E-2</v>
      </c>
      <c r="CV122" s="8">
        <v>1.2874999999999999E-2</v>
      </c>
      <c r="CW122" s="8">
        <v>3.0000000000000001E-3</v>
      </c>
      <c r="CX122" s="8">
        <v>1.9E-2</v>
      </c>
      <c r="CY122" s="8">
        <v>1.2874999999999999E-2</v>
      </c>
      <c r="CZ122" s="8">
        <v>3.0000000000000001E-3</v>
      </c>
      <c r="DA122" s="8">
        <v>1.9E-2</v>
      </c>
      <c r="DB122" s="8"/>
      <c r="DC122" s="8"/>
      <c r="DD122" s="8"/>
      <c r="DE122" s="48">
        <f>Tabelle58971121[[#This Row],[Durchschnittsauslastung min]]*Tabelle58971121[[#This Row],[installierte Leistung MW min]]</f>
        <v>0</v>
      </c>
      <c r="DF122" s="48">
        <f>Tabelle58971121[[#This Row],[Durchschnittsauslastung durch]]*Tabelle58971121[[#This Row],[installierte Leistung MW durch]]</f>
        <v>0</v>
      </c>
      <c r="DG122" s="48">
        <f>Tabelle58971121[[#This Row],[Durchschnittsauslastung max]]*Tabelle58971121[[#This Row],[installierte Leistung MW max]]</f>
        <v>0</v>
      </c>
      <c r="DH122" s="87">
        <f>Tabelle58971121[[#This Row],[Maximalauslastung durch]]*Tabelle58971121[[#This Row],[installierte Leistung MW min]]</f>
        <v>806.44899999999996</v>
      </c>
      <c r="DI122" s="48">
        <f>Tabelle58971121[[#This Row],[Maximalauslastung durch]]*Tabelle58971121[[#This Row],[installierte Leistung MW durch]]</f>
        <v>816.22399999999993</v>
      </c>
      <c r="DJ122" s="18">
        <f>Tabelle58971121[[#This Row],[Maximalauslastung max]]*Tabelle58971121[[#This Row],[installierte Leistung MW durch]]</f>
        <v>1525.9839999999999</v>
      </c>
      <c r="DK122" s="8">
        <v>2.3E-2</v>
      </c>
      <c r="DL122" s="8">
        <v>2.9999999999999979E-3</v>
      </c>
      <c r="DM122" s="8">
        <v>4.2999999999999997E-2</v>
      </c>
      <c r="DN122" s="1">
        <v>35488</v>
      </c>
      <c r="DO122" s="1">
        <v>35063</v>
      </c>
      <c r="DP122" s="1">
        <v>35913</v>
      </c>
      <c r="DQ122" s="18"/>
      <c r="DR122" s="18"/>
      <c r="DW122" s="1">
        <v>1.75</v>
      </c>
      <c r="DX122" s="1">
        <v>1.1499999999999999</v>
      </c>
      <c r="DY122" s="1">
        <v>2.35</v>
      </c>
      <c r="DZ122" s="1">
        <v>1.75</v>
      </c>
      <c r="EA122" s="1">
        <v>0.5</v>
      </c>
      <c r="EB122" s="1">
        <v>3</v>
      </c>
      <c r="EC122" s="1">
        <v>3.5</v>
      </c>
      <c r="ED122" s="1">
        <v>2.2999999999999998</v>
      </c>
      <c r="EE122" s="1">
        <v>4.7</v>
      </c>
      <c r="EF122" s="1">
        <v>3.5</v>
      </c>
      <c r="EG122" s="1">
        <v>3.5</v>
      </c>
      <c r="EH122" s="1">
        <v>3.5</v>
      </c>
      <c r="EL122" s="1" t="s">
        <v>1046</v>
      </c>
      <c r="EM122" s="1" t="s">
        <v>1046</v>
      </c>
      <c r="EN122" s="1" t="s">
        <v>1046</v>
      </c>
      <c r="EO122" s="10"/>
      <c r="EP122" s="10"/>
      <c r="EQ122" s="10"/>
      <c r="ER122" s="1">
        <v>160</v>
      </c>
      <c r="ES122" s="1">
        <v>144</v>
      </c>
      <c r="ET122" s="1">
        <v>176</v>
      </c>
      <c r="EU122" s="1">
        <v>92.50411764705882</v>
      </c>
      <c r="EV122" s="18">
        <v>83.243529411764712</v>
      </c>
      <c r="EW122" s="18">
        <v>101.76470588235293</v>
      </c>
      <c r="EX122" s="18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>
        <v>753.05882352941171</v>
      </c>
      <c r="FK122" s="7">
        <v>745.52823529411762</v>
      </c>
      <c r="FL122" s="7">
        <v>760.5894117647058</v>
      </c>
      <c r="FO122" s="1">
        <v>67</v>
      </c>
      <c r="FP122" s="1">
        <v>67</v>
      </c>
      <c r="FQ122" s="1">
        <v>67</v>
      </c>
      <c r="FR122" s="12" t="s">
        <v>743</v>
      </c>
      <c r="FS122" s="12" t="s">
        <v>743</v>
      </c>
      <c r="FT122" s="12" t="s">
        <v>743</v>
      </c>
      <c r="FU122" s="12"/>
      <c r="FV122" s="12" t="s">
        <v>743</v>
      </c>
      <c r="FW122" s="12" t="s">
        <v>743</v>
      </c>
      <c r="FX122" s="12" t="s">
        <v>743</v>
      </c>
      <c r="FY122" s="12" t="s">
        <v>743</v>
      </c>
      <c r="FZ122" s="12" t="s">
        <v>743</v>
      </c>
      <c r="GA122" s="12" t="s">
        <v>743</v>
      </c>
      <c r="GB122" s="12" t="s">
        <v>743</v>
      </c>
      <c r="GE122" s="12" t="s">
        <v>743</v>
      </c>
      <c r="GF122" s="12" t="s">
        <v>743</v>
      </c>
      <c r="GH122" s="12" t="s">
        <v>743</v>
      </c>
    </row>
    <row r="123" spans="1:190" ht="12.75" customHeight="1" x14ac:dyDescent="0.2">
      <c r="A123" s="1" t="s">
        <v>133</v>
      </c>
      <c r="B123" s="1" t="s">
        <v>688</v>
      </c>
      <c r="E123" s="1" t="s">
        <v>142</v>
      </c>
      <c r="F123" s="1">
        <v>2</v>
      </c>
      <c r="G123" s="1">
        <v>2020</v>
      </c>
      <c r="H123" s="1">
        <v>0</v>
      </c>
      <c r="I123" s="1">
        <v>0</v>
      </c>
      <c r="J123" s="1">
        <v>1</v>
      </c>
      <c r="K123" s="18"/>
      <c r="L123" s="18"/>
      <c r="M123" s="18"/>
      <c r="N123" s="18">
        <v>0</v>
      </c>
      <c r="O123" s="18">
        <v>0</v>
      </c>
      <c r="P123" s="18">
        <v>124.97723999999999</v>
      </c>
      <c r="Q123" s="18">
        <v>312.60491999999999</v>
      </c>
      <c r="R123" s="18">
        <v>0</v>
      </c>
      <c r="S123" s="18">
        <v>1249.7724000000001</v>
      </c>
      <c r="T123" s="18">
        <v>0</v>
      </c>
      <c r="U123" s="18">
        <v>0</v>
      </c>
      <c r="V123" s="18">
        <v>124.97723999999999</v>
      </c>
      <c r="W123" s="18">
        <v>312.60491999999999</v>
      </c>
      <c r="X123" s="18">
        <v>0</v>
      </c>
      <c r="Y123" s="18">
        <v>1249.7724000000001</v>
      </c>
      <c r="Z123" s="18">
        <v>0</v>
      </c>
      <c r="AA123" s="18">
        <v>0</v>
      </c>
      <c r="AB123" s="18">
        <v>124.97723999999999</v>
      </c>
      <c r="AC123" s="18">
        <v>312.60491999999999</v>
      </c>
      <c r="AD123" s="18">
        <v>0</v>
      </c>
      <c r="AE123" s="18">
        <v>1249.7724000000001</v>
      </c>
      <c r="AF123" s="18">
        <v>0</v>
      </c>
      <c r="AG123" s="18">
        <v>0</v>
      </c>
      <c r="AH123" s="18">
        <v>124.97723999999999</v>
      </c>
      <c r="AI123" s="18">
        <v>312.60491999999999</v>
      </c>
      <c r="AJ123" s="18">
        <v>0</v>
      </c>
      <c r="AK123" s="18">
        <v>1249.7724000000001</v>
      </c>
      <c r="AL123" s="18">
        <v>0</v>
      </c>
      <c r="AM123" s="18">
        <v>0</v>
      </c>
      <c r="AN123" s="18">
        <v>124.97723999999999</v>
      </c>
      <c r="AO123" s="18">
        <v>312.60491999999999</v>
      </c>
      <c r="AP123" s="18">
        <v>0</v>
      </c>
      <c r="AQ123" s="18">
        <v>1249.7724000000001</v>
      </c>
      <c r="AR123" s="18">
        <v>0</v>
      </c>
      <c r="AS123" s="18">
        <v>0</v>
      </c>
      <c r="AT123" s="18">
        <v>124.97723999999999</v>
      </c>
      <c r="AU123" s="18">
        <v>312.60491999999999</v>
      </c>
      <c r="AV123" s="18">
        <v>0</v>
      </c>
      <c r="AW123" s="18">
        <v>1249.7724000000001</v>
      </c>
      <c r="AX123" s="18">
        <v>0</v>
      </c>
      <c r="AY123" s="18">
        <v>0</v>
      </c>
      <c r="AZ123" s="18">
        <v>124.97723999999999</v>
      </c>
      <c r="BA123" s="18">
        <v>312.60491999999999</v>
      </c>
      <c r="BB123" s="18">
        <v>0</v>
      </c>
      <c r="BC123" s="18">
        <v>1249.7724000000001</v>
      </c>
      <c r="BD123" s="18">
        <v>0</v>
      </c>
      <c r="BE123" s="18">
        <v>0</v>
      </c>
      <c r="BF123" s="18">
        <v>124.97723999999999</v>
      </c>
      <c r="BG123" s="18">
        <v>312.60491999999999</v>
      </c>
      <c r="BH123" s="18">
        <v>0</v>
      </c>
      <c r="BI123" s="18">
        <v>1249.7724000000001</v>
      </c>
      <c r="BJ123" s="18">
        <v>0</v>
      </c>
      <c r="BK123" s="18">
        <v>0</v>
      </c>
      <c r="BL123" s="18">
        <v>124.97723999999999</v>
      </c>
      <c r="BM123" s="18">
        <v>312.60491999999999</v>
      </c>
      <c r="BN123" s="18">
        <v>0</v>
      </c>
      <c r="BO123" s="18">
        <v>1249.7724000000001</v>
      </c>
      <c r="BP123" s="18"/>
      <c r="BQ123" s="18"/>
      <c r="BR123" s="18"/>
      <c r="BS123" s="18"/>
      <c r="BT123" s="10">
        <f>Tabelle58971121[[#This Row],[Mindestauslastung durch]]*Tabelle58971121[[#This Row],[installierte Leistung MW durch]]</f>
        <v>463.11840000000001</v>
      </c>
      <c r="BU123" s="10">
        <f>Tabelle58971121[[#This Row],[Mindestauslastung min]]*Tabelle58971121[[#This Row],[installierte Leistung MW min]]</f>
        <v>457.57215000000002</v>
      </c>
      <c r="BV123" s="10">
        <f>Tabelle58971121[[#This Row],[Mindestauslastung max]]*Tabelle58971121[[#This Row],[installierte Leistung MW max]]</f>
        <v>468.66464999999999</v>
      </c>
      <c r="BW123" s="8">
        <v>1.4999999999999999E-2</v>
      </c>
      <c r="BX123" s="8">
        <v>1.4999999999999999E-2</v>
      </c>
      <c r="BY123" s="8">
        <v>1.4999999999999999E-2</v>
      </c>
      <c r="BZ123" s="8"/>
      <c r="CA123" s="8">
        <v>1.2874999999999999E-2</v>
      </c>
      <c r="CB123" s="8">
        <v>3.0000000000000001E-3</v>
      </c>
      <c r="CC123" s="8">
        <v>1.9E-2</v>
      </c>
      <c r="CD123" s="8">
        <v>1.2874999999999999E-2</v>
      </c>
      <c r="CE123" s="8">
        <v>3.0000000000000001E-3</v>
      </c>
      <c r="CF123" s="8">
        <v>1.9E-2</v>
      </c>
      <c r="CG123" s="8">
        <v>1.2874999999999999E-2</v>
      </c>
      <c r="CH123" s="8">
        <v>3.0000000000000001E-3</v>
      </c>
      <c r="CI123" s="8">
        <v>1.9E-2</v>
      </c>
      <c r="CJ123" s="8">
        <v>1.2874999999999999E-2</v>
      </c>
      <c r="CK123" s="8">
        <v>3.0000000000000001E-3</v>
      </c>
      <c r="CL123" s="8">
        <v>1.9E-2</v>
      </c>
      <c r="CM123" s="8">
        <v>1.2874999999999999E-2</v>
      </c>
      <c r="CN123" s="8">
        <v>3.0000000000000001E-3</v>
      </c>
      <c r="CO123" s="8">
        <v>1.9E-2</v>
      </c>
      <c r="CP123" s="8">
        <v>1.2874999999999999E-2</v>
      </c>
      <c r="CQ123" s="8">
        <v>3.0000000000000001E-3</v>
      </c>
      <c r="CR123" s="8">
        <v>1.9E-2</v>
      </c>
      <c r="CS123" s="8">
        <v>1.2874999999999999E-2</v>
      </c>
      <c r="CT123" s="8">
        <v>3.0000000000000001E-3</v>
      </c>
      <c r="CU123" s="8">
        <v>1.9E-2</v>
      </c>
      <c r="CV123" s="8">
        <v>1.2874999999999999E-2</v>
      </c>
      <c r="CW123" s="8">
        <v>3.0000000000000001E-3</v>
      </c>
      <c r="CX123" s="8">
        <v>1.9E-2</v>
      </c>
      <c r="CY123" s="8">
        <v>1.2874999999999999E-2</v>
      </c>
      <c r="CZ123" s="8">
        <v>3.0000000000000001E-3</v>
      </c>
      <c r="DA123" s="8">
        <v>1.9E-2</v>
      </c>
      <c r="DB123" s="8"/>
      <c r="DC123" s="8"/>
      <c r="DD123" s="8"/>
      <c r="DE123" s="48">
        <f>Tabelle58971121[[#This Row],[Durchschnittsauslastung min]]*Tabelle58971121[[#This Row],[installierte Leistung MW min]]</f>
        <v>0</v>
      </c>
      <c r="DF123" s="48">
        <f>Tabelle58971121[[#This Row],[Durchschnittsauslastung durch]]*Tabelle58971121[[#This Row],[installierte Leistung MW durch]]</f>
        <v>0</v>
      </c>
      <c r="DG123" s="48">
        <f>Tabelle58971121[[#This Row],[Durchschnittsauslastung max]]*Tabelle58971121[[#This Row],[installierte Leistung MW max]]</f>
        <v>0</v>
      </c>
      <c r="DH123" s="87">
        <f>Tabelle58971121[[#This Row],[Maximalauslastung durch]]*Tabelle58971121[[#This Row],[installierte Leistung MW min]]</f>
        <v>701.61063000000001</v>
      </c>
      <c r="DI123" s="48">
        <f>Tabelle58971121[[#This Row],[Maximalauslastung durch]]*Tabelle58971121[[#This Row],[installierte Leistung MW durch]]</f>
        <v>710.11487999999997</v>
      </c>
      <c r="DJ123" s="18">
        <f>Tabelle58971121[[#This Row],[Maximalauslastung max]]*Tabelle58971121[[#This Row],[installierte Leistung MW durch]]</f>
        <v>1327.60608</v>
      </c>
      <c r="DK123" s="8">
        <v>2.3E-2</v>
      </c>
      <c r="DL123" s="8">
        <v>2.9999999999999979E-3</v>
      </c>
      <c r="DM123" s="8">
        <v>4.2999999999999997E-2</v>
      </c>
      <c r="DN123" s="1">
        <v>30874.560000000001</v>
      </c>
      <c r="DO123" s="1">
        <v>30504.81</v>
      </c>
      <c r="DP123" s="1">
        <v>31244.31</v>
      </c>
      <c r="DQ123" s="18"/>
      <c r="DR123" s="18"/>
      <c r="DW123" s="1">
        <v>1.75</v>
      </c>
      <c r="DX123" s="1">
        <v>1.1499999999999999</v>
      </c>
      <c r="DY123" s="1">
        <v>2.35</v>
      </c>
      <c r="DZ123" s="1">
        <v>1.75</v>
      </c>
      <c r="EA123" s="1">
        <v>0.5</v>
      </c>
      <c r="EB123" s="1">
        <v>3</v>
      </c>
      <c r="EC123" s="1">
        <v>3.5</v>
      </c>
      <c r="ED123" s="1">
        <v>2.2999999999999998</v>
      </c>
      <c r="EE123" s="1">
        <v>4.7</v>
      </c>
      <c r="EF123" s="1">
        <v>3.5</v>
      </c>
      <c r="EG123" s="1">
        <v>3.5</v>
      </c>
      <c r="EH123" s="1">
        <v>3.5</v>
      </c>
      <c r="EL123" s="1" t="s">
        <v>1046</v>
      </c>
      <c r="EM123" s="1" t="s">
        <v>1046</v>
      </c>
      <c r="EN123" s="1" t="s">
        <v>1046</v>
      </c>
      <c r="EO123" s="10"/>
      <c r="EP123" s="10"/>
      <c r="EQ123" s="10"/>
      <c r="ER123" s="1">
        <v>160</v>
      </c>
      <c r="ES123" s="1">
        <v>144</v>
      </c>
      <c r="ET123" s="1">
        <v>176</v>
      </c>
      <c r="EU123" s="1">
        <v>92.50411764705882</v>
      </c>
      <c r="EV123" s="18">
        <v>83.243529411764712</v>
      </c>
      <c r="EW123" s="18">
        <v>101.76470588235293</v>
      </c>
      <c r="EX123" s="18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>
        <v>753.05882352941171</v>
      </c>
      <c r="FK123" s="7">
        <v>745.52823529411762</v>
      </c>
      <c r="FL123" s="7">
        <v>760.5894117647058</v>
      </c>
      <c r="FO123" s="1">
        <v>67</v>
      </c>
      <c r="FP123" s="1">
        <v>67</v>
      </c>
      <c r="FQ123" s="1">
        <v>67</v>
      </c>
      <c r="FR123" s="12" t="s">
        <v>743</v>
      </c>
      <c r="FS123" s="12" t="s">
        <v>743</v>
      </c>
      <c r="FT123" s="12" t="s">
        <v>743</v>
      </c>
      <c r="FU123" s="12"/>
      <c r="FV123" s="12" t="s">
        <v>743</v>
      </c>
      <c r="FW123" s="12" t="s">
        <v>743</v>
      </c>
      <c r="FX123" s="12" t="s">
        <v>743</v>
      </c>
      <c r="FY123" s="12" t="s">
        <v>743</v>
      </c>
      <c r="FZ123" s="12" t="s">
        <v>743</v>
      </c>
      <c r="GA123" s="12" t="s">
        <v>743</v>
      </c>
      <c r="GB123" s="12" t="s">
        <v>743</v>
      </c>
      <c r="GE123" s="12" t="s">
        <v>743</v>
      </c>
      <c r="GF123" s="12" t="s">
        <v>743</v>
      </c>
      <c r="GH123" s="12" t="s">
        <v>743</v>
      </c>
    </row>
    <row r="124" spans="1:190" ht="12.75" customHeight="1" x14ac:dyDescent="0.2">
      <c r="A124" s="1" t="s">
        <v>133</v>
      </c>
      <c r="B124" s="1" t="s">
        <v>688</v>
      </c>
      <c r="E124" s="1" t="s">
        <v>142</v>
      </c>
      <c r="F124" s="1">
        <v>2</v>
      </c>
      <c r="G124" s="1">
        <v>2025</v>
      </c>
      <c r="H124" s="1">
        <v>0</v>
      </c>
      <c r="I124" s="1">
        <v>0</v>
      </c>
      <c r="J124" s="1">
        <v>1</v>
      </c>
      <c r="K124" s="18"/>
      <c r="L124" s="18"/>
      <c r="M124" s="18"/>
      <c r="N124" s="18">
        <v>0</v>
      </c>
      <c r="O124" s="18">
        <v>0</v>
      </c>
      <c r="P124" s="18">
        <v>109.17551999999999</v>
      </c>
      <c r="Q124" s="18">
        <v>273.08015999999998</v>
      </c>
      <c r="R124" s="18">
        <v>0</v>
      </c>
      <c r="S124" s="18">
        <v>1091.7552000000001</v>
      </c>
      <c r="T124" s="18">
        <v>0</v>
      </c>
      <c r="U124" s="18">
        <v>0</v>
      </c>
      <c r="V124" s="18">
        <v>109.17551999999999</v>
      </c>
      <c r="W124" s="18">
        <v>273.08015999999998</v>
      </c>
      <c r="X124" s="18">
        <v>0</v>
      </c>
      <c r="Y124" s="18">
        <v>1091.7552000000001</v>
      </c>
      <c r="Z124" s="18">
        <v>0</v>
      </c>
      <c r="AA124" s="18">
        <v>0</v>
      </c>
      <c r="AB124" s="18">
        <v>109.17551999999999</v>
      </c>
      <c r="AC124" s="18">
        <v>273.08015999999998</v>
      </c>
      <c r="AD124" s="18">
        <v>0</v>
      </c>
      <c r="AE124" s="18">
        <v>1091.7552000000001</v>
      </c>
      <c r="AF124" s="18">
        <v>0</v>
      </c>
      <c r="AG124" s="18">
        <v>0</v>
      </c>
      <c r="AH124" s="18">
        <v>109.17551999999999</v>
      </c>
      <c r="AI124" s="18">
        <v>273.08015999999998</v>
      </c>
      <c r="AJ124" s="18">
        <v>0</v>
      </c>
      <c r="AK124" s="18">
        <v>1091.7552000000001</v>
      </c>
      <c r="AL124" s="18">
        <v>0</v>
      </c>
      <c r="AM124" s="18">
        <v>0</v>
      </c>
      <c r="AN124" s="18">
        <v>109.17551999999999</v>
      </c>
      <c r="AO124" s="18">
        <v>273.08015999999998</v>
      </c>
      <c r="AP124" s="18">
        <v>0</v>
      </c>
      <c r="AQ124" s="18">
        <v>1091.7552000000001</v>
      </c>
      <c r="AR124" s="18">
        <v>0</v>
      </c>
      <c r="AS124" s="18">
        <v>0</v>
      </c>
      <c r="AT124" s="18">
        <v>109.17551999999999</v>
      </c>
      <c r="AU124" s="18">
        <v>273.08015999999998</v>
      </c>
      <c r="AV124" s="18">
        <v>0</v>
      </c>
      <c r="AW124" s="18">
        <v>1091.7552000000001</v>
      </c>
      <c r="AX124" s="18">
        <v>0</v>
      </c>
      <c r="AY124" s="18">
        <v>0</v>
      </c>
      <c r="AZ124" s="18">
        <v>109.17551999999999</v>
      </c>
      <c r="BA124" s="18">
        <v>273.08015999999998</v>
      </c>
      <c r="BB124" s="18">
        <v>0</v>
      </c>
      <c r="BC124" s="18">
        <v>1091.7552000000001</v>
      </c>
      <c r="BD124" s="18">
        <v>0</v>
      </c>
      <c r="BE124" s="18">
        <v>0</v>
      </c>
      <c r="BF124" s="18">
        <v>109.17551999999999</v>
      </c>
      <c r="BG124" s="18">
        <v>273.08015999999998</v>
      </c>
      <c r="BH124" s="18">
        <v>0</v>
      </c>
      <c r="BI124" s="18">
        <v>1091.7552000000001</v>
      </c>
      <c r="BJ124" s="18">
        <v>0</v>
      </c>
      <c r="BK124" s="18">
        <v>0</v>
      </c>
      <c r="BL124" s="18">
        <v>109.17551999999999</v>
      </c>
      <c r="BM124" s="18">
        <v>273.08015999999998</v>
      </c>
      <c r="BN124" s="18">
        <v>0</v>
      </c>
      <c r="BO124" s="18">
        <v>1091.7552000000001</v>
      </c>
      <c r="BP124" s="18"/>
      <c r="BQ124" s="18"/>
      <c r="BR124" s="18"/>
      <c r="BS124" s="18"/>
      <c r="BT124" s="10">
        <f>Tabelle58971121[[#This Row],[Mindestauslastung durch]]*Tabelle58971121[[#This Row],[installierte Leistung MW durch]]</f>
        <v>404.56319999999999</v>
      </c>
      <c r="BU124" s="10">
        <f>Tabelle58971121[[#This Row],[Mindestauslastung min]]*Tabelle58971121[[#This Row],[installierte Leistung MW min]]</f>
        <v>399.71820000000002</v>
      </c>
      <c r="BV124" s="10">
        <f>Tabelle58971121[[#This Row],[Mindestauslastung max]]*Tabelle58971121[[#This Row],[installierte Leistung MW max]]</f>
        <v>409.40820000000002</v>
      </c>
      <c r="BW124" s="8">
        <v>1.4999999999999999E-2</v>
      </c>
      <c r="BX124" s="8">
        <v>1.4999999999999999E-2</v>
      </c>
      <c r="BY124" s="8">
        <v>1.4999999999999999E-2</v>
      </c>
      <c r="BZ124" s="8"/>
      <c r="CA124" s="8">
        <v>1.2874999999999999E-2</v>
      </c>
      <c r="CB124" s="8">
        <v>3.0000000000000001E-3</v>
      </c>
      <c r="CC124" s="8">
        <v>1.9E-2</v>
      </c>
      <c r="CD124" s="8">
        <v>1.2874999999999999E-2</v>
      </c>
      <c r="CE124" s="8">
        <v>3.0000000000000001E-3</v>
      </c>
      <c r="CF124" s="8">
        <v>1.9E-2</v>
      </c>
      <c r="CG124" s="8">
        <v>1.2874999999999999E-2</v>
      </c>
      <c r="CH124" s="8">
        <v>3.0000000000000001E-3</v>
      </c>
      <c r="CI124" s="8">
        <v>1.9E-2</v>
      </c>
      <c r="CJ124" s="8">
        <v>1.2874999999999999E-2</v>
      </c>
      <c r="CK124" s="8">
        <v>3.0000000000000001E-3</v>
      </c>
      <c r="CL124" s="8">
        <v>1.9E-2</v>
      </c>
      <c r="CM124" s="8">
        <v>1.2874999999999999E-2</v>
      </c>
      <c r="CN124" s="8">
        <v>3.0000000000000001E-3</v>
      </c>
      <c r="CO124" s="8">
        <v>1.9E-2</v>
      </c>
      <c r="CP124" s="8">
        <v>1.2874999999999999E-2</v>
      </c>
      <c r="CQ124" s="8">
        <v>3.0000000000000001E-3</v>
      </c>
      <c r="CR124" s="8">
        <v>1.9E-2</v>
      </c>
      <c r="CS124" s="8">
        <v>1.2874999999999999E-2</v>
      </c>
      <c r="CT124" s="8">
        <v>3.0000000000000001E-3</v>
      </c>
      <c r="CU124" s="8">
        <v>1.9E-2</v>
      </c>
      <c r="CV124" s="8">
        <v>1.2874999999999999E-2</v>
      </c>
      <c r="CW124" s="8">
        <v>3.0000000000000001E-3</v>
      </c>
      <c r="CX124" s="8">
        <v>1.9E-2</v>
      </c>
      <c r="CY124" s="8">
        <v>1.2874999999999999E-2</v>
      </c>
      <c r="CZ124" s="8">
        <v>3.0000000000000001E-3</v>
      </c>
      <c r="DA124" s="8">
        <v>1.9E-2</v>
      </c>
      <c r="DB124" s="8"/>
      <c r="DC124" s="8"/>
      <c r="DD124" s="8"/>
      <c r="DE124" s="48">
        <f>Tabelle58971121[[#This Row],[Durchschnittsauslastung min]]*Tabelle58971121[[#This Row],[installierte Leistung MW min]]</f>
        <v>0</v>
      </c>
      <c r="DF124" s="48">
        <f>Tabelle58971121[[#This Row],[Durchschnittsauslastung durch]]*Tabelle58971121[[#This Row],[installierte Leistung MW durch]]</f>
        <v>0</v>
      </c>
      <c r="DG124" s="48">
        <f>Tabelle58971121[[#This Row],[Durchschnittsauslastung max]]*Tabelle58971121[[#This Row],[installierte Leistung MW max]]</f>
        <v>0</v>
      </c>
      <c r="DH124" s="87">
        <f>Tabelle58971121[[#This Row],[Maximalauslastung durch]]*Tabelle58971121[[#This Row],[installierte Leistung MW min]]</f>
        <v>612.90124000000003</v>
      </c>
      <c r="DI124" s="48">
        <f>Tabelle58971121[[#This Row],[Maximalauslastung durch]]*Tabelle58971121[[#This Row],[installierte Leistung MW durch]]</f>
        <v>620.33024</v>
      </c>
      <c r="DJ124" s="18">
        <f>Tabelle58971121[[#This Row],[Maximalauslastung max]]*Tabelle58971121[[#This Row],[installierte Leistung MW durch]]</f>
        <v>1159.74784</v>
      </c>
      <c r="DK124" s="8">
        <v>2.3E-2</v>
      </c>
      <c r="DL124" s="8">
        <v>2.9999999999999979E-3</v>
      </c>
      <c r="DM124" s="8">
        <v>4.2999999999999997E-2</v>
      </c>
      <c r="DN124" s="1">
        <v>26970.880000000001</v>
      </c>
      <c r="DO124" s="1">
        <v>26647.88</v>
      </c>
      <c r="DP124" s="1">
        <v>27293.88</v>
      </c>
      <c r="DQ124" s="18"/>
      <c r="DR124" s="18"/>
      <c r="DW124" s="1">
        <v>1.75</v>
      </c>
      <c r="DX124" s="1">
        <v>1.1499999999999999</v>
      </c>
      <c r="DY124" s="1">
        <v>2.35</v>
      </c>
      <c r="DZ124" s="1">
        <v>1.75</v>
      </c>
      <c r="EA124" s="1">
        <v>0.5</v>
      </c>
      <c r="EB124" s="1">
        <v>3</v>
      </c>
      <c r="EC124" s="1">
        <v>3.5</v>
      </c>
      <c r="ED124" s="1">
        <v>2.2999999999999998</v>
      </c>
      <c r="EE124" s="1">
        <v>4.7</v>
      </c>
      <c r="EF124" s="1">
        <v>3.5</v>
      </c>
      <c r="EG124" s="1">
        <v>3.5</v>
      </c>
      <c r="EH124" s="1">
        <v>3.5</v>
      </c>
      <c r="EL124" s="1" t="s">
        <v>1046</v>
      </c>
      <c r="EM124" s="1" t="s">
        <v>1046</v>
      </c>
      <c r="EN124" s="1" t="s">
        <v>1046</v>
      </c>
      <c r="EO124" s="10"/>
      <c r="EP124" s="10"/>
      <c r="EQ124" s="10"/>
      <c r="ER124" s="1">
        <v>160</v>
      </c>
      <c r="ES124" s="1">
        <v>144</v>
      </c>
      <c r="ET124" s="1">
        <v>176</v>
      </c>
      <c r="EU124" s="1">
        <v>92.50411764705882</v>
      </c>
      <c r="EV124" s="18">
        <v>83.243529411764712</v>
      </c>
      <c r="EW124" s="18">
        <v>101.76470588235293</v>
      </c>
      <c r="EX124" s="18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>
        <v>753.05882352941171</v>
      </c>
      <c r="FK124" s="7">
        <v>745.52823529411762</v>
      </c>
      <c r="FL124" s="7">
        <v>760.5894117647058</v>
      </c>
      <c r="FO124" s="1">
        <v>67</v>
      </c>
      <c r="FP124" s="1">
        <v>67</v>
      </c>
      <c r="FQ124" s="1">
        <v>67</v>
      </c>
      <c r="FR124" s="12" t="s">
        <v>743</v>
      </c>
      <c r="FS124" s="12" t="s">
        <v>743</v>
      </c>
      <c r="FT124" s="12" t="s">
        <v>743</v>
      </c>
      <c r="FU124" s="12"/>
      <c r="FV124" s="12" t="s">
        <v>743</v>
      </c>
      <c r="FW124" s="12" t="s">
        <v>743</v>
      </c>
      <c r="FX124" s="12" t="s">
        <v>743</v>
      </c>
      <c r="FY124" s="12" t="s">
        <v>743</v>
      </c>
      <c r="FZ124" s="12" t="s">
        <v>743</v>
      </c>
      <c r="GA124" s="12" t="s">
        <v>743</v>
      </c>
      <c r="GB124" s="12" t="s">
        <v>743</v>
      </c>
      <c r="GE124" s="12" t="s">
        <v>743</v>
      </c>
      <c r="GF124" s="12" t="s">
        <v>743</v>
      </c>
      <c r="GH124" s="12" t="s">
        <v>743</v>
      </c>
    </row>
    <row r="125" spans="1:190" ht="12.75" customHeight="1" x14ac:dyDescent="0.2">
      <c r="A125" s="1" t="s">
        <v>133</v>
      </c>
      <c r="B125" s="1" t="s">
        <v>688</v>
      </c>
      <c r="E125" s="1" t="s">
        <v>142</v>
      </c>
      <c r="F125" s="1">
        <v>2</v>
      </c>
      <c r="G125" s="1">
        <v>2030</v>
      </c>
      <c r="H125" s="1">
        <v>0</v>
      </c>
      <c r="I125" s="1">
        <v>0</v>
      </c>
      <c r="J125" s="1">
        <v>1</v>
      </c>
      <c r="K125" s="18"/>
      <c r="L125" s="18"/>
      <c r="M125" s="18"/>
      <c r="N125" s="18">
        <v>0</v>
      </c>
      <c r="O125" s="18">
        <v>0</v>
      </c>
      <c r="P125" s="18">
        <v>96.246839999999992</v>
      </c>
      <c r="Q125" s="18">
        <v>240.74171999999999</v>
      </c>
      <c r="R125" s="18">
        <v>0</v>
      </c>
      <c r="S125" s="18">
        <v>962.46840000000009</v>
      </c>
      <c r="T125" s="18">
        <v>0</v>
      </c>
      <c r="U125" s="18">
        <v>0</v>
      </c>
      <c r="V125" s="18">
        <v>96.246839999999992</v>
      </c>
      <c r="W125" s="18">
        <v>240.74171999999999</v>
      </c>
      <c r="X125" s="18">
        <v>0</v>
      </c>
      <c r="Y125" s="18">
        <v>962.46840000000009</v>
      </c>
      <c r="Z125" s="18">
        <v>0</v>
      </c>
      <c r="AA125" s="18">
        <v>0</v>
      </c>
      <c r="AB125" s="18">
        <v>96.246839999999992</v>
      </c>
      <c r="AC125" s="18">
        <v>240.74171999999999</v>
      </c>
      <c r="AD125" s="18">
        <v>0</v>
      </c>
      <c r="AE125" s="18">
        <v>962.46840000000009</v>
      </c>
      <c r="AF125" s="18">
        <v>0</v>
      </c>
      <c r="AG125" s="18">
        <v>0</v>
      </c>
      <c r="AH125" s="18">
        <v>96.246839999999992</v>
      </c>
      <c r="AI125" s="18">
        <v>240.74171999999999</v>
      </c>
      <c r="AJ125" s="18">
        <v>0</v>
      </c>
      <c r="AK125" s="18">
        <v>962.46840000000009</v>
      </c>
      <c r="AL125" s="18">
        <v>0</v>
      </c>
      <c r="AM125" s="18">
        <v>0</v>
      </c>
      <c r="AN125" s="18">
        <v>96.246839999999992</v>
      </c>
      <c r="AO125" s="18">
        <v>240.74171999999999</v>
      </c>
      <c r="AP125" s="18">
        <v>0</v>
      </c>
      <c r="AQ125" s="18">
        <v>962.46840000000009</v>
      </c>
      <c r="AR125" s="18">
        <v>0</v>
      </c>
      <c r="AS125" s="18">
        <v>0</v>
      </c>
      <c r="AT125" s="18">
        <v>96.246839999999992</v>
      </c>
      <c r="AU125" s="18">
        <v>240.74171999999999</v>
      </c>
      <c r="AV125" s="18">
        <v>0</v>
      </c>
      <c r="AW125" s="18">
        <v>962.46840000000009</v>
      </c>
      <c r="AX125" s="18">
        <v>0</v>
      </c>
      <c r="AY125" s="18">
        <v>0</v>
      </c>
      <c r="AZ125" s="18">
        <v>96.246839999999992</v>
      </c>
      <c r="BA125" s="18">
        <v>240.74171999999999</v>
      </c>
      <c r="BB125" s="18">
        <v>0</v>
      </c>
      <c r="BC125" s="18">
        <v>962.46840000000009</v>
      </c>
      <c r="BD125" s="18">
        <v>0</v>
      </c>
      <c r="BE125" s="18">
        <v>0</v>
      </c>
      <c r="BF125" s="18">
        <v>96.246839999999992</v>
      </c>
      <c r="BG125" s="18">
        <v>240.74171999999999</v>
      </c>
      <c r="BH125" s="18">
        <v>0</v>
      </c>
      <c r="BI125" s="18">
        <v>962.46840000000009</v>
      </c>
      <c r="BJ125" s="18">
        <v>0</v>
      </c>
      <c r="BK125" s="18">
        <v>0</v>
      </c>
      <c r="BL125" s="18">
        <v>96.246839999999992</v>
      </c>
      <c r="BM125" s="18">
        <v>240.74171999999999</v>
      </c>
      <c r="BN125" s="18">
        <v>0</v>
      </c>
      <c r="BO125" s="18">
        <v>962.46840000000009</v>
      </c>
      <c r="BP125" s="18"/>
      <c r="BQ125" s="18"/>
      <c r="BR125" s="18"/>
      <c r="BS125" s="18"/>
      <c r="BT125" s="10">
        <f>Tabelle58971121[[#This Row],[Mindestauslastung durch]]*Tabelle58971121[[#This Row],[installierte Leistung MW durch]]</f>
        <v>356.65439999999995</v>
      </c>
      <c r="BU125" s="10">
        <f>Tabelle58971121[[#This Row],[Mindestauslastung min]]*Tabelle58971121[[#This Row],[installierte Leistung MW min]]</f>
        <v>352.38315</v>
      </c>
      <c r="BV125" s="10">
        <f>Tabelle58971121[[#This Row],[Mindestauslastung max]]*Tabelle58971121[[#This Row],[installierte Leistung MW max]]</f>
        <v>360.92564999999996</v>
      </c>
      <c r="BW125" s="8">
        <v>1.4999999999999999E-2</v>
      </c>
      <c r="BX125" s="8">
        <v>1.4999999999999999E-2</v>
      </c>
      <c r="BY125" s="8">
        <v>1.4999999999999999E-2</v>
      </c>
      <c r="BZ125" s="8"/>
      <c r="CA125" s="8">
        <v>1.2874999999999999E-2</v>
      </c>
      <c r="CB125" s="8">
        <v>3.0000000000000001E-3</v>
      </c>
      <c r="CC125" s="8">
        <v>1.9E-2</v>
      </c>
      <c r="CD125" s="8">
        <v>1.2874999999999999E-2</v>
      </c>
      <c r="CE125" s="8">
        <v>3.0000000000000001E-3</v>
      </c>
      <c r="CF125" s="8">
        <v>1.9E-2</v>
      </c>
      <c r="CG125" s="8">
        <v>1.2874999999999999E-2</v>
      </c>
      <c r="CH125" s="8">
        <v>3.0000000000000001E-3</v>
      </c>
      <c r="CI125" s="8">
        <v>1.9E-2</v>
      </c>
      <c r="CJ125" s="8">
        <v>1.2874999999999999E-2</v>
      </c>
      <c r="CK125" s="8">
        <v>3.0000000000000001E-3</v>
      </c>
      <c r="CL125" s="8">
        <v>1.9E-2</v>
      </c>
      <c r="CM125" s="8">
        <v>1.2874999999999999E-2</v>
      </c>
      <c r="CN125" s="8">
        <v>3.0000000000000001E-3</v>
      </c>
      <c r="CO125" s="8">
        <v>1.9E-2</v>
      </c>
      <c r="CP125" s="8">
        <v>1.2874999999999999E-2</v>
      </c>
      <c r="CQ125" s="8">
        <v>3.0000000000000001E-3</v>
      </c>
      <c r="CR125" s="8">
        <v>1.9E-2</v>
      </c>
      <c r="CS125" s="8">
        <v>1.2874999999999999E-2</v>
      </c>
      <c r="CT125" s="8">
        <v>3.0000000000000001E-3</v>
      </c>
      <c r="CU125" s="8">
        <v>1.9E-2</v>
      </c>
      <c r="CV125" s="8">
        <v>1.2874999999999999E-2</v>
      </c>
      <c r="CW125" s="8">
        <v>3.0000000000000001E-3</v>
      </c>
      <c r="CX125" s="8">
        <v>1.9E-2</v>
      </c>
      <c r="CY125" s="8">
        <v>1.2874999999999999E-2</v>
      </c>
      <c r="CZ125" s="8">
        <v>3.0000000000000001E-3</v>
      </c>
      <c r="DA125" s="8">
        <v>1.9E-2</v>
      </c>
      <c r="DB125" s="8"/>
      <c r="DC125" s="8"/>
      <c r="DD125" s="8"/>
      <c r="DE125" s="48">
        <f>Tabelle58971121[[#This Row],[Durchschnittsauslastung min]]*Tabelle58971121[[#This Row],[installierte Leistung MW min]]</f>
        <v>0</v>
      </c>
      <c r="DF125" s="48">
        <f>Tabelle58971121[[#This Row],[Durchschnittsauslastung durch]]*Tabelle58971121[[#This Row],[installierte Leistung MW durch]]</f>
        <v>0</v>
      </c>
      <c r="DG125" s="48">
        <f>Tabelle58971121[[#This Row],[Durchschnittsauslastung max]]*Tabelle58971121[[#This Row],[installierte Leistung MW max]]</f>
        <v>0</v>
      </c>
      <c r="DH125" s="87">
        <f>Tabelle58971121[[#This Row],[Maximalauslastung durch]]*Tabelle58971121[[#This Row],[installierte Leistung MW min]]</f>
        <v>540.32083</v>
      </c>
      <c r="DI125" s="48">
        <f>Tabelle58971121[[#This Row],[Maximalauslastung durch]]*Tabelle58971121[[#This Row],[installierte Leistung MW durch]]</f>
        <v>546.87007999999992</v>
      </c>
      <c r="DJ125" s="18">
        <f>Tabelle58971121[[#This Row],[Maximalauslastung max]]*Tabelle58971121[[#This Row],[installierte Leistung MW durch]]</f>
        <v>1022.4092799999999</v>
      </c>
      <c r="DK125" s="8">
        <v>2.3E-2</v>
      </c>
      <c r="DL125" s="8">
        <v>2.9999999999999979E-3</v>
      </c>
      <c r="DM125" s="8">
        <v>4.2999999999999997E-2</v>
      </c>
      <c r="DN125" s="1">
        <v>23776.959999999999</v>
      </c>
      <c r="DO125" s="1">
        <v>23492.21</v>
      </c>
      <c r="DP125" s="1">
        <v>24061.71</v>
      </c>
      <c r="DQ125" s="18"/>
      <c r="DR125" s="18"/>
      <c r="DW125" s="1">
        <v>1.75</v>
      </c>
      <c r="DX125" s="1">
        <v>1.1499999999999999</v>
      </c>
      <c r="DY125" s="1">
        <v>2.35</v>
      </c>
      <c r="DZ125" s="1">
        <v>1.75</v>
      </c>
      <c r="EA125" s="1">
        <v>0.5</v>
      </c>
      <c r="EB125" s="1">
        <v>3</v>
      </c>
      <c r="EC125" s="1">
        <v>3.5</v>
      </c>
      <c r="ED125" s="1">
        <v>2.2999999999999998</v>
      </c>
      <c r="EE125" s="1">
        <v>4.7</v>
      </c>
      <c r="EF125" s="1">
        <v>3.5</v>
      </c>
      <c r="EG125" s="1">
        <v>3.5</v>
      </c>
      <c r="EH125" s="1">
        <v>3.5</v>
      </c>
      <c r="EL125" s="1" t="s">
        <v>1046</v>
      </c>
      <c r="EM125" s="1" t="s">
        <v>1046</v>
      </c>
      <c r="EN125" s="1" t="s">
        <v>1046</v>
      </c>
      <c r="EO125" s="10"/>
      <c r="EP125" s="10"/>
      <c r="EQ125" s="10"/>
      <c r="ER125" s="1">
        <v>160</v>
      </c>
      <c r="ES125" s="1">
        <v>144</v>
      </c>
      <c r="ET125" s="1">
        <v>176</v>
      </c>
      <c r="EU125" s="1">
        <v>92.50411764705882</v>
      </c>
      <c r="EV125" s="18">
        <v>83.243529411764712</v>
      </c>
      <c r="EW125" s="18">
        <v>101.76470588235293</v>
      </c>
      <c r="EX125" s="18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>
        <v>753.05882352941171</v>
      </c>
      <c r="FK125" s="7">
        <v>745.52823529411762</v>
      </c>
      <c r="FL125" s="7">
        <v>760.5894117647058</v>
      </c>
      <c r="FO125" s="1">
        <v>67</v>
      </c>
      <c r="FP125" s="1">
        <v>67</v>
      </c>
      <c r="FQ125" s="1">
        <v>67</v>
      </c>
      <c r="FR125" s="12" t="s">
        <v>743</v>
      </c>
      <c r="FS125" s="12" t="s">
        <v>743</v>
      </c>
      <c r="FT125" s="12" t="s">
        <v>743</v>
      </c>
      <c r="FU125" s="12"/>
      <c r="FV125" s="12" t="s">
        <v>743</v>
      </c>
      <c r="FW125" s="12" t="s">
        <v>743</v>
      </c>
      <c r="FX125" s="12" t="s">
        <v>743</v>
      </c>
      <c r="FY125" s="12" t="s">
        <v>743</v>
      </c>
      <c r="FZ125" s="12" t="s">
        <v>743</v>
      </c>
      <c r="GA125" s="12" t="s">
        <v>743</v>
      </c>
      <c r="GB125" s="12" t="s">
        <v>743</v>
      </c>
      <c r="GE125" s="12" t="s">
        <v>743</v>
      </c>
      <c r="GF125" s="12" t="s">
        <v>743</v>
      </c>
      <c r="GH125" s="12" t="s">
        <v>743</v>
      </c>
    </row>
    <row r="126" spans="1:190" ht="12.75" customHeight="1" x14ac:dyDescent="0.2">
      <c r="A126" s="1" t="s">
        <v>133</v>
      </c>
      <c r="B126" s="1" t="s">
        <v>688</v>
      </c>
      <c r="E126" s="1" t="s">
        <v>142</v>
      </c>
      <c r="F126" s="1">
        <v>2</v>
      </c>
      <c r="G126" s="1">
        <v>2035</v>
      </c>
      <c r="H126" s="1">
        <v>0</v>
      </c>
      <c r="I126" s="1">
        <v>0</v>
      </c>
      <c r="J126" s="1">
        <v>1</v>
      </c>
      <c r="K126" s="18"/>
      <c r="L126" s="18"/>
      <c r="M126" s="18"/>
      <c r="N126" s="18">
        <v>0</v>
      </c>
      <c r="O126" s="18">
        <v>0</v>
      </c>
      <c r="P126" s="18">
        <v>89.064239999999998</v>
      </c>
      <c r="Q126" s="18">
        <v>222.77591999999999</v>
      </c>
      <c r="R126" s="18">
        <v>0</v>
      </c>
      <c r="S126" s="18">
        <v>890.64239999999995</v>
      </c>
      <c r="T126" s="18">
        <v>0</v>
      </c>
      <c r="U126" s="18">
        <v>0</v>
      </c>
      <c r="V126" s="18">
        <v>89.064239999999998</v>
      </c>
      <c r="W126" s="18">
        <v>222.77591999999999</v>
      </c>
      <c r="X126" s="18">
        <v>0</v>
      </c>
      <c r="Y126" s="18">
        <v>890.64239999999995</v>
      </c>
      <c r="Z126" s="18">
        <v>0</v>
      </c>
      <c r="AA126" s="18">
        <v>0</v>
      </c>
      <c r="AB126" s="18">
        <v>89.064239999999998</v>
      </c>
      <c r="AC126" s="18">
        <v>222.77591999999999</v>
      </c>
      <c r="AD126" s="18">
        <v>0</v>
      </c>
      <c r="AE126" s="18">
        <v>890.64239999999995</v>
      </c>
      <c r="AF126" s="18">
        <v>0</v>
      </c>
      <c r="AG126" s="18">
        <v>0</v>
      </c>
      <c r="AH126" s="18">
        <v>89.064239999999998</v>
      </c>
      <c r="AI126" s="18">
        <v>222.77591999999999</v>
      </c>
      <c r="AJ126" s="18">
        <v>0</v>
      </c>
      <c r="AK126" s="18">
        <v>890.64239999999995</v>
      </c>
      <c r="AL126" s="18">
        <v>0</v>
      </c>
      <c r="AM126" s="18">
        <v>0</v>
      </c>
      <c r="AN126" s="18">
        <v>89.064239999999998</v>
      </c>
      <c r="AO126" s="18">
        <v>222.77591999999999</v>
      </c>
      <c r="AP126" s="18">
        <v>0</v>
      </c>
      <c r="AQ126" s="18">
        <v>890.64239999999995</v>
      </c>
      <c r="AR126" s="18">
        <v>0</v>
      </c>
      <c r="AS126" s="18">
        <v>0</v>
      </c>
      <c r="AT126" s="18">
        <v>89.064239999999998</v>
      </c>
      <c r="AU126" s="18">
        <v>222.77591999999999</v>
      </c>
      <c r="AV126" s="18">
        <v>0</v>
      </c>
      <c r="AW126" s="18">
        <v>890.64239999999995</v>
      </c>
      <c r="AX126" s="18">
        <v>0</v>
      </c>
      <c r="AY126" s="18">
        <v>0</v>
      </c>
      <c r="AZ126" s="18">
        <v>89.064239999999998</v>
      </c>
      <c r="BA126" s="18">
        <v>222.77591999999999</v>
      </c>
      <c r="BB126" s="18">
        <v>0</v>
      </c>
      <c r="BC126" s="18">
        <v>890.64239999999995</v>
      </c>
      <c r="BD126" s="18">
        <v>0</v>
      </c>
      <c r="BE126" s="18">
        <v>0</v>
      </c>
      <c r="BF126" s="18">
        <v>89.064239999999998</v>
      </c>
      <c r="BG126" s="18">
        <v>222.77591999999999</v>
      </c>
      <c r="BH126" s="18">
        <v>0</v>
      </c>
      <c r="BI126" s="18">
        <v>890.64239999999995</v>
      </c>
      <c r="BJ126" s="18">
        <v>0</v>
      </c>
      <c r="BK126" s="18">
        <v>0</v>
      </c>
      <c r="BL126" s="18">
        <v>89.064239999999998</v>
      </c>
      <c r="BM126" s="18">
        <v>222.77591999999999</v>
      </c>
      <c r="BN126" s="18">
        <v>0</v>
      </c>
      <c r="BO126" s="18">
        <v>890.64239999999995</v>
      </c>
      <c r="BP126" s="18"/>
      <c r="BQ126" s="18"/>
      <c r="BR126" s="18"/>
      <c r="BS126" s="18"/>
      <c r="BT126" s="10">
        <f>Tabelle58971121[[#This Row],[Mindestauslastung durch]]*Tabelle58971121[[#This Row],[installierte Leistung MW durch]]</f>
        <v>330.03840000000002</v>
      </c>
      <c r="BU126" s="10">
        <f>Tabelle58971121[[#This Row],[Mindestauslastung min]]*Tabelle58971121[[#This Row],[installierte Leistung MW min]]</f>
        <v>326.08589999999998</v>
      </c>
      <c r="BV126" s="10">
        <f>Tabelle58971121[[#This Row],[Mindestauslastung max]]*Tabelle58971121[[#This Row],[installierte Leistung MW max]]</f>
        <v>333.99090000000001</v>
      </c>
      <c r="BW126" s="8">
        <v>1.4999999999999999E-2</v>
      </c>
      <c r="BX126" s="8">
        <v>1.4999999999999999E-2</v>
      </c>
      <c r="BY126" s="8">
        <v>1.4999999999999999E-2</v>
      </c>
      <c r="BZ126" s="8"/>
      <c r="CA126" s="8">
        <v>1.2874999999999999E-2</v>
      </c>
      <c r="CB126" s="8">
        <v>3.0000000000000001E-3</v>
      </c>
      <c r="CC126" s="8">
        <v>1.9E-2</v>
      </c>
      <c r="CD126" s="8">
        <v>1.2874999999999999E-2</v>
      </c>
      <c r="CE126" s="8">
        <v>3.0000000000000001E-3</v>
      </c>
      <c r="CF126" s="8">
        <v>1.9E-2</v>
      </c>
      <c r="CG126" s="8">
        <v>1.2874999999999999E-2</v>
      </c>
      <c r="CH126" s="8">
        <v>3.0000000000000001E-3</v>
      </c>
      <c r="CI126" s="8">
        <v>1.9E-2</v>
      </c>
      <c r="CJ126" s="8">
        <v>1.2874999999999999E-2</v>
      </c>
      <c r="CK126" s="8">
        <v>3.0000000000000001E-3</v>
      </c>
      <c r="CL126" s="8">
        <v>1.9E-2</v>
      </c>
      <c r="CM126" s="8">
        <v>1.2874999999999999E-2</v>
      </c>
      <c r="CN126" s="8">
        <v>3.0000000000000001E-3</v>
      </c>
      <c r="CO126" s="8">
        <v>1.9E-2</v>
      </c>
      <c r="CP126" s="8">
        <v>1.2874999999999999E-2</v>
      </c>
      <c r="CQ126" s="8">
        <v>3.0000000000000001E-3</v>
      </c>
      <c r="CR126" s="8">
        <v>1.9E-2</v>
      </c>
      <c r="CS126" s="8">
        <v>1.2874999999999999E-2</v>
      </c>
      <c r="CT126" s="8">
        <v>3.0000000000000001E-3</v>
      </c>
      <c r="CU126" s="8">
        <v>1.9E-2</v>
      </c>
      <c r="CV126" s="8">
        <v>1.2874999999999999E-2</v>
      </c>
      <c r="CW126" s="8">
        <v>3.0000000000000001E-3</v>
      </c>
      <c r="CX126" s="8">
        <v>1.9E-2</v>
      </c>
      <c r="CY126" s="8">
        <v>1.2874999999999999E-2</v>
      </c>
      <c r="CZ126" s="8">
        <v>3.0000000000000001E-3</v>
      </c>
      <c r="DA126" s="8">
        <v>1.9E-2</v>
      </c>
      <c r="DB126" s="8"/>
      <c r="DC126" s="8"/>
      <c r="DD126" s="8"/>
      <c r="DE126" s="48">
        <f>Tabelle58971121[[#This Row],[Durchschnittsauslastung min]]*Tabelle58971121[[#This Row],[installierte Leistung MW min]]</f>
        <v>0</v>
      </c>
      <c r="DF126" s="48">
        <f>Tabelle58971121[[#This Row],[Durchschnittsauslastung durch]]*Tabelle58971121[[#This Row],[installierte Leistung MW durch]]</f>
        <v>0</v>
      </c>
      <c r="DG126" s="48">
        <f>Tabelle58971121[[#This Row],[Durchschnittsauslastung max]]*Tabelle58971121[[#This Row],[installierte Leistung MW max]]</f>
        <v>0</v>
      </c>
      <c r="DH126" s="87">
        <f>Tabelle58971121[[#This Row],[Maximalauslastung durch]]*Tabelle58971121[[#This Row],[installierte Leistung MW min]]</f>
        <v>499.99838</v>
      </c>
      <c r="DI126" s="48">
        <f>Tabelle58971121[[#This Row],[Maximalauslastung durch]]*Tabelle58971121[[#This Row],[installierte Leistung MW durch]]</f>
        <v>506.05888000000004</v>
      </c>
      <c r="DJ126" s="18">
        <f>Tabelle58971121[[#This Row],[Maximalauslastung max]]*Tabelle58971121[[#This Row],[installierte Leistung MW durch]]</f>
        <v>946.11007999999993</v>
      </c>
      <c r="DK126" s="8">
        <v>2.3E-2</v>
      </c>
      <c r="DL126" s="8">
        <v>2.9999999999999979E-3</v>
      </c>
      <c r="DM126" s="8">
        <v>4.2999999999999997E-2</v>
      </c>
      <c r="DN126" s="1">
        <v>22002.560000000001</v>
      </c>
      <c r="DO126" s="1">
        <v>21739.06</v>
      </c>
      <c r="DP126" s="1">
        <v>22266.06</v>
      </c>
      <c r="DQ126" s="18"/>
      <c r="DR126" s="18"/>
      <c r="DW126" s="1">
        <v>1.75</v>
      </c>
      <c r="DX126" s="1">
        <v>1.1499999999999999</v>
      </c>
      <c r="DY126" s="1">
        <v>2.35</v>
      </c>
      <c r="DZ126" s="1">
        <v>1.75</v>
      </c>
      <c r="EA126" s="1">
        <v>0.5</v>
      </c>
      <c r="EB126" s="1">
        <v>3</v>
      </c>
      <c r="EC126" s="1">
        <v>3.5</v>
      </c>
      <c r="ED126" s="1">
        <v>2.2999999999999998</v>
      </c>
      <c r="EE126" s="1">
        <v>4.7</v>
      </c>
      <c r="EF126" s="1">
        <v>3.5</v>
      </c>
      <c r="EG126" s="1">
        <v>3.5</v>
      </c>
      <c r="EH126" s="1">
        <v>3.5</v>
      </c>
      <c r="EL126" s="1" t="s">
        <v>1046</v>
      </c>
      <c r="EM126" s="1" t="s">
        <v>1046</v>
      </c>
      <c r="EN126" s="1" t="s">
        <v>1046</v>
      </c>
      <c r="EO126" s="10"/>
      <c r="EP126" s="10"/>
      <c r="EQ126" s="10"/>
      <c r="ER126" s="1">
        <v>160</v>
      </c>
      <c r="ES126" s="1">
        <v>144</v>
      </c>
      <c r="ET126" s="1">
        <v>176</v>
      </c>
      <c r="EU126" s="1">
        <v>92.50411764705882</v>
      </c>
      <c r="EV126" s="18">
        <v>83.243529411764712</v>
      </c>
      <c r="EW126" s="18">
        <v>101.76470588235293</v>
      </c>
      <c r="EX126" s="18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>
        <v>753.05882352941171</v>
      </c>
      <c r="FK126" s="7">
        <v>745.52823529411762</v>
      </c>
      <c r="FL126" s="7">
        <v>760.5894117647058</v>
      </c>
      <c r="FO126" s="1">
        <v>67</v>
      </c>
      <c r="FP126" s="1">
        <v>67</v>
      </c>
      <c r="FQ126" s="1">
        <v>67</v>
      </c>
      <c r="FR126" s="12" t="s">
        <v>743</v>
      </c>
      <c r="FS126" s="12" t="s">
        <v>743</v>
      </c>
      <c r="FT126" s="12" t="s">
        <v>743</v>
      </c>
      <c r="FU126" s="12"/>
      <c r="FV126" s="12" t="s">
        <v>743</v>
      </c>
      <c r="FW126" s="12" t="s">
        <v>743</v>
      </c>
      <c r="FX126" s="12" t="s">
        <v>743</v>
      </c>
      <c r="FY126" s="12" t="s">
        <v>743</v>
      </c>
      <c r="FZ126" s="12" t="s">
        <v>743</v>
      </c>
      <c r="GA126" s="12" t="s">
        <v>743</v>
      </c>
      <c r="GB126" s="12" t="s">
        <v>743</v>
      </c>
      <c r="GE126" s="12" t="s">
        <v>743</v>
      </c>
      <c r="GF126" s="12" t="s">
        <v>743</v>
      </c>
      <c r="GH126" s="12" t="s">
        <v>743</v>
      </c>
    </row>
    <row r="127" spans="1:190" ht="12.75" customHeight="1" x14ac:dyDescent="0.2">
      <c r="A127" s="1" t="s">
        <v>133</v>
      </c>
      <c r="B127" s="1" t="s">
        <v>688</v>
      </c>
      <c r="E127" s="1" t="s">
        <v>142</v>
      </c>
      <c r="F127" s="1">
        <v>2</v>
      </c>
      <c r="G127" s="1">
        <v>2040</v>
      </c>
      <c r="H127" s="1">
        <v>0</v>
      </c>
      <c r="I127" s="1">
        <v>0</v>
      </c>
      <c r="J127" s="1">
        <v>1</v>
      </c>
      <c r="K127" s="18"/>
      <c r="L127" s="18"/>
      <c r="M127" s="18"/>
      <c r="N127" s="18">
        <v>0</v>
      </c>
      <c r="O127" s="18">
        <v>0</v>
      </c>
      <c r="P127" s="18">
        <v>83.318159999999992</v>
      </c>
      <c r="Q127" s="18">
        <v>208.40327999999997</v>
      </c>
      <c r="R127" s="18">
        <v>0</v>
      </c>
      <c r="S127" s="18">
        <v>833.18159999999989</v>
      </c>
      <c r="T127" s="18">
        <v>0</v>
      </c>
      <c r="U127" s="18">
        <v>0</v>
      </c>
      <c r="V127" s="18">
        <v>83.318159999999992</v>
      </c>
      <c r="W127" s="18">
        <v>208.40327999999997</v>
      </c>
      <c r="X127" s="18">
        <v>0</v>
      </c>
      <c r="Y127" s="18">
        <v>833.18159999999989</v>
      </c>
      <c r="Z127" s="18">
        <v>0</v>
      </c>
      <c r="AA127" s="18">
        <v>0</v>
      </c>
      <c r="AB127" s="18">
        <v>83.318159999999992</v>
      </c>
      <c r="AC127" s="18">
        <v>208.40327999999997</v>
      </c>
      <c r="AD127" s="18">
        <v>0</v>
      </c>
      <c r="AE127" s="18">
        <v>833.18159999999989</v>
      </c>
      <c r="AF127" s="18">
        <v>0</v>
      </c>
      <c r="AG127" s="18">
        <v>0</v>
      </c>
      <c r="AH127" s="18">
        <v>83.318159999999992</v>
      </c>
      <c r="AI127" s="18">
        <v>208.40327999999997</v>
      </c>
      <c r="AJ127" s="18">
        <v>0</v>
      </c>
      <c r="AK127" s="18">
        <v>833.18159999999989</v>
      </c>
      <c r="AL127" s="18">
        <v>0</v>
      </c>
      <c r="AM127" s="18">
        <v>0</v>
      </c>
      <c r="AN127" s="18">
        <v>83.318159999999992</v>
      </c>
      <c r="AO127" s="18">
        <v>208.40327999999997</v>
      </c>
      <c r="AP127" s="18">
        <v>0</v>
      </c>
      <c r="AQ127" s="18">
        <v>833.18159999999989</v>
      </c>
      <c r="AR127" s="18">
        <v>0</v>
      </c>
      <c r="AS127" s="18">
        <v>0</v>
      </c>
      <c r="AT127" s="18">
        <v>83.318159999999992</v>
      </c>
      <c r="AU127" s="18">
        <v>208.40327999999997</v>
      </c>
      <c r="AV127" s="18">
        <v>0</v>
      </c>
      <c r="AW127" s="18">
        <v>833.18159999999989</v>
      </c>
      <c r="AX127" s="18">
        <v>0</v>
      </c>
      <c r="AY127" s="18">
        <v>0</v>
      </c>
      <c r="AZ127" s="18">
        <v>83.318159999999992</v>
      </c>
      <c r="BA127" s="18">
        <v>208.40327999999997</v>
      </c>
      <c r="BB127" s="18">
        <v>0</v>
      </c>
      <c r="BC127" s="18">
        <v>833.18159999999989</v>
      </c>
      <c r="BD127" s="18">
        <v>0</v>
      </c>
      <c r="BE127" s="18">
        <v>0</v>
      </c>
      <c r="BF127" s="18">
        <v>83.318159999999992</v>
      </c>
      <c r="BG127" s="18">
        <v>208.40327999999997</v>
      </c>
      <c r="BH127" s="18">
        <v>0</v>
      </c>
      <c r="BI127" s="18">
        <v>833.18159999999989</v>
      </c>
      <c r="BJ127" s="18">
        <v>0</v>
      </c>
      <c r="BK127" s="18">
        <v>0</v>
      </c>
      <c r="BL127" s="18">
        <v>83.318159999999992</v>
      </c>
      <c r="BM127" s="18">
        <v>208.40327999999997</v>
      </c>
      <c r="BN127" s="18">
        <v>0</v>
      </c>
      <c r="BO127" s="18">
        <v>833.18159999999989</v>
      </c>
      <c r="BP127" s="18"/>
      <c r="BQ127" s="18"/>
      <c r="BR127" s="18"/>
      <c r="BS127" s="18"/>
      <c r="BT127" s="10">
        <f>Tabelle58971121[[#This Row],[Mindestauslastung durch]]*Tabelle58971121[[#This Row],[installierte Leistung MW durch]]</f>
        <v>308.74560000000002</v>
      </c>
      <c r="BU127" s="10">
        <f>Tabelle58971121[[#This Row],[Mindestauslastung min]]*Tabelle58971121[[#This Row],[installierte Leistung MW min]]</f>
        <v>305.04809999999998</v>
      </c>
      <c r="BV127" s="10">
        <f>Tabelle58971121[[#This Row],[Mindestauslastung max]]*Tabelle58971121[[#This Row],[installierte Leistung MW max]]</f>
        <v>312.44310000000002</v>
      </c>
      <c r="BW127" s="8">
        <v>1.4999999999999999E-2</v>
      </c>
      <c r="BX127" s="8">
        <v>1.4999999999999999E-2</v>
      </c>
      <c r="BY127" s="8">
        <v>1.4999999999999999E-2</v>
      </c>
      <c r="BZ127" s="8"/>
      <c r="CA127" s="8">
        <v>1.2874999999999999E-2</v>
      </c>
      <c r="CB127" s="8">
        <v>3.0000000000000001E-3</v>
      </c>
      <c r="CC127" s="8">
        <v>1.9E-2</v>
      </c>
      <c r="CD127" s="8">
        <v>1.2874999999999999E-2</v>
      </c>
      <c r="CE127" s="8">
        <v>3.0000000000000001E-3</v>
      </c>
      <c r="CF127" s="8">
        <v>1.9E-2</v>
      </c>
      <c r="CG127" s="8">
        <v>1.2874999999999999E-2</v>
      </c>
      <c r="CH127" s="8">
        <v>3.0000000000000001E-3</v>
      </c>
      <c r="CI127" s="8">
        <v>1.9E-2</v>
      </c>
      <c r="CJ127" s="8">
        <v>1.2874999999999999E-2</v>
      </c>
      <c r="CK127" s="8">
        <v>3.0000000000000001E-3</v>
      </c>
      <c r="CL127" s="8">
        <v>1.9E-2</v>
      </c>
      <c r="CM127" s="8">
        <v>1.2874999999999999E-2</v>
      </c>
      <c r="CN127" s="8">
        <v>3.0000000000000001E-3</v>
      </c>
      <c r="CO127" s="8">
        <v>1.9E-2</v>
      </c>
      <c r="CP127" s="8">
        <v>1.2874999999999999E-2</v>
      </c>
      <c r="CQ127" s="8">
        <v>3.0000000000000001E-3</v>
      </c>
      <c r="CR127" s="8">
        <v>1.9E-2</v>
      </c>
      <c r="CS127" s="8">
        <v>1.2874999999999999E-2</v>
      </c>
      <c r="CT127" s="8">
        <v>3.0000000000000001E-3</v>
      </c>
      <c r="CU127" s="8">
        <v>1.9E-2</v>
      </c>
      <c r="CV127" s="8">
        <v>1.2874999999999999E-2</v>
      </c>
      <c r="CW127" s="8">
        <v>3.0000000000000001E-3</v>
      </c>
      <c r="CX127" s="8">
        <v>1.9E-2</v>
      </c>
      <c r="CY127" s="8">
        <v>1.2874999999999999E-2</v>
      </c>
      <c r="CZ127" s="8">
        <v>3.0000000000000001E-3</v>
      </c>
      <c r="DA127" s="8">
        <v>1.9E-2</v>
      </c>
      <c r="DB127" s="8"/>
      <c r="DC127" s="8"/>
      <c r="DD127" s="8"/>
      <c r="DE127" s="48">
        <f>Tabelle58971121[[#This Row],[Durchschnittsauslastung min]]*Tabelle58971121[[#This Row],[installierte Leistung MW min]]</f>
        <v>0</v>
      </c>
      <c r="DF127" s="48">
        <f>Tabelle58971121[[#This Row],[Durchschnittsauslastung durch]]*Tabelle58971121[[#This Row],[installierte Leistung MW durch]]</f>
        <v>0</v>
      </c>
      <c r="DG127" s="48">
        <f>Tabelle58971121[[#This Row],[Durchschnittsauslastung max]]*Tabelle58971121[[#This Row],[installierte Leistung MW max]]</f>
        <v>0</v>
      </c>
      <c r="DH127" s="87">
        <f>Tabelle58971121[[#This Row],[Maximalauslastung durch]]*Tabelle58971121[[#This Row],[installierte Leistung MW min]]</f>
        <v>467.74042000000003</v>
      </c>
      <c r="DI127" s="48">
        <f>Tabelle58971121[[#This Row],[Maximalauslastung durch]]*Tabelle58971121[[#This Row],[installierte Leistung MW durch]]</f>
        <v>473.40992</v>
      </c>
      <c r="DJ127" s="18">
        <f>Tabelle58971121[[#This Row],[Maximalauslastung max]]*Tabelle58971121[[#This Row],[installierte Leistung MW durch]]</f>
        <v>885.07071999999994</v>
      </c>
      <c r="DK127" s="8">
        <v>2.3E-2</v>
      </c>
      <c r="DL127" s="8">
        <v>2.9999999999999979E-3</v>
      </c>
      <c r="DM127" s="8">
        <v>4.2999999999999997E-2</v>
      </c>
      <c r="DN127" s="1">
        <v>20583.04</v>
      </c>
      <c r="DO127" s="1">
        <v>20336.54</v>
      </c>
      <c r="DP127" s="1">
        <v>20829.54</v>
      </c>
      <c r="DQ127" s="18"/>
      <c r="DR127" s="18"/>
      <c r="DW127" s="1">
        <v>1.75</v>
      </c>
      <c r="DX127" s="1">
        <v>1.1499999999999999</v>
      </c>
      <c r="DY127" s="1">
        <v>2.35</v>
      </c>
      <c r="DZ127" s="1">
        <v>1.75</v>
      </c>
      <c r="EA127" s="1">
        <v>0.5</v>
      </c>
      <c r="EB127" s="1">
        <v>3</v>
      </c>
      <c r="EC127" s="1">
        <v>3.5</v>
      </c>
      <c r="ED127" s="1">
        <v>2.2999999999999998</v>
      </c>
      <c r="EE127" s="1">
        <v>4.7</v>
      </c>
      <c r="EF127" s="1">
        <v>3.5</v>
      </c>
      <c r="EG127" s="1">
        <v>3.5</v>
      </c>
      <c r="EH127" s="1">
        <v>3.5</v>
      </c>
      <c r="EL127" s="1" t="s">
        <v>1046</v>
      </c>
      <c r="EM127" s="1" t="s">
        <v>1046</v>
      </c>
      <c r="EN127" s="1" t="s">
        <v>1046</v>
      </c>
      <c r="EO127" s="10"/>
      <c r="EP127" s="10"/>
      <c r="EQ127" s="10"/>
      <c r="ER127" s="1">
        <v>160</v>
      </c>
      <c r="ES127" s="1">
        <v>144</v>
      </c>
      <c r="ET127" s="1">
        <v>176</v>
      </c>
      <c r="EU127" s="1">
        <v>92.50411764705882</v>
      </c>
      <c r="EV127" s="18">
        <v>83.243529411764712</v>
      </c>
      <c r="EW127" s="18">
        <v>101.76470588235293</v>
      </c>
      <c r="EX127" s="18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>
        <v>753.05882352941171</v>
      </c>
      <c r="FK127" s="7">
        <v>745.52823529411762</v>
      </c>
      <c r="FL127" s="7">
        <v>760.5894117647058</v>
      </c>
      <c r="FO127" s="1">
        <v>67</v>
      </c>
      <c r="FP127" s="1">
        <v>67</v>
      </c>
      <c r="FQ127" s="1">
        <v>67</v>
      </c>
      <c r="FR127" s="12" t="s">
        <v>743</v>
      </c>
      <c r="FS127" s="12" t="s">
        <v>743</v>
      </c>
      <c r="FT127" s="12" t="s">
        <v>743</v>
      </c>
      <c r="FU127" s="12"/>
      <c r="FV127" s="12" t="s">
        <v>743</v>
      </c>
      <c r="FW127" s="12" t="s">
        <v>743</v>
      </c>
      <c r="FX127" s="12" t="s">
        <v>743</v>
      </c>
      <c r="FY127" s="12" t="s">
        <v>743</v>
      </c>
      <c r="FZ127" s="12" t="s">
        <v>743</v>
      </c>
      <c r="GA127" s="12" t="s">
        <v>743</v>
      </c>
      <c r="GB127" s="12" t="s">
        <v>743</v>
      </c>
      <c r="GE127" s="12" t="s">
        <v>743</v>
      </c>
      <c r="GF127" s="12" t="s">
        <v>743</v>
      </c>
      <c r="GH127" s="12" t="s">
        <v>743</v>
      </c>
    </row>
    <row r="128" spans="1:190" ht="12.75" customHeight="1" x14ac:dyDescent="0.2">
      <c r="A128" s="1" t="s">
        <v>133</v>
      </c>
      <c r="B128" s="1" t="s">
        <v>688</v>
      </c>
      <c r="E128" s="1" t="s">
        <v>142</v>
      </c>
      <c r="F128" s="1">
        <v>2</v>
      </c>
      <c r="G128" s="1">
        <v>2045</v>
      </c>
      <c r="H128" s="1">
        <v>0</v>
      </c>
      <c r="I128" s="1">
        <v>0</v>
      </c>
      <c r="J128" s="1">
        <v>1</v>
      </c>
      <c r="K128" s="18"/>
      <c r="L128" s="18"/>
      <c r="M128" s="18"/>
      <c r="N128" s="18">
        <v>0</v>
      </c>
      <c r="O128" s="18">
        <v>0</v>
      </c>
      <c r="P128" s="18">
        <v>77.57208</v>
      </c>
      <c r="Q128" s="18">
        <v>194.03064000000001</v>
      </c>
      <c r="R128" s="18">
        <v>0</v>
      </c>
      <c r="S128" s="18">
        <v>775.72080000000005</v>
      </c>
      <c r="T128" s="18">
        <v>0</v>
      </c>
      <c r="U128" s="18">
        <v>0</v>
      </c>
      <c r="V128" s="18">
        <v>77.57208</v>
      </c>
      <c r="W128" s="18">
        <v>194.03064000000001</v>
      </c>
      <c r="X128" s="18">
        <v>0</v>
      </c>
      <c r="Y128" s="18">
        <v>775.72080000000005</v>
      </c>
      <c r="Z128" s="18">
        <v>0</v>
      </c>
      <c r="AA128" s="18">
        <v>0</v>
      </c>
      <c r="AB128" s="18">
        <v>77.57208</v>
      </c>
      <c r="AC128" s="18">
        <v>194.03064000000001</v>
      </c>
      <c r="AD128" s="18">
        <v>0</v>
      </c>
      <c r="AE128" s="18">
        <v>775.72080000000005</v>
      </c>
      <c r="AF128" s="18">
        <v>0</v>
      </c>
      <c r="AG128" s="18">
        <v>0</v>
      </c>
      <c r="AH128" s="18">
        <v>77.57208</v>
      </c>
      <c r="AI128" s="18">
        <v>194.03064000000001</v>
      </c>
      <c r="AJ128" s="18">
        <v>0</v>
      </c>
      <c r="AK128" s="18">
        <v>775.72080000000005</v>
      </c>
      <c r="AL128" s="18">
        <v>0</v>
      </c>
      <c r="AM128" s="18">
        <v>0</v>
      </c>
      <c r="AN128" s="18">
        <v>77.57208</v>
      </c>
      <c r="AO128" s="18">
        <v>194.03064000000001</v>
      </c>
      <c r="AP128" s="18">
        <v>0</v>
      </c>
      <c r="AQ128" s="18">
        <v>775.72080000000005</v>
      </c>
      <c r="AR128" s="18">
        <v>0</v>
      </c>
      <c r="AS128" s="18">
        <v>0</v>
      </c>
      <c r="AT128" s="18">
        <v>77.57208</v>
      </c>
      <c r="AU128" s="18">
        <v>194.03064000000001</v>
      </c>
      <c r="AV128" s="18">
        <v>0</v>
      </c>
      <c r="AW128" s="18">
        <v>775.72080000000005</v>
      </c>
      <c r="AX128" s="18">
        <v>0</v>
      </c>
      <c r="AY128" s="18">
        <v>0</v>
      </c>
      <c r="AZ128" s="18">
        <v>77.57208</v>
      </c>
      <c r="BA128" s="18">
        <v>194.03064000000001</v>
      </c>
      <c r="BB128" s="18">
        <v>0</v>
      </c>
      <c r="BC128" s="18">
        <v>775.72080000000005</v>
      </c>
      <c r="BD128" s="18">
        <v>0</v>
      </c>
      <c r="BE128" s="18">
        <v>0</v>
      </c>
      <c r="BF128" s="18">
        <v>77.57208</v>
      </c>
      <c r="BG128" s="18">
        <v>194.03064000000001</v>
      </c>
      <c r="BH128" s="18">
        <v>0</v>
      </c>
      <c r="BI128" s="18">
        <v>775.72080000000005</v>
      </c>
      <c r="BJ128" s="18">
        <v>0</v>
      </c>
      <c r="BK128" s="18">
        <v>0</v>
      </c>
      <c r="BL128" s="18">
        <v>77.57208</v>
      </c>
      <c r="BM128" s="18">
        <v>194.03064000000001</v>
      </c>
      <c r="BN128" s="18">
        <v>0</v>
      </c>
      <c r="BO128" s="18">
        <v>775.72080000000005</v>
      </c>
      <c r="BP128" s="18"/>
      <c r="BQ128" s="18"/>
      <c r="BR128" s="18"/>
      <c r="BS128" s="18"/>
      <c r="BT128" s="10">
        <f>Tabelle58971121[[#This Row],[Mindestauslastung durch]]*Tabelle58971121[[#This Row],[installierte Leistung MW durch]]</f>
        <v>287.45279999999997</v>
      </c>
      <c r="BU128" s="10">
        <f>Tabelle58971121[[#This Row],[Mindestauslastung min]]*Tabelle58971121[[#This Row],[installierte Leistung MW min]]</f>
        <v>284.01029999999997</v>
      </c>
      <c r="BV128" s="10">
        <f>Tabelle58971121[[#This Row],[Mindestauslastung max]]*Tabelle58971121[[#This Row],[installierte Leistung MW max]]</f>
        <v>290.89530000000002</v>
      </c>
      <c r="BW128" s="8">
        <v>1.4999999999999999E-2</v>
      </c>
      <c r="BX128" s="8">
        <v>1.4999999999999999E-2</v>
      </c>
      <c r="BY128" s="8">
        <v>1.4999999999999999E-2</v>
      </c>
      <c r="BZ128" s="8"/>
      <c r="CA128" s="8">
        <v>1.2874999999999999E-2</v>
      </c>
      <c r="CB128" s="8">
        <v>3.0000000000000001E-3</v>
      </c>
      <c r="CC128" s="8">
        <v>1.9E-2</v>
      </c>
      <c r="CD128" s="8">
        <v>1.2874999999999999E-2</v>
      </c>
      <c r="CE128" s="8">
        <v>3.0000000000000001E-3</v>
      </c>
      <c r="CF128" s="8">
        <v>1.9E-2</v>
      </c>
      <c r="CG128" s="8">
        <v>1.2874999999999999E-2</v>
      </c>
      <c r="CH128" s="8">
        <v>3.0000000000000001E-3</v>
      </c>
      <c r="CI128" s="8">
        <v>1.9E-2</v>
      </c>
      <c r="CJ128" s="8">
        <v>1.2874999999999999E-2</v>
      </c>
      <c r="CK128" s="8">
        <v>3.0000000000000001E-3</v>
      </c>
      <c r="CL128" s="8">
        <v>1.9E-2</v>
      </c>
      <c r="CM128" s="8">
        <v>1.2874999999999999E-2</v>
      </c>
      <c r="CN128" s="8">
        <v>3.0000000000000001E-3</v>
      </c>
      <c r="CO128" s="8">
        <v>1.9E-2</v>
      </c>
      <c r="CP128" s="8">
        <v>1.2874999999999999E-2</v>
      </c>
      <c r="CQ128" s="8">
        <v>3.0000000000000001E-3</v>
      </c>
      <c r="CR128" s="8">
        <v>1.9E-2</v>
      </c>
      <c r="CS128" s="8">
        <v>1.2874999999999999E-2</v>
      </c>
      <c r="CT128" s="8">
        <v>3.0000000000000001E-3</v>
      </c>
      <c r="CU128" s="8">
        <v>1.9E-2</v>
      </c>
      <c r="CV128" s="8">
        <v>1.2874999999999999E-2</v>
      </c>
      <c r="CW128" s="8">
        <v>3.0000000000000001E-3</v>
      </c>
      <c r="CX128" s="8">
        <v>1.9E-2</v>
      </c>
      <c r="CY128" s="8">
        <v>1.2874999999999999E-2</v>
      </c>
      <c r="CZ128" s="8">
        <v>3.0000000000000001E-3</v>
      </c>
      <c r="DA128" s="8">
        <v>1.9E-2</v>
      </c>
      <c r="DB128" s="8"/>
      <c r="DC128" s="8"/>
      <c r="DD128" s="8"/>
      <c r="DE128" s="48">
        <f>Tabelle58971121[[#This Row],[Durchschnittsauslastung min]]*Tabelle58971121[[#This Row],[installierte Leistung MW min]]</f>
        <v>0</v>
      </c>
      <c r="DF128" s="48">
        <f>Tabelle58971121[[#This Row],[Durchschnittsauslastung durch]]*Tabelle58971121[[#This Row],[installierte Leistung MW durch]]</f>
        <v>0</v>
      </c>
      <c r="DG128" s="48">
        <f>Tabelle58971121[[#This Row],[Durchschnittsauslastung max]]*Tabelle58971121[[#This Row],[installierte Leistung MW max]]</f>
        <v>0</v>
      </c>
      <c r="DH128" s="87">
        <f>Tabelle58971121[[#This Row],[Maximalauslastung durch]]*Tabelle58971121[[#This Row],[installierte Leistung MW min]]</f>
        <v>435.48246</v>
      </c>
      <c r="DI128" s="48">
        <f>Tabelle58971121[[#This Row],[Maximalauslastung durch]]*Tabelle58971121[[#This Row],[installierte Leistung MW durch]]</f>
        <v>440.76096000000001</v>
      </c>
      <c r="DJ128" s="18">
        <f>Tabelle58971121[[#This Row],[Maximalauslastung max]]*Tabelle58971121[[#This Row],[installierte Leistung MW durch]]</f>
        <v>824.03135999999995</v>
      </c>
      <c r="DK128" s="8">
        <v>2.3E-2</v>
      </c>
      <c r="DL128" s="8">
        <v>2.9999999999999979E-3</v>
      </c>
      <c r="DM128" s="8">
        <v>4.2999999999999997E-2</v>
      </c>
      <c r="DN128" s="1">
        <v>19163.52</v>
      </c>
      <c r="DO128" s="1">
        <v>18934.02</v>
      </c>
      <c r="DP128" s="1">
        <v>19393.02</v>
      </c>
      <c r="DQ128" s="18"/>
      <c r="DR128" s="18"/>
      <c r="DW128" s="1">
        <v>1.75</v>
      </c>
      <c r="DX128" s="1">
        <v>1.1499999999999999</v>
      </c>
      <c r="DY128" s="1">
        <v>2.35</v>
      </c>
      <c r="DZ128" s="1">
        <v>1.75</v>
      </c>
      <c r="EA128" s="1">
        <v>0.5</v>
      </c>
      <c r="EB128" s="1">
        <v>3</v>
      </c>
      <c r="EC128" s="1">
        <v>3.5</v>
      </c>
      <c r="ED128" s="1">
        <v>2.2999999999999998</v>
      </c>
      <c r="EE128" s="1">
        <v>4.7</v>
      </c>
      <c r="EF128" s="1">
        <v>3.5</v>
      </c>
      <c r="EG128" s="1">
        <v>3.5</v>
      </c>
      <c r="EH128" s="1">
        <v>3.5</v>
      </c>
      <c r="EL128" s="1" t="s">
        <v>1046</v>
      </c>
      <c r="EM128" s="1" t="s">
        <v>1046</v>
      </c>
      <c r="EN128" s="1" t="s">
        <v>1046</v>
      </c>
      <c r="EO128" s="10"/>
      <c r="EP128" s="10"/>
      <c r="EQ128" s="10"/>
      <c r="ER128" s="1">
        <v>160</v>
      </c>
      <c r="ES128" s="1">
        <v>144</v>
      </c>
      <c r="ET128" s="1">
        <v>176</v>
      </c>
      <c r="EU128" s="1">
        <v>92.50411764705882</v>
      </c>
      <c r="EV128" s="18">
        <v>83.243529411764712</v>
      </c>
      <c r="EW128" s="18">
        <v>101.76470588235293</v>
      </c>
      <c r="EX128" s="18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>
        <v>753.05882352941171</v>
      </c>
      <c r="FK128" s="7">
        <v>745.52823529411762</v>
      </c>
      <c r="FL128" s="7">
        <v>760.5894117647058</v>
      </c>
      <c r="FO128" s="1">
        <v>67</v>
      </c>
      <c r="FP128" s="1">
        <v>67</v>
      </c>
      <c r="FQ128" s="1">
        <v>67</v>
      </c>
      <c r="FR128" s="12" t="s">
        <v>743</v>
      </c>
      <c r="FS128" s="12" t="s">
        <v>743</v>
      </c>
      <c r="FT128" s="12" t="s">
        <v>743</v>
      </c>
      <c r="FU128" s="12"/>
      <c r="FV128" s="12" t="s">
        <v>743</v>
      </c>
      <c r="FW128" s="12" t="s">
        <v>743</v>
      </c>
      <c r="FX128" s="12" t="s">
        <v>743</v>
      </c>
      <c r="FY128" s="12" t="s">
        <v>743</v>
      </c>
      <c r="FZ128" s="12" t="s">
        <v>743</v>
      </c>
      <c r="GA128" s="12" t="s">
        <v>743</v>
      </c>
      <c r="GB128" s="12" t="s">
        <v>743</v>
      </c>
      <c r="GE128" s="12" t="s">
        <v>743</v>
      </c>
      <c r="GF128" s="12" t="s">
        <v>743</v>
      </c>
      <c r="GH128" s="12" t="s">
        <v>743</v>
      </c>
    </row>
    <row r="129" spans="1:190" ht="12.75" customHeight="1" x14ac:dyDescent="0.2">
      <c r="A129" s="1" t="s">
        <v>133</v>
      </c>
      <c r="B129" s="1" t="s">
        <v>688</v>
      </c>
      <c r="E129" s="1" t="s">
        <v>142</v>
      </c>
      <c r="F129" s="1">
        <v>2</v>
      </c>
      <c r="G129" s="1">
        <v>2050</v>
      </c>
      <c r="H129" s="1">
        <v>0</v>
      </c>
      <c r="I129" s="1">
        <v>0</v>
      </c>
      <c r="J129" s="1">
        <v>1</v>
      </c>
      <c r="K129" s="18"/>
      <c r="L129" s="18"/>
      <c r="M129" s="18"/>
      <c r="N129" s="18">
        <v>0</v>
      </c>
      <c r="O129" s="18">
        <v>0</v>
      </c>
      <c r="P129" s="18">
        <v>70.389479999999992</v>
      </c>
      <c r="Q129" s="18">
        <v>176.06483999999998</v>
      </c>
      <c r="R129" s="18">
        <v>0</v>
      </c>
      <c r="S129" s="18">
        <v>703.89480000000003</v>
      </c>
      <c r="T129" s="18">
        <v>0</v>
      </c>
      <c r="U129" s="18">
        <v>0</v>
      </c>
      <c r="V129" s="18">
        <v>70.389479999999992</v>
      </c>
      <c r="W129" s="18">
        <v>176.06483999999998</v>
      </c>
      <c r="X129" s="18">
        <v>0</v>
      </c>
      <c r="Y129" s="18">
        <v>703.89480000000003</v>
      </c>
      <c r="Z129" s="18">
        <v>0</v>
      </c>
      <c r="AA129" s="18">
        <v>0</v>
      </c>
      <c r="AB129" s="18">
        <v>70.389479999999992</v>
      </c>
      <c r="AC129" s="18">
        <v>176.06483999999998</v>
      </c>
      <c r="AD129" s="18">
        <v>0</v>
      </c>
      <c r="AE129" s="18">
        <v>703.89480000000003</v>
      </c>
      <c r="AF129" s="18">
        <v>0</v>
      </c>
      <c r="AG129" s="18">
        <v>0</v>
      </c>
      <c r="AH129" s="18">
        <v>70.389479999999992</v>
      </c>
      <c r="AI129" s="18">
        <v>176.06483999999998</v>
      </c>
      <c r="AJ129" s="18">
        <v>0</v>
      </c>
      <c r="AK129" s="18">
        <v>703.89480000000003</v>
      </c>
      <c r="AL129" s="18">
        <v>0</v>
      </c>
      <c r="AM129" s="18">
        <v>0</v>
      </c>
      <c r="AN129" s="18">
        <v>70.389479999999992</v>
      </c>
      <c r="AO129" s="18">
        <v>176.06483999999998</v>
      </c>
      <c r="AP129" s="18">
        <v>0</v>
      </c>
      <c r="AQ129" s="18">
        <v>703.89480000000003</v>
      </c>
      <c r="AR129" s="18">
        <v>0</v>
      </c>
      <c r="AS129" s="18">
        <v>0</v>
      </c>
      <c r="AT129" s="18">
        <v>70.389479999999992</v>
      </c>
      <c r="AU129" s="18">
        <v>176.06483999999998</v>
      </c>
      <c r="AV129" s="18">
        <v>0</v>
      </c>
      <c r="AW129" s="18">
        <v>703.89480000000003</v>
      </c>
      <c r="AX129" s="18">
        <v>0</v>
      </c>
      <c r="AY129" s="18">
        <v>0</v>
      </c>
      <c r="AZ129" s="18">
        <v>70.389479999999992</v>
      </c>
      <c r="BA129" s="18">
        <v>176.06483999999998</v>
      </c>
      <c r="BB129" s="18">
        <v>0</v>
      </c>
      <c r="BC129" s="18">
        <v>703.89480000000003</v>
      </c>
      <c r="BD129" s="18">
        <v>0</v>
      </c>
      <c r="BE129" s="18">
        <v>0</v>
      </c>
      <c r="BF129" s="18">
        <v>70.389479999999992</v>
      </c>
      <c r="BG129" s="18">
        <v>176.06483999999998</v>
      </c>
      <c r="BH129" s="18">
        <v>0</v>
      </c>
      <c r="BI129" s="18">
        <v>703.89480000000003</v>
      </c>
      <c r="BJ129" s="18">
        <v>0</v>
      </c>
      <c r="BK129" s="18">
        <v>0</v>
      </c>
      <c r="BL129" s="18">
        <v>70.389479999999992</v>
      </c>
      <c r="BM129" s="18">
        <v>176.06483999999998</v>
      </c>
      <c r="BN129" s="18">
        <v>0</v>
      </c>
      <c r="BO129" s="18">
        <v>703.89480000000003</v>
      </c>
      <c r="BP129" s="18"/>
      <c r="BQ129" s="18"/>
      <c r="BR129" s="18"/>
      <c r="BS129" s="18"/>
      <c r="BT129" s="10">
        <f>Tabelle58971121[[#This Row],[Mindestauslastung durch]]*Tabelle58971121[[#This Row],[installierte Leistung MW durch]]</f>
        <v>260.83679999999998</v>
      </c>
      <c r="BU129" s="10">
        <f>Tabelle58971121[[#This Row],[Mindestauslastung min]]*Tabelle58971121[[#This Row],[installierte Leistung MW min]]</f>
        <v>257.71304999999995</v>
      </c>
      <c r="BV129" s="10">
        <f>Tabelle58971121[[#This Row],[Mindestauslastung max]]*Tabelle58971121[[#This Row],[installierte Leistung MW max]]</f>
        <v>263.96054999999996</v>
      </c>
      <c r="BW129" s="8">
        <v>1.4999999999999999E-2</v>
      </c>
      <c r="BX129" s="8">
        <v>1.4999999999999999E-2</v>
      </c>
      <c r="BY129" s="8">
        <v>1.4999999999999999E-2</v>
      </c>
      <c r="BZ129" s="8"/>
      <c r="CA129" s="8">
        <v>1.2874999999999999E-2</v>
      </c>
      <c r="CB129" s="8">
        <v>3.0000000000000001E-3</v>
      </c>
      <c r="CC129" s="8">
        <v>1.9E-2</v>
      </c>
      <c r="CD129" s="8">
        <v>1.2874999999999999E-2</v>
      </c>
      <c r="CE129" s="8">
        <v>3.0000000000000001E-3</v>
      </c>
      <c r="CF129" s="8">
        <v>1.9E-2</v>
      </c>
      <c r="CG129" s="8">
        <v>1.2874999999999999E-2</v>
      </c>
      <c r="CH129" s="8">
        <v>3.0000000000000001E-3</v>
      </c>
      <c r="CI129" s="8">
        <v>1.9E-2</v>
      </c>
      <c r="CJ129" s="8">
        <v>1.2874999999999999E-2</v>
      </c>
      <c r="CK129" s="8">
        <v>3.0000000000000001E-3</v>
      </c>
      <c r="CL129" s="8">
        <v>1.9E-2</v>
      </c>
      <c r="CM129" s="8">
        <v>1.2874999999999999E-2</v>
      </c>
      <c r="CN129" s="8">
        <v>3.0000000000000001E-3</v>
      </c>
      <c r="CO129" s="8">
        <v>1.9E-2</v>
      </c>
      <c r="CP129" s="8">
        <v>1.2874999999999999E-2</v>
      </c>
      <c r="CQ129" s="8">
        <v>3.0000000000000001E-3</v>
      </c>
      <c r="CR129" s="8">
        <v>1.9E-2</v>
      </c>
      <c r="CS129" s="8">
        <v>1.2874999999999999E-2</v>
      </c>
      <c r="CT129" s="8">
        <v>3.0000000000000001E-3</v>
      </c>
      <c r="CU129" s="8">
        <v>1.9E-2</v>
      </c>
      <c r="CV129" s="8">
        <v>1.2874999999999999E-2</v>
      </c>
      <c r="CW129" s="8">
        <v>3.0000000000000001E-3</v>
      </c>
      <c r="CX129" s="8">
        <v>1.9E-2</v>
      </c>
      <c r="CY129" s="8">
        <v>1.2874999999999999E-2</v>
      </c>
      <c r="CZ129" s="8">
        <v>3.0000000000000001E-3</v>
      </c>
      <c r="DA129" s="8">
        <v>1.9E-2</v>
      </c>
      <c r="DB129" s="8"/>
      <c r="DC129" s="8"/>
      <c r="DD129" s="8"/>
      <c r="DE129" s="48">
        <f>Tabelle58971121[[#This Row],[Durchschnittsauslastung min]]*Tabelle58971121[[#This Row],[installierte Leistung MW min]]</f>
        <v>0</v>
      </c>
      <c r="DF129" s="48">
        <f>Tabelle58971121[[#This Row],[Durchschnittsauslastung durch]]*Tabelle58971121[[#This Row],[installierte Leistung MW durch]]</f>
        <v>0</v>
      </c>
      <c r="DG129" s="48">
        <f>Tabelle58971121[[#This Row],[Durchschnittsauslastung max]]*Tabelle58971121[[#This Row],[installierte Leistung MW max]]</f>
        <v>0</v>
      </c>
      <c r="DH129" s="87">
        <f>Tabelle58971121[[#This Row],[Maximalauslastung durch]]*Tabelle58971121[[#This Row],[installierte Leistung MW min]]</f>
        <v>395.16000999999994</v>
      </c>
      <c r="DI129" s="48">
        <f>Tabelle58971121[[#This Row],[Maximalauslastung durch]]*Tabelle58971121[[#This Row],[installierte Leistung MW durch]]</f>
        <v>399.94975999999997</v>
      </c>
      <c r="DJ129" s="18">
        <f>Tabelle58971121[[#This Row],[Maximalauslastung max]]*Tabelle58971121[[#This Row],[installierte Leistung MW durch]]</f>
        <v>747.73215999999991</v>
      </c>
      <c r="DK129" s="8">
        <v>2.3E-2</v>
      </c>
      <c r="DL129" s="8">
        <v>2.9999999999999979E-3</v>
      </c>
      <c r="DM129" s="8">
        <v>4.2999999999999997E-2</v>
      </c>
      <c r="DN129" s="1">
        <v>17389.12</v>
      </c>
      <c r="DO129" s="1">
        <v>17180.87</v>
      </c>
      <c r="DP129" s="1">
        <v>17597.37</v>
      </c>
      <c r="DQ129" s="18"/>
      <c r="DR129" s="18"/>
      <c r="DW129" s="1">
        <v>1.75</v>
      </c>
      <c r="DX129" s="1">
        <v>1.1499999999999999</v>
      </c>
      <c r="DY129" s="1">
        <v>2.35</v>
      </c>
      <c r="DZ129" s="1">
        <v>1.75</v>
      </c>
      <c r="EA129" s="1">
        <v>0.5</v>
      </c>
      <c r="EB129" s="1">
        <v>3</v>
      </c>
      <c r="EC129" s="1">
        <v>3.5</v>
      </c>
      <c r="ED129" s="1">
        <v>2.2999999999999998</v>
      </c>
      <c r="EE129" s="1">
        <v>4.7</v>
      </c>
      <c r="EF129" s="1">
        <v>3.5</v>
      </c>
      <c r="EG129" s="1">
        <v>3.5</v>
      </c>
      <c r="EH129" s="1">
        <v>3.5</v>
      </c>
      <c r="EL129" s="1" t="s">
        <v>1046</v>
      </c>
      <c r="EM129" s="1" t="s">
        <v>1046</v>
      </c>
      <c r="EN129" s="1" t="s">
        <v>1046</v>
      </c>
      <c r="EO129" s="10"/>
      <c r="EP129" s="10"/>
      <c r="EQ129" s="10"/>
      <c r="ER129" s="1">
        <v>160</v>
      </c>
      <c r="ES129" s="1">
        <v>144</v>
      </c>
      <c r="ET129" s="1">
        <v>176</v>
      </c>
      <c r="EU129" s="1">
        <v>92.50411764705882</v>
      </c>
      <c r="EV129" s="18">
        <v>83.243529411764712</v>
      </c>
      <c r="EW129" s="18">
        <v>101.76470588235293</v>
      </c>
      <c r="EX129" s="18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>
        <v>753.05882352941171</v>
      </c>
      <c r="FK129" s="7">
        <v>745.52823529411762</v>
      </c>
      <c r="FL129" s="7">
        <v>760.5894117647058</v>
      </c>
      <c r="FO129" s="1">
        <v>67</v>
      </c>
      <c r="FP129" s="1">
        <v>67</v>
      </c>
      <c r="FQ129" s="1">
        <v>67</v>
      </c>
      <c r="FR129" s="12" t="s">
        <v>743</v>
      </c>
      <c r="FS129" s="12" t="s">
        <v>743</v>
      </c>
      <c r="FT129" s="12" t="s">
        <v>743</v>
      </c>
      <c r="FU129" s="12"/>
      <c r="FV129" s="12" t="s">
        <v>743</v>
      </c>
      <c r="FW129" s="12" t="s">
        <v>743</v>
      </c>
      <c r="FX129" s="12" t="s">
        <v>743</v>
      </c>
      <c r="FY129" s="12" t="s">
        <v>743</v>
      </c>
      <c r="FZ129" s="12" t="s">
        <v>743</v>
      </c>
      <c r="GA129" s="12" t="s">
        <v>743</v>
      </c>
      <c r="GB129" s="12" t="s">
        <v>743</v>
      </c>
      <c r="GE129" s="12" t="s">
        <v>743</v>
      </c>
      <c r="GF129" s="12" t="s">
        <v>743</v>
      </c>
      <c r="GH129" s="12" t="s">
        <v>743</v>
      </c>
    </row>
    <row r="130" spans="1:190" ht="12.75" customHeight="1" x14ac:dyDescent="0.2">
      <c r="A130" s="1" t="s">
        <v>365</v>
      </c>
      <c r="B130" s="1" t="s">
        <v>645</v>
      </c>
      <c r="E130" s="1" t="s">
        <v>129</v>
      </c>
      <c r="F130" s="1">
        <v>2</v>
      </c>
      <c r="G130" s="1">
        <v>2015</v>
      </c>
      <c r="H130" s="1">
        <v>1</v>
      </c>
      <c r="I130" s="1">
        <v>0</v>
      </c>
      <c r="J130" s="1">
        <v>0</v>
      </c>
      <c r="K130" s="18"/>
      <c r="L130" s="18"/>
      <c r="M130" s="18"/>
      <c r="N130" s="18">
        <v>98.606000000000009</v>
      </c>
      <c r="O130" s="18">
        <v>56.387999999999998</v>
      </c>
      <c r="P130" s="18">
        <v>152.304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50.351999999999997</v>
      </c>
      <c r="X130" s="18">
        <v>33.527999999999999</v>
      </c>
      <c r="Y130" s="18">
        <v>69.472000000000008</v>
      </c>
      <c r="Z130" s="18">
        <v>0</v>
      </c>
      <c r="AA130" s="18">
        <v>0</v>
      </c>
      <c r="AB130" s="18">
        <v>0</v>
      </c>
      <c r="AC130" s="18">
        <v>50.351999999999997</v>
      </c>
      <c r="AD130" s="18">
        <v>33.527999999999999</v>
      </c>
      <c r="AE130" s="18">
        <v>69.472000000000008</v>
      </c>
      <c r="AF130" s="18">
        <v>20.98</v>
      </c>
      <c r="AG130" s="18">
        <v>0</v>
      </c>
      <c r="AH130" s="18">
        <v>53.44</v>
      </c>
      <c r="AI130" s="18">
        <v>29.372</v>
      </c>
      <c r="AJ130" s="18">
        <v>3.048</v>
      </c>
      <c r="AK130" s="18">
        <v>69.472000000000008</v>
      </c>
      <c r="AL130" s="18">
        <v>0</v>
      </c>
      <c r="AM130" s="18">
        <v>0</v>
      </c>
      <c r="AN130" s="18">
        <v>0</v>
      </c>
      <c r="AO130" s="18">
        <v>50.351999999999997</v>
      </c>
      <c r="AP130" s="18">
        <v>33.527999999999999</v>
      </c>
      <c r="AQ130" s="18">
        <v>69.472000000000008</v>
      </c>
      <c r="AR130" s="18">
        <v>0</v>
      </c>
      <c r="AS130" s="18">
        <v>0</v>
      </c>
      <c r="AT130" s="18">
        <v>0</v>
      </c>
      <c r="AU130" s="18">
        <v>50.351999999999997</v>
      </c>
      <c r="AV130" s="18">
        <v>33.527999999999999</v>
      </c>
      <c r="AW130" s="18">
        <v>69.472000000000008</v>
      </c>
      <c r="AX130" s="18">
        <v>0</v>
      </c>
      <c r="AY130" s="18">
        <v>0</v>
      </c>
      <c r="AZ130" s="18">
        <v>0</v>
      </c>
      <c r="BA130" s="18">
        <v>50.351999999999997</v>
      </c>
      <c r="BB130" s="18">
        <v>33.527999999999999</v>
      </c>
      <c r="BC130" s="18">
        <v>69.472000000000008</v>
      </c>
      <c r="BD130" s="18">
        <v>0</v>
      </c>
      <c r="BE130" s="18">
        <v>0</v>
      </c>
      <c r="BF130" s="18">
        <v>0</v>
      </c>
      <c r="BG130" s="18">
        <v>50.351999999999997</v>
      </c>
      <c r="BH130" s="18">
        <v>33.527999999999999</v>
      </c>
      <c r="BI130" s="18">
        <v>69.472000000000008</v>
      </c>
      <c r="BJ130" s="18">
        <v>0</v>
      </c>
      <c r="BK130" s="18">
        <v>0</v>
      </c>
      <c r="BL130" s="18">
        <v>0</v>
      </c>
      <c r="BM130" s="18">
        <v>50.351999999999997</v>
      </c>
      <c r="BN130" s="18">
        <v>33.527999999999999</v>
      </c>
      <c r="BO130" s="18">
        <v>69.472000000000008</v>
      </c>
      <c r="BP130" s="18"/>
      <c r="BQ130" s="18"/>
      <c r="BR130" s="18"/>
      <c r="BS130" s="18"/>
      <c r="BT130" s="10">
        <f>Tabelle58971121[[#This Row],[Mindestauslastung durch]]*Tabelle58971121[[#This Row],[installierte Leistung MW durch]]</f>
        <v>0</v>
      </c>
      <c r="BU130" s="10">
        <f>Tabelle58971121[[#This Row],[Mindestauslastung min]]*Tabelle58971121[[#This Row],[installierte Leistung MW min]]</f>
        <v>0</v>
      </c>
      <c r="BV130" s="10">
        <f>Tabelle58971121[[#This Row],[Mindestauslastung max]]*Tabelle58971121[[#This Row],[installierte Leistung MW max]]</f>
        <v>0</v>
      </c>
      <c r="BW130" s="8">
        <v>0</v>
      </c>
      <c r="BX130" s="8">
        <v>0</v>
      </c>
      <c r="BY130" s="8">
        <v>0</v>
      </c>
      <c r="BZ130" s="8"/>
      <c r="CA130" s="8">
        <v>0.47</v>
      </c>
      <c r="CB130" s="8">
        <v>0.37</v>
      </c>
      <c r="CC130" s="8">
        <v>0.56999999999999995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0.1</v>
      </c>
      <c r="CK130" s="8">
        <v>0</v>
      </c>
      <c r="CL130" s="8">
        <v>0.2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/>
      <c r="DC130" s="8"/>
      <c r="DD130" s="8"/>
      <c r="DE130" s="48">
        <f>Tabelle58971121[[#This Row],[Durchschnittsauslastung min]]*Tabelle58971121[[#This Row],[installierte Leistung MW min]]</f>
        <v>0</v>
      </c>
      <c r="DF130" s="48">
        <f>Tabelle58971121[[#This Row],[Durchschnittsauslastung durch]]*Tabelle58971121[[#This Row],[installierte Leistung MW durch]]</f>
        <v>0</v>
      </c>
      <c r="DG130" s="48">
        <f>Tabelle58971121[[#This Row],[Durchschnittsauslastung max]]*Tabelle58971121[[#This Row],[installierte Leistung MW max]]</f>
        <v>0</v>
      </c>
      <c r="DH130" s="87">
        <f>Tabelle58971121[[#This Row],[Maximalauslastung durch]]*Tabelle58971121[[#This Row],[installierte Leistung MW min]]</f>
        <v>182.88</v>
      </c>
      <c r="DI130" s="48">
        <f>Tabelle58971121[[#This Row],[Maximalauslastung durch]]*Tabelle58971121[[#This Row],[installierte Leistung MW durch]]</f>
        <v>251.76</v>
      </c>
      <c r="DJ130" s="18">
        <f>Tabelle58971121[[#This Row],[Maximalauslastung max]]*Tabelle58971121[[#This Row],[installierte Leistung MW durch]]</f>
        <v>272.74</v>
      </c>
      <c r="DK130" s="8">
        <v>0.24</v>
      </c>
      <c r="DL130" s="8">
        <v>0.22</v>
      </c>
      <c r="DM130" s="8">
        <v>0.26</v>
      </c>
      <c r="DN130" s="1">
        <v>1049</v>
      </c>
      <c r="DO130" s="1">
        <v>762</v>
      </c>
      <c r="DP130" s="1">
        <v>1336</v>
      </c>
      <c r="DQ130" s="18"/>
      <c r="DR130" s="18"/>
      <c r="EL130" s="1">
        <v>365</v>
      </c>
      <c r="EM130" s="1">
        <v>292</v>
      </c>
      <c r="EN130" s="1">
        <v>438</v>
      </c>
      <c r="EO130" s="10"/>
      <c r="EP130" s="10"/>
      <c r="EQ130" s="10"/>
      <c r="ER130" s="1">
        <v>365</v>
      </c>
      <c r="ES130" s="1">
        <v>292</v>
      </c>
      <c r="ET130" s="1">
        <v>438</v>
      </c>
      <c r="EV130" s="18"/>
      <c r="EW130" s="18"/>
      <c r="EX130" s="18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O130" s="1">
        <v>67</v>
      </c>
      <c r="FP130" s="1">
        <v>67</v>
      </c>
      <c r="FQ130" s="1">
        <v>67</v>
      </c>
      <c r="FR130" s="12" t="s">
        <v>743</v>
      </c>
      <c r="FS130" s="12" t="s">
        <v>743</v>
      </c>
      <c r="FT130" s="12" t="s">
        <v>743</v>
      </c>
      <c r="FU130" s="12"/>
      <c r="FV130" s="12" t="s">
        <v>743</v>
      </c>
      <c r="FW130" s="12" t="s">
        <v>743</v>
      </c>
      <c r="FX130" s="12" t="s">
        <v>743</v>
      </c>
      <c r="FY130" s="12" t="s">
        <v>743</v>
      </c>
      <c r="FZ130" s="12" t="s">
        <v>743</v>
      </c>
      <c r="GA130" s="12" t="s">
        <v>743</v>
      </c>
      <c r="GB130" s="12" t="s">
        <v>743</v>
      </c>
      <c r="GE130" s="12" t="s">
        <v>743</v>
      </c>
      <c r="GF130" s="12" t="s">
        <v>743</v>
      </c>
      <c r="GH130" s="12" t="s">
        <v>743</v>
      </c>
    </row>
    <row r="131" spans="1:190" ht="12.75" customHeight="1" x14ac:dyDescent="0.2">
      <c r="A131" s="1" t="s">
        <v>365</v>
      </c>
      <c r="B131" s="1" t="s">
        <v>645</v>
      </c>
      <c r="E131" s="1" t="s">
        <v>129</v>
      </c>
      <c r="F131" s="1">
        <v>2</v>
      </c>
      <c r="G131" s="1">
        <v>2020</v>
      </c>
      <c r="H131" s="1">
        <v>1</v>
      </c>
      <c r="I131" s="1">
        <v>0</v>
      </c>
      <c r="J131" s="1">
        <v>0</v>
      </c>
      <c r="K131" s="18"/>
      <c r="L131" s="18"/>
      <c r="M131" s="18"/>
      <c r="N131" s="18">
        <v>100.57812000000001</v>
      </c>
      <c r="O131" s="18">
        <v>57.51576</v>
      </c>
      <c r="P131" s="18">
        <v>155.35007999999999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51.35904</v>
      </c>
      <c r="X131" s="18">
        <v>34.198560000000001</v>
      </c>
      <c r="Y131" s="18">
        <v>70.861440000000016</v>
      </c>
      <c r="Z131" s="18">
        <v>0</v>
      </c>
      <c r="AA131" s="18">
        <v>0</v>
      </c>
      <c r="AB131" s="18">
        <v>0</v>
      </c>
      <c r="AC131" s="18">
        <v>51.35904</v>
      </c>
      <c r="AD131" s="18">
        <v>34.198560000000001</v>
      </c>
      <c r="AE131" s="18">
        <v>70.861440000000016</v>
      </c>
      <c r="AF131" s="18">
        <v>21.3996</v>
      </c>
      <c r="AG131" s="18">
        <v>0</v>
      </c>
      <c r="AH131" s="18">
        <v>54.508800000000001</v>
      </c>
      <c r="AI131" s="18">
        <v>29.959440000000001</v>
      </c>
      <c r="AJ131" s="18">
        <v>3.1089600000000002</v>
      </c>
      <c r="AK131" s="18">
        <v>70.861440000000016</v>
      </c>
      <c r="AL131" s="18">
        <v>0</v>
      </c>
      <c r="AM131" s="18">
        <v>0</v>
      </c>
      <c r="AN131" s="18">
        <v>0</v>
      </c>
      <c r="AO131" s="18">
        <v>51.35904</v>
      </c>
      <c r="AP131" s="18">
        <v>34.198560000000001</v>
      </c>
      <c r="AQ131" s="18">
        <v>70.861440000000016</v>
      </c>
      <c r="AR131" s="18">
        <v>0</v>
      </c>
      <c r="AS131" s="18">
        <v>0</v>
      </c>
      <c r="AT131" s="18">
        <v>0</v>
      </c>
      <c r="AU131" s="18">
        <v>51.35904</v>
      </c>
      <c r="AV131" s="18">
        <v>34.198560000000001</v>
      </c>
      <c r="AW131" s="18">
        <v>70.861440000000016</v>
      </c>
      <c r="AX131" s="18">
        <v>0</v>
      </c>
      <c r="AY131" s="18">
        <v>0</v>
      </c>
      <c r="AZ131" s="18">
        <v>0</v>
      </c>
      <c r="BA131" s="18">
        <v>51.35904</v>
      </c>
      <c r="BB131" s="18">
        <v>34.198560000000001</v>
      </c>
      <c r="BC131" s="18">
        <v>70.861440000000016</v>
      </c>
      <c r="BD131" s="18">
        <v>0</v>
      </c>
      <c r="BE131" s="18">
        <v>0</v>
      </c>
      <c r="BF131" s="18">
        <v>0</v>
      </c>
      <c r="BG131" s="18">
        <v>51.35904</v>
      </c>
      <c r="BH131" s="18">
        <v>34.198560000000001</v>
      </c>
      <c r="BI131" s="18">
        <v>70.861440000000016</v>
      </c>
      <c r="BJ131" s="18">
        <v>0</v>
      </c>
      <c r="BK131" s="18">
        <v>0</v>
      </c>
      <c r="BL131" s="18">
        <v>0</v>
      </c>
      <c r="BM131" s="18">
        <v>51.35904</v>
      </c>
      <c r="BN131" s="18">
        <v>34.198560000000001</v>
      </c>
      <c r="BO131" s="18">
        <v>70.861440000000016</v>
      </c>
      <c r="BP131" s="18"/>
      <c r="BQ131" s="18"/>
      <c r="BR131" s="18"/>
      <c r="BS131" s="18"/>
      <c r="BT131" s="10">
        <f>Tabelle58971121[[#This Row],[Mindestauslastung durch]]*Tabelle58971121[[#This Row],[installierte Leistung MW durch]]</f>
        <v>0</v>
      </c>
      <c r="BU131" s="10">
        <f>Tabelle58971121[[#This Row],[Mindestauslastung min]]*Tabelle58971121[[#This Row],[installierte Leistung MW min]]</f>
        <v>0</v>
      </c>
      <c r="BV131" s="10">
        <f>Tabelle58971121[[#This Row],[Mindestauslastung max]]*Tabelle58971121[[#This Row],[installierte Leistung MW max]]</f>
        <v>0</v>
      </c>
      <c r="BW131" s="8">
        <v>0</v>
      </c>
      <c r="BX131" s="8">
        <v>0</v>
      </c>
      <c r="BY131" s="8">
        <v>0</v>
      </c>
      <c r="BZ131" s="8"/>
      <c r="CA131" s="8">
        <v>0.47</v>
      </c>
      <c r="CB131" s="8">
        <v>0.37</v>
      </c>
      <c r="CC131" s="8">
        <v>0.56999999999999995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0.1</v>
      </c>
      <c r="CK131" s="8">
        <v>0</v>
      </c>
      <c r="CL131" s="8">
        <v>0.2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/>
      <c r="DC131" s="8"/>
      <c r="DD131" s="8"/>
      <c r="DE131" s="48">
        <f>Tabelle58971121[[#This Row],[Durchschnittsauslastung min]]*Tabelle58971121[[#This Row],[installierte Leistung MW min]]</f>
        <v>0</v>
      </c>
      <c r="DF131" s="48">
        <f>Tabelle58971121[[#This Row],[Durchschnittsauslastung durch]]*Tabelle58971121[[#This Row],[installierte Leistung MW durch]]</f>
        <v>0</v>
      </c>
      <c r="DG131" s="48">
        <f>Tabelle58971121[[#This Row],[Durchschnittsauslastung max]]*Tabelle58971121[[#This Row],[installierte Leistung MW max]]</f>
        <v>0</v>
      </c>
      <c r="DH131" s="87">
        <f>Tabelle58971121[[#This Row],[Maximalauslastung durch]]*Tabelle58971121[[#This Row],[installierte Leistung MW min]]</f>
        <v>188.00880000000001</v>
      </c>
      <c r="DI131" s="48">
        <f>Tabelle58971121[[#This Row],[Maximalauslastung durch]]*Tabelle58971121[[#This Row],[installierte Leistung MW durch]]</f>
        <v>258.77519999999998</v>
      </c>
      <c r="DJ131" s="18">
        <f>Tabelle58971121[[#This Row],[Maximalauslastung max]]*Tabelle58971121[[#This Row],[installierte Leistung MW durch]]</f>
        <v>280.33980000000003</v>
      </c>
      <c r="DK131" s="8">
        <v>0.24</v>
      </c>
      <c r="DL131" s="8">
        <v>0.22</v>
      </c>
      <c r="DM131" s="8">
        <v>0.26</v>
      </c>
      <c r="DN131" s="1">
        <v>1078.23</v>
      </c>
      <c r="DO131" s="1">
        <v>783.37</v>
      </c>
      <c r="DP131" s="1">
        <v>1373.09</v>
      </c>
      <c r="DQ131" s="18"/>
      <c r="DR131" s="18"/>
      <c r="EL131" s="1">
        <v>365</v>
      </c>
      <c r="EM131" s="1">
        <v>292</v>
      </c>
      <c r="EN131" s="1">
        <v>438</v>
      </c>
      <c r="EO131" s="10"/>
      <c r="EP131" s="10"/>
      <c r="EQ131" s="10"/>
      <c r="ER131" s="1">
        <v>365</v>
      </c>
      <c r="ES131" s="1">
        <v>292</v>
      </c>
      <c r="ET131" s="1">
        <v>438</v>
      </c>
      <c r="EV131" s="18"/>
      <c r="EW131" s="18"/>
      <c r="EX131" s="18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O131" s="1">
        <v>67</v>
      </c>
      <c r="FP131" s="1">
        <v>67</v>
      </c>
      <c r="FQ131" s="1">
        <v>67</v>
      </c>
      <c r="FR131" s="12" t="s">
        <v>743</v>
      </c>
      <c r="FS131" s="12" t="s">
        <v>743</v>
      </c>
      <c r="FT131" s="12" t="s">
        <v>743</v>
      </c>
      <c r="FU131" s="12"/>
      <c r="FV131" s="12" t="s">
        <v>743</v>
      </c>
      <c r="FW131" s="12" t="s">
        <v>743</v>
      </c>
      <c r="FX131" s="12" t="s">
        <v>743</v>
      </c>
      <c r="FY131" s="12" t="s">
        <v>743</v>
      </c>
      <c r="FZ131" s="12" t="s">
        <v>743</v>
      </c>
      <c r="GA131" s="12" t="s">
        <v>743</v>
      </c>
      <c r="GB131" s="12" t="s">
        <v>743</v>
      </c>
      <c r="GE131" s="12" t="s">
        <v>743</v>
      </c>
      <c r="GF131" s="12" t="s">
        <v>743</v>
      </c>
      <c r="GH131" s="12" t="s">
        <v>743</v>
      </c>
    </row>
    <row r="132" spans="1:190" ht="12.75" customHeight="1" x14ac:dyDescent="0.2">
      <c r="A132" s="1" t="s">
        <v>365</v>
      </c>
      <c r="B132" s="1" t="s">
        <v>645</v>
      </c>
      <c r="E132" s="1" t="s">
        <v>129</v>
      </c>
      <c r="F132" s="1">
        <v>2</v>
      </c>
      <c r="G132" s="1">
        <v>2025</v>
      </c>
      <c r="H132" s="1">
        <v>1</v>
      </c>
      <c r="I132" s="1">
        <v>0</v>
      </c>
      <c r="J132" s="1">
        <v>0</v>
      </c>
      <c r="K132" s="18"/>
      <c r="L132" s="18"/>
      <c r="M132" s="18"/>
      <c r="N132" s="18">
        <v>102.35302800000001</v>
      </c>
      <c r="O132" s="18">
        <v>58.530743999999999</v>
      </c>
      <c r="P132" s="18">
        <v>158.09155200000001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52.265375999999996</v>
      </c>
      <c r="X132" s="18">
        <v>34.802064000000001</v>
      </c>
      <c r="Y132" s="18">
        <v>72.111936000000014</v>
      </c>
      <c r="Z132" s="18">
        <v>0</v>
      </c>
      <c r="AA132" s="18">
        <v>0</v>
      </c>
      <c r="AB132" s="18">
        <v>0</v>
      </c>
      <c r="AC132" s="18">
        <v>52.265375999999996</v>
      </c>
      <c r="AD132" s="18">
        <v>34.802064000000001</v>
      </c>
      <c r="AE132" s="18">
        <v>72.111936000000014</v>
      </c>
      <c r="AF132" s="18">
        <v>21.777240000000003</v>
      </c>
      <c r="AG132" s="18">
        <v>0</v>
      </c>
      <c r="AH132" s="18">
        <v>55.47072</v>
      </c>
      <c r="AI132" s="18">
        <v>30.488136000000001</v>
      </c>
      <c r="AJ132" s="18">
        <v>3.163824</v>
      </c>
      <c r="AK132" s="18">
        <v>72.111936000000014</v>
      </c>
      <c r="AL132" s="18">
        <v>0</v>
      </c>
      <c r="AM132" s="18">
        <v>0</v>
      </c>
      <c r="AN132" s="18">
        <v>0</v>
      </c>
      <c r="AO132" s="18">
        <v>52.265375999999996</v>
      </c>
      <c r="AP132" s="18">
        <v>34.802064000000001</v>
      </c>
      <c r="AQ132" s="18">
        <v>72.111936000000014</v>
      </c>
      <c r="AR132" s="18">
        <v>0</v>
      </c>
      <c r="AS132" s="18">
        <v>0</v>
      </c>
      <c r="AT132" s="18">
        <v>0</v>
      </c>
      <c r="AU132" s="18">
        <v>52.265375999999996</v>
      </c>
      <c r="AV132" s="18">
        <v>34.802064000000001</v>
      </c>
      <c r="AW132" s="18">
        <v>72.111936000000014</v>
      </c>
      <c r="AX132" s="18">
        <v>0</v>
      </c>
      <c r="AY132" s="18">
        <v>0</v>
      </c>
      <c r="AZ132" s="18">
        <v>0</v>
      </c>
      <c r="BA132" s="18">
        <v>52.265375999999996</v>
      </c>
      <c r="BB132" s="18">
        <v>34.802064000000001</v>
      </c>
      <c r="BC132" s="18">
        <v>72.111936000000014</v>
      </c>
      <c r="BD132" s="18">
        <v>0</v>
      </c>
      <c r="BE132" s="18">
        <v>0</v>
      </c>
      <c r="BF132" s="18">
        <v>0</v>
      </c>
      <c r="BG132" s="18">
        <v>52.265375999999996</v>
      </c>
      <c r="BH132" s="18">
        <v>34.802064000000001</v>
      </c>
      <c r="BI132" s="18">
        <v>72.111936000000014</v>
      </c>
      <c r="BJ132" s="18">
        <v>0</v>
      </c>
      <c r="BK132" s="18">
        <v>0</v>
      </c>
      <c r="BL132" s="18">
        <v>0</v>
      </c>
      <c r="BM132" s="18">
        <v>52.265375999999996</v>
      </c>
      <c r="BN132" s="18">
        <v>34.802064000000001</v>
      </c>
      <c r="BO132" s="18">
        <v>72.111936000000014</v>
      </c>
      <c r="BP132" s="18"/>
      <c r="BQ132" s="18"/>
      <c r="BR132" s="18"/>
      <c r="BS132" s="18"/>
      <c r="BT132" s="10">
        <f>Tabelle58971121[[#This Row],[Mindestauslastung durch]]*Tabelle58971121[[#This Row],[installierte Leistung MW durch]]</f>
        <v>0</v>
      </c>
      <c r="BU132" s="10">
        <f>Tabelle58971121[[#This Row],[Mindestauslastung min]]*Tabelle58971121[[#This Row],[installierte Leistung MW min]]</f>
        <v>0</v>
      </c>
      <c r="BV132" s="10">
        <f>Tabelle58971121[[#This Row],[Mindestauslastung max]]*Tabelle58971121[[#This Row],[installierte Leistung MW max]]</f>
        <v>0</v>
      </c>
      <c r="BW132" s="8">
        <v>0</v>
      </c>
      <c r="BX132" s="8">
        <v>0</v>
      </c>
      <c r="BY132" s="8">
        <v>0</v>
      </c>
      <c r="BZ132" s="8"/>
      <c r="CA132" s="8">
        <v>0.47</v>
      </c>
      <c r="CB132" s="8">
        <v>0.37</v>
      </c>
      <c r="CC132" s="8">
        <v>0.56999999999999995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0.1</v>
      </c>
      <c r="CK132" s="8">
        <v>0</v>
      </c>
      <c r="CL132" s="8">
        <v>0.2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/>
      <c r="DC132" s="8"/>
      <c r="DD132" s="8"/>
      <c r="DE132" s="48">
        <f>Tabelle58971121[[#This Row],[Durchschnittsauslastung min]]*Tabelle58971121[[#This Row],[installierte Leistung MW min]]</f>
        <v>0</v>
      </c>
      <c r="DF132" s="48">
        <f>Tabelle58971121[[#This Row],[Durchschnittsauslastung durch]]*Tabelle58971121[[#This Row],[installierte Leistung MW durch]]</f>
        <v>0</v>
      </c>
      <c r="DG132" s="48">
        <f>Tabelle58971121[[#This Row],[Durchschnittsauslastung max]]*Tabelle58971121[[#This Row],[installierte Leistung MW max]]</f>
        <v>0</v>
      </c>
      <c r="DH132" s="87">
        <f>Tabelle58971121[[#This Row],[Maximalauslastung durch]]*Tabelle58971121[[#This Row],[installierte Leistung MW min]]</f>
        <v>192.4776</v>
      </c>
      <c r="DI132" s="48">
        <f>Tabelle58971121[[#This Row],[Maximalauslastung durch]]*Tabelle58971121[[#This Row],[installierte Leistung MW durch]]</f>
        <v>264.89280000000002</v>
      </c>
      <c r="DJ132" s="18">
        <f>Tabelle58971121[[#This Row],[Maximalauslastung max]]*Tabelle58971121[[#This Row],[installierte Leistung MW durch]]</f>
        <v>286.96719999999999</v>
      </c>
      <c r="DK132" s="8">
        <v>0.24</v>
      </c>
      <c r="DL132" s="8">
        <v>0.22</v>
      </c>
      <c r="DM132" s="8">
        <v>0.26</v>
      </c>
      <c r="DN132" s="1">
        <v>1103.72</v>
      </c>
      <c r="DO132" s="1">
        <v>801.99</v>
      </c>
      <c r="DP132" s="1">
        <v>1405.45</v>
      </c>
      <c r="DQ132" s="18"/>
      <c r="DR132" s="18"/>
      <c r="EL132" s="1">
        <v>365</v>
      </c>
      <c r="EM132" s="1">
        <v>292</v>
      </c>
      <c r="EN132" s="1">
        <v>438</v>
      </c>
      <c r="EO132" s="10"/>
      <c r="EP132" s="10"/>
      <c r="EQ132" s="10"/>
      <c r="ER132" s="1">
        <v>365</v>
      </c>
      <c r="ES132" s="1">
        <v>292</v>
      </c>
      <c r="ET132" s="1">
        <v>438</v>
      </c>
      <c r="EV132" s="18"/>
      <c r="EW132" s="18"/>
      <c r="EX132" s="18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O132" s="1">
        <v>67</v>
      </c>
      <c r="FP132" s="1">
        <v>67</v>
      </c>
      <c r="FQ132" s="1">
        <v>67</v>
      </c>
      <c r="FR132" s="12" t="s">
        <v>743</v>
      </c>
      <c r="FS132" s="12" t="s">
        <v>743</v>
      </c>
      <c r="FT132" s="12" t="s">
        <v>743</v>
      </c>
      <c r="FU132" s="12"/>
      <c r="FV132" s="12" t="s">
        <v>743</v>
      </c>
      <c r="FW132" s="12" t="s">
        <v>743</v>
      </c>
      <c r="FX132" s="12" t="s">
        <v>743</v>
      </c>
      <c r="FY132" s="12" t="s">
        <v>743</v>
      </c>
      <c r="FZ132" s="12" t="s">
        <v>743</v>
      </c>
      <c r="GA132" s="12" t="s">
        <v>743</v>
      </c>
      <c r="GB132" s="12" t="s">
        <v>743</v>
      </c>
      <c r="GE132" s="12" t="s">
        <v>743</v>
      </c>
      <c r="GF132" s="12" t="s">
        <v>743</v>
      </c>
      <c r="GH132" s="12" t="s">
        <v>743</v>
      </c>
    </row>
    <row r="133" spans="1:190" ht="12.75" customHeight="1" x14ac:dyDescent="0.2">
      <c r="A133" s="1" t="s">
        <v>365</v>
      </c>
      <c r="B133" s="1" t="s">
        <v>645</v>
      </c>
      <c r="E133" s="1" t="s">
        <v>129</v>
      </c>
      <c r="F133" s="1">
        <v>2</v>
      </c>
      <c r="G133" s="1">
        <v>2030</v>
      </c>
      <c r="H133" s="1">
        <v>1</v>
      </c>
      <c r="I133" s="1">
        <v>0</v>
      </c>
      <c r="J133" s="1">
        <v>0</v>
      </c>
      <c r="K133" s="18"/>
      <c r="L133" s="18"/>
      <c r="M133" s="18"/>
      <c r="N133" s="18">
        <v>104.71957200000001</v>
      </c>
      <c r="O133" s="18">
        <v>59.884056000000001</v>
      </c>
      <c r="P133" s="18">
        <v>161.746848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53.473824</v>
      </c>
      <c r="X133" s="18">
        <v>35.606735999999998</v>
      </c>
      <c r="Y133" s="18">
        <v>73.779264000000012</v>
      </c>
      <c r="Z133" s="18">
        <v>0</v>
      </c>
      <c r="AA133" s="18">
        <v>0</v>
      </c>
      <c r="AB133" s="18">
        <v>0</v>
      </c>
      <c r="AC133" s="18">
        <v>53.473824</v>
      </c>
      <c r="AD133" s="18">
        <v>35.606735999999998</v>
      </c>
      <c r="AE133" s="18">
        <v>73.779264000000012</v>
      </c>
      <c r="AF133" s="18">
        <v>22.280760000000001</v>
      </c>
      <c r="AG133" s="18">
        <v>0</v>
      </c>
      <c r="AH133" s="18">
        <v>56.753280000000004</v>
      </c>
      <c r="AI133" s="18">
        <v>31.193064000000003</v>
      </c>
      <c r="AJ133" s="18">
        <v>3.2369760000000003</v>
      </c>
      <c r="AK133" s="18">
        <v>73.779264000000012</v>
      </c>
      <c r="AL133" s="18">
        <v>0</v>
      </c>
      <c r="AM133" s="18">
        <v>0</v>
      </c>
      <c r="AN133" s="18">
        <v>0</v>
      </c>
      <c r="AO133" s="18">
        <v>53.473824</v>
      </c>
      <c r="AP133" s="18">
        <v>35.606735999999998</v>
      </c>
      <c r="AQ133" s="18">
        <v>73.779264000000012</v>
      </c>
      <c r="AR133" s="18">
        <v>0</v>
      </c>
      <c r="AS133" s="18">
        <v>0</v>
      </c>
      <c r="AT133" s="18">
        <v>0</v>
      </c>
      <c r="AU133" s="18">
        <v>53.473824</v>
      </c>
      <c r="AV133" s="18">
        <v>35.606735999999998</v>
      </c>
      <c r="AW133" s="18">
        <v>73.779264000000012</v>
      </c>
      <c r="AX133" s="18">
        <v>0</v>
      </c>
      <c r="AY133" s="18">
        <v>0</v>
      </c>
      <c r="AZ133" s="18">
        <v>0</v>
      </c>
      <c r="BA133" s="18">
        <v>53.473824</v>
      </c>
      <c r="BB133" s="18">
        <v>35.606735999999998</v>
      </c>
      <c r="BC133" s="18">
        <v>73.779264000000012</v>
      </c>
      <c r="BD133" s="18">
        <v>0</v>
      </c>
      <c r="BE133" s="18">
        <v>0</v>
      </c>
      <c r="BF133" s="18">
        <v>0</v>
      </c>
      <c r="BG133" s="18">
        <v>53.473824</v>
      </c>
      <c r="BH133" s="18">
        <v>35.606735999999998</v>
      </c>
      <c r="BI133" s="18">
        <v>73.779264000000012</v>
      </c>
      <c r="BJ133" s="18">
        <v>0</v>
      </c>
      <c r="BK133" s="18">
        <v>0</v>
      </c>
      <c r="BL133" s="18">
        <v>0</v>
      </c>
      <c r="BM133" s="18">
        <v>53.473824</v>
      </c>
      <c r="BN133" s="18">
        <v>35.606735999999998</v>
      </c>
      <c r="BO133" s="18">
        <v>73.779264000000012</v>
      </c>
      <c r="BP133" s="18"/>
      <c r="BQ133" s="18"/>
      <c r="BR133" s="18"/>
      <c r="BS133" s="18"/>
      <c r="BT133" s="10">
        <f>Tabelle58971121[[#This Row],[Mindestauslastung durch]]*Tabelle58971121[[#This Row],[installierte Leistung MW durch]]</f>
        <v>0</v>
      </c>
      <c r="BU133" s="10">
        <f>Tabelle58971121[[#This Row],[Mindestauslastung min]]*Tabelle58971121[[#This Row],[installierte Leistung MW min]]</f>
        <v>0</v>
      </c>
      <c r="BV133" s="10">
        <f>Tabelle58971121[[#This Row],[Mindestauslastung max]]*Tabelle58971121[[#This Row],[installierte Leistung MW max]]</f>
        <v>0</v>
      </c>
      <c r="BW133" s="8">
        <v>0</v>
      </c>
      <c r="BX133" s="8">
        <v>0</v>
      </c>
      <c r="BY133" s="8">
        <v>0</v>
      </c>
      <c r="BZ133" s="8"/>
      <c r="CA133" s="8">
        <v>0.47</v>
      </c>
      <c r="CB133" s="8">
        <v>0.37</v>
      </c>
      <c r="CC133" s="8">
        <v>0.56999999999999995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0.1</v>
      </c>
      <c r="CK133" s="8">
        <v>0</v>
      </c>
      <c r="CL133" s="8">
        <v>0.2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/>
      <c r="DC133" s="8"/>
      <c r="DD133" s="8"/>
      <c r="DE133" s="48">
        <f>Tabelle58971121[[#This Row],[Durchschnittsauslastung min]]*Tabelle58971121[[#This Row],[installierte Leistung MW min]]</f>
        <v>0</v>
      </c>
      <c r="DF133" s="48">
        <f>Tabelle58971121[[#This Row],[Durchschnittsauslastung durch]]*Tabelle58971121[[#This Row],[installierte Leistung MW durch]]</f>
        <v>0</v>
      </c>
      <c r="DG133" s="48">
        <f>Tabelle58971121[[#This Row],[Durchschnittsauslastung max]]*Tabelle58971121[[#This Row],[installierte Leistung MW max]]</f>
        <v>0</v>
      </c>
      <c r="DH133" s="87">
        <f>Tabelle58971121[[#This Row],[Maximalauslastung durch]]*Tabelle58971121[[#This Row],[installierte Leistung MW min]]</f>
        <v>198.42479999999998</v>
      </c>
      <c r="DI133" s="48">
        <f>Tabelle58971121[[#This Row],[Maximalauslastung durch]]*Tabelle58971121[[#This Row],[installierte Leistung MW durch]]</f>
        <v>273.02639999999997</v>
      </c>
      <c r="DJ133" s="18">
        <f>Tabelle58971121[[#This Row],[Maximalauslastung max]]*Tabelle58971121[[#This Row],[installierte Leistung MW durch]]</f>
        <v>295.77859999999998</v>
      </c>
      <c r="DK133" s="8">
        <v>0.24</v>
      </c>
      <c r="DL133" s="8">
        <v>0.22</v>
      </c>
      <c r="DM133" s="8">
        <v>0.26</v>
      </c>
      <c r="DN133" s="1">
        <v>1137.6099999999999</v>
      </c>
      <c r="DO133" s="1">
        <v>826.77</v>
      </c>
      <c r="DP133" s="1">
        <v>1448.45</v>
      </c>
      <c r="DQ133" s="18"/>
      <c r="DR133" s="18"/>
      <c r="EL133" s="1">
        <v>365</v>
      </c>
      <c r="EM133" s="1">
        <v>292</v>
      </c>
      <c r="EN133" s="1">
        <v>438</v>
      </c>
      <c r="EO133" s="10"/>
      <c r="EP133" s="10"/>
      <c r="EQ133" s="10"/>
      <c r="ER133" s="1">
        <v>365</v>
      </c>
      <c r="ES133" s="1">
        <v>292</v>
      </c>
      <c r="ET133" s="1">
        <v>438</v>
      </c>
      <c r="EV133" s="18"/>
      <c r="EW133" s="18"/>
      <c r="EX133" s="18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O133" s="1">
        <v>67</v>
      </c>
      <c r="FP133" s="1">
        <v>67</v>
      </c>
      <c r="FQ133" s="1">
        <v>67</v>
      </c>
      <c r="FR133" s="12" t="s">
        <v>743</v>
      </c>
      <c r="FS133" s="12" t="s">
        <v>743</v>
      </c>
      <c r="FT133" s="12" t="s">
        <v>743</v>
      </c>
      <c r="FU133" s="12"/>
      <c r="FV133" s="12" t="s">
        <v>743</v>
      </c>
      <c r="FW133" s="12" t="s">
        <v>743</v>
      </c>
      <c r="FX133" s="12" t="s">
        <v>743</v>
      </c>
      <c r="FY133" s="12" t="s">
        <v>743</v>
      </c>
      <c r="FZ133" s="12" t="s">
        <v>743</v>
      </c>
      <c r="GA133" s="12" t="s">
        <v>743</v>
      </c>
      <c r="GB133" s="12" t="s">
        <v>743</v>
      </c>
      <c r="GE133" s="12" t="s">
        <v>743</v>
      </c>
      <c r="GF133" s="12" t="s">
        <v>743</v>
      </c>
      <c r="GH133" s="12" t="s">
        <v>743</v>
      </c>
    </row>
    <row r="134" spans="1:190" ht="12.75" customHeight="1" x14ac:dyDescent="0.2">
      <c r="A134" s="1" t="s">
        <v>365</v>
      </c>
      <c r="B134" s="1" t="s">
        <v>645</v>
      </c>
      <c r="E134" s="1" t="s">
        <v>129</v>
      </c>
      <c r="F134" s="1">
        <v>2</v>
      </c>
      <c r="G134" s="1">
        <v>2035</v>
      </c>
      <c r="H134" s="1">
        <v>1</v>
      </c>
      <c r="I134" s="1">
        <v>0</v>
      </c>
      <c r="J134" s="1">
        <v>0</v>
      </c>
      <c r="K134" s="18"/>
      <c r="L134" s="18"/>
      <c r="M134" s="18"/>
      <c r="N134" s="18">
        <v>107.08611600000002</v>
      </c>
      <c r="O134" s="18">
        <v>61.237368000000004</v>
      </c>
      <c r="P134" s="18">
        <v>165.40214400000002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54.682271999999998</v>
      </c>
      <c r="X134" s="18">
        <v>36.411408000000002</v>
      </c>
      <c r="Y134" s="18">
        <v>75.44659200000001</v>
      </c>
      <c r="Z134" s="18">
        <v>0</v>
      </c>
      <c r="AA134" s="18">
        <v>0</v>
      </c>
      <c r="AB134" s="18">
        <v>0</v>
      </c>
      <c r="AC134" s="18">
        <v>54.682271999999998</v>
      </c>
      <c r="AD134" s="18">
        <v>36.411408000000002</v>
      </c>
      <c r="AE134" s="18">
        <v>75.44659200000001</v>
      </c>
      <c r="AF134" s="18">
        <v>22.784280000000003</v>
      </c>
      <c r="AG134" s="18">
        <v>0</v>
      </c>
      <c r="AH134" s="18">
        <v>58.03584</v>
      </c>
      <c r="AI134" s="18">
        <v>31.897992000000002</v>
      </c>
      <c r="AJ134" s="18">
        <v>3.3101280000000002</v>
      </c>
      <c r="AK134" s="18">
        <v>75.44659200000001</v>
      </c>
      <c r="AL134" s="18">
        <v>0</v>
      </c>
      <c r="AM134" s="18">
        <v>0</v>
      </c>
      <c r="AN134" s="18">
        <v>0</v>
      </c>
      <c r="AO134" s="18">
        <v>54.682271999999998</v>
      </c>
      <c r="AP134" s="18">
        <v>36.411408000000002</v>
      </c>
      <c r="AQ134" s="18">
        <v>75.44659200000001</v>
      </c>
      <c r="AR134" s="18">
        <v>0</v>
      </c>
      <c r="AS134" s="18">
        <v>0</v>
      </c>
      <c r="AT134" s="18">
        <v>0</v>
      </c>
      <c r="AU134" s="18">
        <v>54.682271999999998</v>
      </c>
      <c r="AV134" s="18">
        <v>36.411408000000002</v>
      </c>
      <c r="AW134" s="18">
        <v>75.44659200000001</v>
      </c>
      <c r="AX134" s="18">
        <v>0</v>
      </c>
      <c r="AY134" s="18">
        <v>0</v>
      </c>
      <c r="AZ134" s="18">
        <v>0</v>
      </c>
      <c r="BA134" s="18">
        <v>54.682271999999998</v>
      </c>
      <c r="BB134" s="18">
        <v>36.411408000000002</v>
      </c>
      <c r="BC134" s="18">
        <v>75.44659200000001</v>
      </c>
      <c r="BD134" s="18">
        <v>0</v>
      </c>
      <c r="BE134" s="18">
        <v>0</v>
      </c>
      <c r="BF134" s="18">
        <v>0</v>
      </c>
      <c r="BG134" s="18">
        <v>54.682271999999998</v>
      </c>
      <c r="BH134" s="18">
        <v>36.411408000000002</v>
      </c>
      <c r="BI134" s="18">
        <v>75.44659200000001</v>
      </c>
      <c r="BJ134" s="18">
        <v>0</v>
      </c>
      <c r="BK134" s="18">
        <v>0</v>
      </c>
      <c r="BL134" s="18">
        <v>0</v>
      </c>
      <c r="BM134" s="18">
        <v>54.682271999999998</v>
      </c>
      <c r="BN134" s="18">
        <v>36.411408000000002</v>
      </c>
      <c r="BO134" s="18">
        <v>75.44659200000001</v>
      </c>
      <c r="BP134" s="18"/>
      <c r="BQ134" s="18"/>
      <c r="BR134" s="18"/>
      <c r="BS134" s="18"/>
      <c r="BT134" s="10">
        <f>Tabelle58971121[[#This Row],[Mindestauslastung durch]]*Tabelle58971121[[#This Row],[installierte Leistung MW durch]]</f>
        <v>0</v>
      </c>
      <c r="BU134" s="10">
        <f>Tabelle58971121[[#This Row],[Mindestauslastung min]]*Tabelle58971121[[#This Row],[installierte Leistung MW min]]</f>
        <v>0</v>
      </c>
      <c r="BV134" s="10">
        <f>Tabelle58971121[[#This Row],[Mindestauslastung max]]*Tabelle58971121[[#This Row],[installierte Leistung MW max]]</f>
        <v>0</v>
      </c>
      <c r="BW134" s="8">
        <v>0</v>
      </c>
      <c r="BX134" s="8">
        <v>0</v>
      </c>
      <c r="BY134" s="8">
        <v>0</v>
      </c>
      <c r="BZ134" s="8"/>
      <c r="CA134" s="8">
        <v>0.47</v>
      </c>
      <c r="CB134" s="8">
        <v>0.37</v>
      </c>
      <c r="CC134" s="8">
        <v>0.56999999999999995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0.1</v>
      </c>
      <c r="CK134" s="8">
        <v>0</v>
      </c>
      <c r="CL134" s="8">
        <v>0.2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/>
      <c r="DC134" s="8"/>
      <c r="DD134" s="8"/>
      <c r="DE134" s="48">
        <f>Tabelle58971121[[#This Row],[Durchschnittsauslastung min]]*Tabelle58971121[[#This Row],[installierte Leistung MW min]]</f>
        <v>0</v>
      </c>
      <c r="DF134" s="48">
        <f>Tabelle58971121[[#This Row],[Durchschnittsauslastung durch]]*Tabelle58971121[[#This Row],[installierte Leistung MW durch]]</f>
        <v>0</v>
      </c>
      <c r="DG134" s="48">
        <f>Tabelle58971121[[#This Row],[Durchschnittsauslastung max]]*Tabelle58971121[[#This Row],[installierte Leistung MW max]]</f>
        <v>0</v>
      </c>
      <c r="DH134" s="87">
        <f>Tabelle58971121[[#This Row],[Maximalauslastung durch]]*Tabelle58971121[[#This Row],[installierte Leistung MW min]]</f>
        <v>204.2664</v>
      </c>
      <c r="DI134" s="48">
        <f>Tabelle58971121[[#This Row],[Maximalauslastung durch]]*Tabelle58971121[[#This Row],[installierte Leistung MW durch]]</f>
        <v>281.03280000000001</v>
      </c>
      <c r="DJ134" s="18">
        <f>Tabelle58971121[[#This Row],[Maximalauslastung max]]*Tabelle58971121[[#This Row],[installierte Leistung MW durch]]</f>
        <v>304.4522</v>
      </c>
      <c r="DK134" s="8">
        <v>0.24</v>
      </c>
      <c r="DL134" s="8">
        <v>0.22</v>
      </c>
      <c r="DM134" s="8">
        <v>0.26</v>
      </c>
      <c r="DN134" s="1">
        <v>1170.97</v>
      </c>
      <c r="DO134" s="1">
        <v>851.11</v>
      </c>
      <c r="DP134" s="1">
        <v>1490.83</v>
      </c>
      <c r="DQ134" s="18"/>
      <c r="DR134" s="18"/>
      <c r="EL134" s="1">
        <v>365</v>
      </c>
      <c r="EM134" s="1">
        <v>292</v>
      </c>
      <c r="EN134" s="1">
        <v>438</v>
      </c>
      <c r="EO134" s="10"/>
      <c r="EP134" s="10"/>
      <c r="EQ134" s="10"/>
      <c r="ER134" s="1">
        <v>365</v>
      </c>
      <c r="ES134" s="1">
        <v>292</v>
      </c>
      <c r="ET134" s="1">
        <v>438</v>
      </c>
      <c r="EV134" s="18"/>
      <c r="EW134" s="18"/>
      <c r="EX134" s="18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O134" s="1">
        <v>67</v>
      </c>
      <c r="FP134" s="1">
        <v>67</v>
      </c>
      <c r="FQ134" s="1">
        <v>67</v>
      </c>
      <c r="FR134" s="12" t="s">
        <v>743</v>
      </c>
      <c r="FS134" s="12" t="s">
        <v>743</v>
      </c>
      <c r="FT134" s="12" t="s">
        <v>743</v>
      </c>
      <c r="FU134" s="12"/>
      <c r="FV134" s="12" t="s">
        <v>743</v>
      </c>
      <c r="FW134" s="12" t="s">
        <v>743</v>
      </c>
      <c r="FX134" s="12" t="s">
        <v>743</v>
      </c>
      <c r="FY134" s="12" t="s">
        <v>743</v>
      </c>
      <c r="FZ134" s="12" t="s">
        <v>743</v>
      </c>
      <c r="GA134" s="12" t="s">
        <v>743</v>
      </c>
      <c r="GB134" s="12" t="s">
        <v>743</v>
      </c>
      <c r="GE134" s="12" t="s">
        <v>743</v>
      </c>
      <c r="GF134" s="12" t="s">
        <v>743</v>
      </c>
      <c r="GH134" s="12" t="s">
        <v>743</v>
      </c>
    </row>
    <row r="135" spans="1:190" ht="12.75" customHeight="1" x14ac:dyDescent="0.2">
      <c r="A135" s="1" t="s">
        <v>365</v>
      </c>
      <c r="B135" s="1" t="s">
        <v>645</v>
      </c>
      <c r="E135" s="1" t="s">
        <v>129</v>
      </c>
      <c r="F135" s="1">
        <v>2</v>
      </c>
      <c r="G135" s="1">
        <v>2040</v>
      </c>
      <c r="H135" s="1">
        <v>1</v>
      </c>
      <c r="I135" s="1">
        <v>0</v>
      </c>
      <c r="J135" s="1">
        <v>0</v>
      </c>
      <c r="K135" s="18"/>
      <c r="L135" s="18"/>
      <c r="M135" s="18"/>
      <c r="N135" s="18">
        <v>109.45266000000002</v>
      </c>
      <c r="O135" s="18">
        <v>62.590680000000006</v>
      </c>
      <c r="P135" s="18">
        <v>169.05744000000001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55.890720000000002</v>
      </c>
      <c r="X135" s="18">
        <v>37.216080000000005</v>
      </c>
      <c r="Y135" s="18">
        <v>77.113920000000022</v>
      </c>
      <c r="Z135" s="18">
        <v>0</v>
      </c>
      <c r="AA135" s="18">
        <v>0</v>
      </c>
      <c r="AB135" s="18">
        <v>0</v>
      </c>
      <c r="AC135" s="18">
        <v>55.890720000000002</v>
      </c>
      <c r="AD135" s="18">
        <v>37.216080000000005</v>
      </c>
      <c r="AE135" s="18">
        <v>77.113920000000022</v>
      </c>
      <c r="AF135" s="18">
        <v>23.287800000000004</v>
      </c>
      <c r="AG135" s="18">
        <v>0</v>
      </c>
      <c r="AH135" s="18">
        <v>59.318400000000004</v>
      </c>
      <c r="AI135" s="18">
        <v>32.602920000000005</v>
      </c>
      <c r="AJ135" s="18">
        <v>3.3832800000000005</v>
      </c>
      <c r="AK135" s="18">
        <v>77.113920000000022</v>
      </c>
      <c r="AL135" s="18">
        <v>0</v>
      </c>
      <c r="AM135" s="18">
        <v>0</v>
      </c>
      <c r="AN135" s="18">
        <v>0</v>
      </c>
      <c r="AO135" s="18">
        <v>55.890720000000002</v>
      </c>
      <c r="AP135" s="18">
        <v>37.216080000000005</v>
      </c>
      <c r="AQ135" s="18">
        <v>77.113920000000022</v>
      </c>
      <c r="AR135" s="18">
        <v>0</v>
      </c>
      <c r="AS135" s="18">
        <v>0</v>
      </c>
      <c r="AT135" s="18">
        <v>0</v>
      </c>
      <c r="AU135" s="18">
        <v>55.890720000000002</v>
      </c>
      <c r="AV135" s="18">
        <v>37.216080000000005</v>
      </c>
      <c r="AW135" s="18">
        <v>77.113920000000022</v>
      </c>
      <c r="AX135" s="18">
        <v>0</v>
      </c>
      <c r="AY135" s="18">
        <v>0</v>
      </c>
      <c r="AZ135" s="18">
        <v>0</v>
      </c>
      <c r="BA135" s="18">
        <v>55.890720000000002</v>
      </c>
      <c r="BB135" s="18">
        <v>37.216080000000005</v>
      </c>
      <c r="BC135" s="18">
        <v>77.113920000000022</v>
      </c>
      <c r="BD135" s="18">
        <v>0</v>
      </c>
      <c r="BE135" s="18">
        <v>0</v>
      </c>
      <c r="BF135" s="18">
        <v>0</v>
      </c>
      <c r="BG135" s="18">
        <v>55.890720000000002</v>
      </c>
      <c r="BH135" s="18">
        <v>37.216080000000005</v>
      </c>
      <c r="BI135" s="18">
        <v>77.113920000000022</v>
      </c>
      <c r="BJ135" s="18">
        <v>0</v>
      </c>
      <c r="BK135" s="18">
        <v>0</v>
      </c>
      <c r="BL135" s="18">
        <v>0</v>
      </c>
      <c r="BM135" s="18">
        <v>55.890720000000002</v>
      </c>
      <c r="BN135" s="18">
        <v>37.216080000000005</v>
      </c>
      <c r="BO135" s="18">
        <v>77.113920000000022</v>
      </c>
      <c r="BP135" s="18"/>
      <c r="BQ135" s="18"/>
      <c r="BR135" s="18"/>
      <c r="BS135" s="18"/>
      <c r="BT135" s="10">
        <f>Tabelle58971121[[#This Row],[Mindestauslastung durch]]*Tabelle58971121[[#This Row],[installierte Leistung MW durch]]</f>
        <v>0</v>
      </c>
      <c r="BU135" s="10">
        <f>Tabelle58971121[[#This Row],[Mindestauslastung min]]*Tabelle58971121[[#This Row],[installierte Leistung MW min]]</f>
        <v>0</v>
      </c>
      <c r="BV135" s="10">
        <f>Tabelle58971121[[#This Row],[Mindestauslastung max]]*Tabelle58971121[[#This Row],[installierte Leistung MW max]]</f>
        <v>0</v>
      </c>
      <c r="BW135" s="8">
        <v>0</v>
      </c>
      <c r="BX135" s="8">
        <v>0</v>
      </c>
      <c r="BY135" s="8">
        <v>0</v>
      </c>
      <c r="BZ135" s="8"/>
      <c r="CA135" s="8">
        <v>0.47</v>
      </c>
      <c r="CB135" s="8">
        <v>0.37</v>
      </c>
      <c r="CC135" s="8">
        <v>0.56999999999999995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0.1</v>
      </c>
      <c r="CK135" s="8">
        <v>0</v>
      </c>
      <c r="CL135" s="8">
        <v>0.2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/>
      <c r="DC135" s="8"/>
      <c r="DD135" s="8"/>
      <c r="DE135" s="48">
        <f>Tabelle58971121[[#This Row],[Durchschnittsauslastung min]]*Tabelle58971121[[#This Row],[installierte Leistung MW min]]</f>
        <v>0</v>
      </c>
      <c r="DF135" s="48">
        <f>Tabelle58971121[[#This Row],[Durchschnittsauslastung durch]]*Tabelle58971121[[#This Row],[installierte Leistung MW durch]]</f>
        <v>0</v>
      </c>
      <c r="DG135" s="48">
        <f>Tabelle58971121[[#This Row],[Durchschnittsauslastung max]]*Tabelle58971121[[#This Row],[installierte Leistung MW max]]</f>
        <v>0</v>
      </c>
      <c r="DH135" s="87">
        <f>Tabelle58971121[[#This Row],[Maximalauslastung durch]]*Tabelle58971121[[#This Row],[installierte Leistung MW min]]</f>
        <v>210.21359999999999</v>
      </c>
      <c r="DI135" s="48">
        <f>Tabelle58971121[[#This Row],[Maximalauslastung durch]]*Tabelle58971121[[#This Row],[installierte Leistung MW durch]]</f>
        <v>289.16639999999995</v>
      </c>
      <c r="DJ135" s="18">
        <f>Tabelle58971121[[#This Row],[Maximalauslastung max]]*Tabelle58971121[[#This Row],[installierte Leistung MW durch]]</f>
        <v>313.2636</v>
      </c>
      <c r="DK135" s="8">
        <v>0.24</v>
      </c>
      <c r="DL135" s="8">
        <v>0.22</v>
      </c>
      <c r="DM135" s="8">
        <v>0.26</v>
      </c>
      <c r="DN135" s="1">
        <v>1204.8599999999999</v>
      </c>
      <c r="DO135" s="1">
        <v>875.89</v>
      </c>
      <c r="DP135" s="1">
        <v>1533.83</v>
      </c>
      <c r="DQ135" s="18"/>
      <c r="DR135" s="18"/>
      <c r="EL135" s="1">
        <v>365</v>
      </c>
      <c r="EM135" s="1">
        <v>292</v>
      </c>
      <c r="EN135" s="1">
        <v>438</v>
      </c>
      <c r="EO135" s="10"/>
      <c r="EP135" s="10"/>
      <c r="EQ135" s="10"/>
      <c r="ER135" s="1">
        <v>365</v>
      </c>
      <c r="ES135" s="1">
        <v>292</v>
      </c>
      <c r="ET135" s="1">
        <v>438</v>
      </c>
      <c r="EV135" s="18"/>
      <c r="EW135" s="18"/>
      <c r="EX135" s="18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O135" s="1">
        <v>67</v>
      </c>
      <c r="FP135" s="1">
        <v>67</v>
      </c>
      <c r="FQ135" s="1">
        <v>67</v>
      </c>
      <c r="FR135" s="12" t="s">
        <v>743</v>
      </c>
      <c r="FS135" s="12" t="s">
        <v>743</v>
      </c>
      <c r="FT135" s="12" t="s">
        <v>743</v>
      </c>
      <c r="FU135" s="12"/>
      <c r="FV135" s="12" t="s">
        <v>743</v>
      </c>
      <c r="FW135" s="12" t="s">
        <v>743</v>
      </c>
      <c r="FX135" s="12" t="s">
        <v>743</v>
      </c>
      <c r="FY135" s="12" t="s">
        <v>743</v>
      </c>
      <c r="FZ135" s="12" t="s">
        <v>743</v>
      </c>
      <c r="GA135" s="12" t="s">
        <v>743</v>
      </c>
      <c r="GB135" s="12" t="s">
        <v>743</v>
      </c>
      <c r="GE135" s="12" t="s">
        <v>743</v>
      </c>
      <c r="GF135" s="12" t="s">
        <v>743</v>
      </c>
      <c r="GH135" s="12" t="s">
        <v>743</v>
      </c>
    </row>
    <row r="136" spans="1:190" ht="12.75" customHeight="1" x14ac:dyDescent="0.2">
      <c r="A136" s="1" t="s">
        <v>365</v>
      </c>
      <c r="B136" s="1" t="s">
        <v>645</v>
      </c>
      <c r="E136" s="1" t="s">
        <v>129</v>
      </c>
      <c r="F136" s="1">
        <v>2</v>
      </c>
      <c r="G136" s="1">
        <v>2045</v>
      </c>
      <c r="H136" s="1">
        <v>1</v>
      </c>
      <c r="I136" s="1">
        <v>0</v>
      </c>
      <c r="J136" s="1">
        <v>0</v>
      </c>
      <c r="K136" s="18"/>
      <c r="L136" s="18"/>
      <c r="M136" s="18"/>
      <c r="N136" s="18">
        <v>112.213628</v>
      </c>
      <c r="O136" s="18">
        <v>64.169543999999988</v>
      </c>
      <c r="P136" s="18">
        <v>173.32195199999998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57.300575999999992</v>
      </c>
      <c r="X136" s="18">
        <v>38.154863999999996</v>
      </c>
      <c r="Y136" s="18">
        <v>79.059136000000009</v>
      </c>
      <c r="Z136" s="18">
        <v>0</v>
      </c>
      <c r="AA136" s="18">
        <v>0</v>
      </c>
      <c r="AB136" s="18">
        <v>0</v>
      </c>
      <c r="AC136" s="18">
        <v>57.300575999999992</v>
      </c>
      <c r="AD136" s="18">
        <v>38.154863999999996</v>
      </c>
      <c r="AE136" s="18">
        <v>79.059136000000009</v>
      </c>
      <c r="AF136" s="18">
        <v>23.875239999999998</v>
      </c>
      <c r="AG136" s="18">
        <v>0</v>
      </c>
      <c r="AH136" s="18">
        <v>60.814719999999994</v>
      </c>
      <c r="AI136" s="18">
        <v>33.425335999999994</v>
      </c>
      <c r="AJ136" s="18">
        <v>3.4686239999999997</v>
      </c>
      <c r="AK136" s="18">
        <v>79.059136000000009</v>
      </c>
      <c r="AL136" s="18">
        <v>0</v>
      </c>
      <c r="AM136" s="18">
        <v>0</v>
      </c>
      <c r="AN136" s="18">
        <v>0</v>
      </c>
      <c r="AO136" s="18">
        <v>57.300575999999992</v>
      </c>
      <c r="AP136" s="18">
        <v>38.154863999999996</v>
      </c>
      <c r="AQ136" s="18">
        <v>79.059136000000009</v>
      </c>
      <c r="AR136" s="18">
        <v>0</v>
      </c>
      <c r="AS136" s="18">
        <v>0</v>
      </c>
      <c r="AT136" s="18">
        <v>0</v>
      </c>
      <c r="AU136" s="18">
        <v>57.300575999999992</v>
      </c>
      <c r="AV136" s="18">
        <v>38.154863999999996</v>
      </c>
      <c r="AW136" s="18">
        <v>79.059136000000009</v>
      </c>
      <c r="AX136" s="18">
        <v>0</v>
      </c>
      <c r="AY136" s="18">
        <v>0</v>
      </c>
      <c r="AZ136" s="18">
        <v>0</v>
      </c>
      <c r="BA136" s="18">
        <v>57.300575999999992</v>
      </c>
      <c r="BB136" s="18">
        <v>38.154863999999996</v>
      </c>
      <c r="BC136" s="18">
        <v>79.059136000000009</v>
      </c>
      <c r="BD136" s="18">
        <v>0</v>
      </c>
      <c r="BE136" s="18">
        <v>0</v>
      </c>
      <c r="BF136" s="18">
        <v>0</v>
      </c>
      <c r="BG136" s="18">
        <v>57.300575999999992</v>
      </c>
      <c r="BH136" s="18">
        <v>38.154863999999996</v>
      </c>
      <c r="BI136" s="18">
        <v>79.059136000000009</v>
      </c>
      <c r="BJ136" s="18">
        <v>0</v>
      </c>
      <c r="BK136" s="18">
        <v>0</v>
      </c>
      <c r="BL136" s="18">
        <v>0</v>
      </c>
      <c r="BM136" s="18">
        <v>57.300575999999992</v>
      </c>
      <c r="BN136" s="18">
        <v>38.154863999999996</v>
      </c>
      <c r="BO136" s="18">
        <v>79.059136000000009</v>
      </c>
      <c r="BP136" s="18"/>
      <c r="BQ136" s="18"/>
      <c r="BR136" s="18"/>
      <c r="BS136" s="18"/>
      <c r="BT136" s="10">
        <f>Tabelle58971121[[#This Row],[Mindestauslastung durch]]*Tabelle58971121[[#This Row],[installierte Leistung MW durch]]</f>
        <v>0</v>
      </c>
      <c r="BU136" s="10">
        <f>Tabelle58971121[[#This Row],[Mindestauslastung min]]*Tabelle58971121[[#This Row],[installierte Leistung MW min]]</f>
        <v>0</v>
      </c>
      <c r="BV136" s="10">
        <f>Tabelle58971121[[#This Row],[Mindestauslastung max]]*Tabelle58971121[[#This Row],[installierte Leistung MW max]]</f>
        <v>0</v>
      </c>
      <c r="BW136" s="8">
        <v>0</v>
      </c>
      <c r="BX136" s="8">
        <v>0</v>
      </c>
      <c r="BY136" s="8">
        <v>0</v>
      </c>
      <c r="BZ136" s="8"/>
      <c r="CA136" s="8">
        <v>0.47</v>
      </c>
      <c r="CB136" s="8">
        <v>0.37</v>
      </c>
      <c r="CC136" s="8">
        <v>0.56999999999999995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0.1</v>
      </c>
      <c r="CK136" s="8">
        <v>0</v>
      </c>
      <c r="CL136" s="8">
        <v>0.2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/>
      <c r="DC136" s="8"/>
      <c r="DD136" s="8"/>
      <c r="DE136" s="48">
        <f>Tabelle58971121[[#This Row],[Durchschnittsauslastung min]]*Tabelle58971121[[#This Row],[installierte Leistung MW min]]</f>
        <v>0</v>
      </c>
      <c r="DF136" s="48">
        <f>Tabelle58971121[[#This Row],[Durchschnittsauslastung durch]]*Tabelle58971121[[#This Row],[installierte Leistung MW durch]]</f>
        <v>0</v>
      </c>
      <c r="DG136" s="48">
        <f>Tabelle58971121[[#This Row],[Durchschnittsauslastung max]]*Tabelle58971121[[#This Row],[installierte Leistung MW max]]</f>
        <v>0</v>
      </c>
      <c r="DH136" s="87">
        <f>Tabelle58971121[[#This Row],[Maximalauslastung durch]]*Tabelle58971121[[#This Row],[installierte Leistung MW min]]</f>
        <v>217.39679999999998</v>
      </c>
      <c r="DI136" s="48">
        <f>Tabelle58971121[[#This Row],[Maximalauslastung durch]]*Tabelle58971121[[#This Row],[installierte Leistung MW durch]]</f>
        <v>298.9896</v>
      </c>
      <c r="DJ136" s="18">
        <f>Tabelle58971121[[#This Row],[Maximalauslastung max]]*Tabelle58971121[[#This Row],[installierte Leistung MW durch]]</f>
        <v>323.90539999999999</v>
      </c>
      <c r="DK136" s="8">
        <v>0.24</v>
      </c>
      <c r="DL136" s="8">
        <v>0.22</v>
      </c>
      <c r="DM136" s="8">
        <v>0.26</v>
      </c>
      <c r="DN136" s="1">
        <v>1245.79</v>
      </c>
      <c r="DO136" s="1">
        <v>905.81999999999994</v>
      </c>
      <c r="DP136" s="1">
        <v>1585.76</v>
      </c>
      <c r="DQ136" s="18"/>
      <c r="DR136" s="18"/>
      <c r="EL136" s="1">
        <v>365</v>
      </c>
      <c r="EM136" s="1">
        <v>292</v>
      </c>
      <c r="EN136" s="1">
        <v>438</v>
      </c>
      <c r="EO136" s="10"/>
      <c r="EP136" s="10"/>
      <c r="EQ136" s="10"/>
      <c r="ER136" s="1">
        <v>365</v>
      </c>
      <c r="ES136" s="1">
        <v>292</v>
      </c>
      <c r="ET136" s="1">
        <v>438</v>
      </c>
      <c r="EV136" s="18"/>
      <c r="EW136" s="18"/>
      <c r="EX136" s="18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O136" s="1">
        <v>67</v>
      </c>
      <c r="FP136" s="1">
        <v>67</v>
      </c>
      <c r="FQ136" s="1">
        <v>67</v>
      </c>
      <c r="FR136" s="12" t="s">
        <v>743</v>
      </c>
      <c r="FS136" s="12" t="s">
        <v>743</v>
      </c>
      <c r="FT136" s="12" t="s">
        <v>743</v>
      </c>
      <c r="FU136" s="12"/>
      <c r="FV136" s="12" t="s">
        <v>743</v>
      </c>
      <c r="FW136" s="12" t="s">
        <v>743</v>
      </c>
      <c r="FX136" s="12" t="s">
        <v>743</v>
      </c>
      <c r="FY136" s="12" t="s">
        <v>743</v>
      </c>
      <c r="FZ136" s="12" t="s">
        <v>743</v>
      </c>
      <c r="GA136" s="12" t="s">
        <v>743</v>
      </c>
      <c r="GB136" s="12" t="s">
        <v>743</v>
      </c>
      <c r="GE136" s="12" t="s">
        <v>743</v>
      </c>
      <c r="GF136" s="12" t="s">
        <v>743</v>
      </c>
      <c r="GH136" s="12" t="s">
        <v>743</v>
      </c>
    </row>
    <row r="137" spans="1:190" ht="12.75" customHeight="1" x14ac:dyDescent="0.2">
      <c r="A137" s="1" t="s">
        <v>365</v>
      </c>
      <c r="B137" s="1" t="s">
        <v>645</v>
      </c>
      <c r="E137" s="1" t="s">
        <v>129</v>
      </c>
      <c r="F137" s="1">
        <v>2</v>
      </c>
      <c r="G137" s="1">
        <v>2050</v>
      </c>
      <c r="H137" s="1">
        <v>1</v>
      </c>
      <c r="I137" s="1">
        <v>0</v>
      </c>
      <c r="J137" s="1">
        <v>0</v>
      </c>
      <c r="K137" s="18"/>
      <c r="L137" s="18"/>
      <c r="M137" s="18"/>
      <c r="N137" s="18">
        <v>114.97459600000001</v>
      </c>
      <c r="O137" s="18">
        <v>65.748407999999998</v>
      </c>
      <c r="P137" s="18">
        <v>177.58646399999998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58.71043199999999</v>
      </c>
      <c r="X137" s="18">
        <v>39.093647999999995</v>
      </c>
      <c r="Y137" s="18">
        <v>81.004352000000011</v>
      </c>
      <c r="Z137" s="18">
        <v>0</v>
      </c>
      <c r="AA137" s="18">
        <v>0</v>
      </c>
      <c r="AB137" s="18">
        <v>0</v>
      </c>
      <c r="AC137" s="18">
        <v>58.71043199999999</v>
      </c>
      <c r="AD137" s="18">
        <v>39.093647999999995</v>
      </c>
      <c r="AE137" s="18">
        <v>81.004352000000011</v>
      </c>
      <c r="AF137" s="18">
        <v>24.462679999999999</v>
      </c>
      <c r="AG137" s="18">
        <v>0</v>
      </c>
      <c r="AH137" s="18">
        <v>62.311039999999991</v>
      </c>
      <c r="AI137" s="18">
        <v>34.247751999999998</v>
      </c>
      <c r="AJ137" s="18">
        <v>3.5539679999999998</v>
      </c>
      <c r="AK137" s="18">
        <v>81.004352000000011</v>
      </c>
      <c r="AL137" s="18">
        <v>0</v>
      </c>
      <c r="AM137" s="18">
        <v>0</v>
      </c>
      <c r="AN137" s="18">
        <v>0</v>
      </c>
      <c r="AO137" s="18">
        <v>58.71043199999999</v>
      </c>
      <c r="AP137" s="18">
        <v>39.093647999999995</v>
      </c>
      <c r="AQ137" s="18">
        <v>81.004352000000011</v>
      </c>
      <c r="AR137" s="18">
        <v>0</v>
      </c>
      <c r="AS137" s="18">
        <v>0</v>
      </c>
      <c r="AT137" s="18">
        <v>0</v>
      </c>
      <c r="AU137" s="18">
        <v>58.71043199999999</v>
      </c>
      <c r="AV137" s="18">
        <v>39.093647999999995</v>
      </c>
      <c r="AW137" s="18">
        <v>81.004352000000011</v>
      </c>
      <c r="AX137" s="18">
        <v>0</v>
      </c>
      <c r="AY137" s="18">
        <v>0</v>
      </c>
      <c r="AZ137" s="18">
        <v>0</v>
      </c>
      <c r="BA137" s="18">
        <v>58.71043199999999</v>
      </c>
      <c r="BB137" s="18">
        <v>39.093647999999995</v>
      </c>
      <c r="BC137" s="18">
        <v>81.004352000000011</v>
      </c>
      <c r="BD137" s="18">
        <v>0</v>
      </c>
      <c r="BE137" s="18">
        <v>0</v>
      </c>
      <c r="BF137" s="18">
        <v>0</v>
      </c>
      <c r="BG137" s="18">
        <v>58.71043199999999</v>
      </c>
      <c r="BH137" s="18">
        <v>39.093647999999995</v>
      </c>
      <c r="BI137" s="18">
        <v>81.004352000000011</v>
      </c>
      <c r="BJ137" s="18">
        <v>0</v>
      </c>
      <c r="BK137" s="18">
        <v>0</v>
      </c>
      <c r="BL137" s="18">
        <v>0</v>
      </c>
      <c r="BM137" s="18">
        <v>58.71043199999999</v>
      </c>
      <c r="BN137" s="18">
        <v>39.093647999999995</v>
      </c>
      <c r="BO137" s="18">
        <v>81.004352000000011</v>
      </c>
      <c r="BP137" s="18"/>
      <c r="BQ137" s="18"/>
      <c r="BR137" s="18"/>
      <c r="BS137" s="18"/>
      <c r="BT137" s="10">
        <f>Tabelle58971121[[#This Row],[Mindestauslastung durch]]*Tabelle58971121[[#This Row],[installierte Leistung MW durch]]</f>
        <v>0</v>
      </c>
      <c r="BU137" s="10">
        <f>Tabelle58971121[[#This Row],[Mindestauslastung min]]*Tabelle58971121[[#This Row],[installierte Leistung MW min]]</f>
        <v>0</v>
      </c>
      <c r="BV137" s="10">
        <f>Tabelle58971121[[#This Row],[Mindestauslastung max]]*Tabelle58971121[[#This Row],[installierte Leistung MW max]]</f>
        <v>0</v>
      </c>
      <c r="BW137" s="8">
        <v>0</v>
      </c>
      <c r="BX137" s="8">
        <v>0</v>
      </c>
      <c r="BY137" s="8">
        <v>0</v>
      </c>
      <c r="BZ137" s="8"/>
      <c r="CA137" s="8">
        <v>0.47</v>
      </c>
      <c r="CB137" s="8">
        <v>0.37</v>
      </c>
      <c r="CC137" s="8">
        <v>0.56999999999999995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0.1</v>
      </c>
      <c r="CK137" s="8">
        <v>0</v>
      </c>
      <c r="CL137" s="8">
        <v>0.2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/>
      <c r="DC137" s="8"/>
      <c r="DD137" s="8"/>
      <c r="DE137" s="48">
        <f>Tabelle58971121[[#This Row],[Durchschnittsauslastung min]]*Tabelle58971121[[#This Row],[installierte Leistung MW min]]</f>
        <v>0</v>
      </c>
      <c r="DF137" s="48">
        <f>Tabelle58971121[[#This Row],[Durchschnittsauslastung durch]]*Tabelle58971121[[#This Row],[installierte Leistung MW durch]]</f>
        <v>0</v>
      </c>
      <c r="DG137" s="48">
        <f>Tabelle58971121[[#This Row],[Durchschnittsauslastung max]]*Tabelle58971121[[#This Row],[installierte Leistung MW max]]</f>
        <v>0</v>
      </c>
      <c r="DH137" s="87">
        <f>Tabelle58971121[[#This Row],[Maximalauslastung durch]]*Tabelle58971121[[#This Row],[installierte Leistung MW min]]</f>
        <v>224.28</v>
      </c>
      <c r="DI137" s="48">
        <f>Tabelle58971121[[#This Row],[Maximalauslastung durch]]*Tabelle58971121[[#This Row],[installierte Leistung MW durch]]</f>
        <v>308.40719999999999</v>
      </c>
      <c r="DJ137" s="18">
        <f>Tabelle58971121[[#This Row],[Maximalauslastung max]]*Tabelle58971121[[#This Row],[installierte Leistung MW durch]]</f>
        <v>334.1078</v>
      </c>
      <c r="DK137" s="8">
        <v>0.24</v>
      </c>
      <c r="DL137" s="8">
        <v>0.22</v>
      </c>
      <c r="DM137" s="8">
        <v>0.26</v>
      </c>
      <c r="DN137" s="1">
        <v>1285.03</v>
      </c>
      <c r="DO137" s="1">
        <v>934.5</v>
      </c>
      <c r="DP137" s="1">
        <v>1635.56</v>
      </c>
      <c r="DQ137" s="18"/>
      <c r="DR137" s="18"/>
      <c r="EL137" s="1">
        <v>365</v>
      </c>
      <c r="EM137" s="1">
        <v>292</v>
      </c>
      <c r="EN137" s="1">
        <v>438</v>
      </c>
      <c r="EO137" s="10"/>
      <c r="EP137" s="10"/>
      <c r="EQ137" s="10"/>
      <c r="ER137" s="1">
        <v>365</v>
      </c>
      <c r="ES137" s="1">
        <v>292</v>
      </c>
      <c r="ET137" s="1">
        <v>438</v>
      </c>
      <c r="EV137" s="18"/>
      <c r="EW137" s="18"/>
      <c r="EX137" s="18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O137" s="1">
        <v>67</v>
      </c>
      <c r="FP137" s="1">
        <v>67</v>
      </c>
      <c r="FQ137" s="1">
        <v>67</v>
      </c>
      <c r="FR137" s="12" t="s">
        <v>743</v>
      </c>
      <c r="FS137" s="12" t="s">
        <v>743</v>
      </c>
      <c r="FT137" s="12" t="s">
        <v>743</v>
      </c>
      <c r="FU137" s="12"/>
      <c r="FV137" s="12" t="s">
        <v>743</v>
      </c>
      <c r="FW137" s="12" t="s">
        <v>743</v>
      </c>
      <c r="FX137" s="12" t="s">
        <v>743</v>
      </c>
      <c r="FY137" s="12" t="s">
        <v>743</v>
      </c>
      <c r="FZ137" s="12" t="s">
        <v>743</v>
      </c>
      <c r="GA137" s="12" t="s">
        <v>743</v>
      </c>
      <c r="GB137" s="12" t="s">
        <v>743</v>
      </c>
      <c r="GE137" s="12" t="s">
        <v>743</v>
      </c>
      <c r="GF137" s="12" t="s">
        <v>743</v>
      </c>
      <c r="GH137" s="12" t="s">
        <v>743</v>
      </c>
    </row>
    <row r="138" spans="1:190" ht="12.75" customHeight="1" x14ac:dyDescent="0.2">
      <c r="A138" s="1" t="s">
        <v>209</v>
      </c>
      <c r="B138" s="1" t="s">
        <v>686</v>
      </c>
      <c r="E138" s="1" t="s">
        <v>129</v>
      </c>
      <c r="F138" s="1">
        <v>2</v>
      </c>
      <c r="G138" s="1">
        <v>2015</v>
      </c>
      <c r="H138" s="1">
        <v>1</v>
      </c>
      <c r="I138" s="1">
        <v>0</v>
      </c>
      <c r="J138" s="1">
        <v>0</v>
      </c>
      <c r="K138" s="18"/>
      <c r="L138" s="18"/>
      <c r="M138" s="18"/>
      <c r="N138" s="18">
        <v>325.95999999999998</v>
      </c>
      <c r="O138" s="18">
        <v>266.8</v>
      </c>
      <c r="P138" s="18">
        <v>385.12</v>
      </c>
      <c r="Q138" s="18">
        <v>236.04</v>
      </c>
      <c r="R138" s="18">
        <v>193.2</v>
      </c>
      <c r="S138" s="18">
        <v>278.88</v>
      </c>
      <c r="T138" s="18">
        <v>325.95999999999998</v>
      </c>
      <c r="U138" s="18">
        <v>266.8</v>
      </c>
      <c r="V138" s="18">
        <v>385.12</v>
      </c>
      <c r="W138" s="18">
        <v>236.04</v>
      </c>
      <c r="X138" s="18">
        <v>193.2</v>
      </c>
      <c r="Y138" s="18">
        <v>278.88</v>
      </c>
      <c r="Z138" s="18">
        <v>432.74</v>
      </c>
      <c r="AA138" s="18">
        <v>354.2</v>
      </c>
      <c r="AB138" s="18">
        <v>511.28</v>
      </c>
      <c r="AC138" s="18">
        <v>129.26</v>
      </c>
      <c r="AD138" s="18">
        <v>105.8</v>
      </c>
      <c r="AE138" s="18">
        <v>152.72</v>
      </c>
      <c r="AF138" s="18">
        <v>269.76</v>
      </c>
      <c r="AG138" s="18">
        <v>220.8</v>
      </c>
      <c r="AH138" s="18">
        <v>318.72000000000003</v>
      </c>
      <c r="AI138" s="18">
        <v>292.24</v>
      </c>
      <c r="AJ138" s="18">
        <v>239.2</v>
      </c>
      <c r="AK138" s="18">
        <v>345.28</v>
      </c>
      <c r="AL138" s="18">
        <v>269.76</v>
      </c>
      <c r="AM138" s="18">
        <v>220.8</v>
      </c>
      <c r="AN138" s="18">
        <v>318.72000000000003</v>
      </c>
      <c r="AO138" s="18">
        <v>292.24</v>
      </c>
      <c r="AP138" s="18">
        <v>239.2</v>
      </c>
      <c r="AQ138" s="18">
        <v>345.28</v>
      </c>
      <c r="AR138" s="18">
        <v>359.68</v>
      </c>
      <c r="AS138" s="18">
        <v>294.39999999999998</v>
      </c>
      <c r="AT138" s="18">
        <v>424.96</v>
      </c>
      <c r="AU138" s="18">
        <v>202.32</v>
      </c>
      <c r="AV138" s="18">
        <v>165.6</v>
      </c>
      <c r="AW138" s="18">
        <v>239.04</v>
      </c>
      <c r="AX138" s="18">
        <v>325.95999999999998</v>
      </c>
      <c r="AY138" s="18">
        <v>266.8</v>
      </c>
      <c r="AZ138" s="18">
        <v>385.12</v>
      </c>
      <c r="BA138" s="18">
        <v>236.04</v>
      </c>
      <c r="BB138" s="18">
        <v>193.2</v>
      </c>
      <c r="BC138" s="18">
        <v>278.88</v>
      </c>
      <c r="BD138" s="18">
        <v>213.56</v>
      </c>
      <c r="BE138" s="18">
        <v>174.8</v>
      </c>
      <c r="BF138" s="18">
        <v>252.32</v>
      </c>
      <c r="BG138" s="18">
        <v>348.44</v>
      </c>
      <c r="BH138" s="18">
        <v>285.2</v>
      </c>
      <c r="BI138" s="18">
        <v>411.68</v>
      </c>
      <c r="BJ138" s="18">
        <v>281</v>
      </c>
      <c r="BK138" s="18">
        <v>230</v>
      </c>
      <c r="BL138" s="18">
        <v>332</v>
      </c>
      <c r="BM138" s="18">
        <v>281</v>
      </c>
      <c r="BN138" s="18">
        <v>230</v>
      </c>
      <c r="BO138" s="18">
        <v>332</v>
      </c>
      <c r="BP138" s="18"/>
      <c r="BQ138" s="18"/>
      <c r="BR138" s="18"/>
      <c r="BS138" s="18"/>
      <c r="BT138" s="10">
        <f>Tabelle58971121[[#This Row],[Mindestauslastung durch]]*Tabelle58971121[[#This Row],[installierte Leistung MW durch]]</f>
        <v>0</v>
      </c>
      <c r="BU138" s="10">
        <f>Tabelle58971121[[#This Row],[Mindestauslastung min]]*Tabelle58971121[[#This Row],[installierte Leistung MW min]]</f>
        <v>0</v>
      </c>
      <c r="BV138" s="10">
        <f>Tabelle58971121[[#This Row],[Mindestauslastung max]]*Tabelle58971121[[#This Row],[installierte Leistung MW max]]</f>
        <v>0</v>
      </c>
      <c r="BW138" s="8">
        <v>0</v>
      </c>
      <c r="BX138" s="8">
        <v>0</v>
      </c>
      <c r="BY138" s="8">
        <v>0</v>
      </c>
      <c r="BZ138" s="8"/>
      <c r="CA138" s="8">
        <v>0.57999999999999996</v>
      </c>
      <c r="CB138" s="8">
        <v>0.57999999999999996</v>
      </c>
      <c r="CC138" s="8">
        <v>0.57999999999999996</v>
      </c>
      <c r="CD138" s="8">
        <v>0.57999999999999996</v>
      </c>
      <c r="CE138" s="8">
        <v>0.57999999999999996</v>
      </c>
      <c r="CF138" s="8">
        <v>0.57999999999999996</v>
      </c>
      <c r="CG138" s="8">
        <v>0.77</v>
      </c>
      <c r="CH138" s="8">
        <v>0.77</v>
      </c>
      <c r="CI138" s="8">
        <v>0.77</v>
      </c>
      <c r="CJ138" s="8">
        <v>0.48</v>
      </c>
      <c r="CK138" s="8">
        <v>0.48</v>
      </c>
      <c r="CL138" s="8">
        <v>0.48</v>
      </c>
      <c r="CM138" s="8">
        <v>0.48</v>
      </c>
      <c r="CN138" s="8">
        <v>0.48</v>
      </c>
      <c r="CO138" s="8">
        <v>0.48</v>
      </c>
      <c r="CP138" s="8">
        <v>0.64</v>
      </c>
      <c r="CQ138" s="8">
        <v>0.64</v>
      </c>
      <c r="CR138" s="8">
        <v>0.64</v>
      </c>
      <c r="CS138" s="8">
        <v>0.57999999999999996</v>
      </c>
      <c r="CT138" s="8">
        <v>0.57999999999999996</v>
      </c>
      <c r="CU138" s="8">
        <v>0.57999999999999996</v>
      </c>
      <c r="CV138" s="8">
        <v>0.38</v>
      </c>
      <c r="CW138" s="8">
        <v>0.38</v>
      </c>
      <c r="CX138" s="8">
        <v>0.38</v>
      </c>
      <c r="CY138" s="8">
        <v>0.5</v>
      </c>
      <c r="CZ138" s="8">
        <v>0.5</v>
      </c>
      <c r="DA138" s="8">
        <v>0.5</v>
      </c>
      <c r="DB138" s="8"/>
      <c r="DC138" s="8"/>
      <c r="DD138" s="8"/>
      <c r="DE138" s="48">
        <f>Tabelle58971121[[#This Row],[Durchschnittsauslastung min]]*Tabelle58971121[[#This Row],[installierte Leistung MW min]]</f>
        <v>0</v>
      </c>
      <c r="DF138" s="48">
        <f>Tabelle58971121[[#This Row],[Durchschnittsauslastung durch]]*Tabelle58971121[[#This Row],[installierte Leistung MW durch]]</f>
        <v>0</v>
      </c>
      <c r="DG138" s="48">
        <f>Tabelle58971121[[#This Row],[Durchschnittsauslastung max]]*Tabelle58971121[[#This Row],[installierte Leistung MW max]]</f>
        <v>0</v>
      </c>
      <c r="DH138" s="87">
        <f>Tabelle58971121[[#This Row],[Maximalauslastung durch]]*Tabelle58971121[[#This Row],[installierte Leistung MW min]]</f>
        <v>460</v>
      </c>
      <c r="DI138" s="48">
        <f>Tabelle58971121[[#This Row],[Maximalauslastung durch]]*Tabelle58971121[[#This Row],[installierte Leistung MW durch]]</f>
        <v>562</v>
      </c>
      <c r="DJ138" s="18">
        <f>Tabelle58971121[[#This Row],[Maximalauslastung max]]*Tabelle58971121[[#This Row],[installierte Leistung MW durch]]</f>
        <v>562</v>
      </c>
      <c r="DK138" s="8">
        <v>1</v>
      </c>
      <c r="DL138" s="8">
        <v>1</v>
      </c>
      <c r="DM138" s="8">
        <v>1</v>
      </c>
      <c r="DN138" s="1">
        <v>562</v>
      </c>
      <c r="DO138" s="1">
        <v>460</v>
      </c>
      <c r="DP138" s="1">
        <v>664</v>
      </c>
      <c r="DQ138" s="18"/>
      <c r="DR138" s="18"/>
      <c r="DW138" s="1">
        <v>2.9874999999999998</v>
      </c>
      <c r="DX138" s="1">
        <v>1.2</v>
      </c>
      <c r="DY138" s="1">
        <v>5.8</v>
      </c>
      <c r="EL138" s="1">
        <v>365</v>
      </c>
      <c r="EM138" s="1">
        <v>292</v>
      </c>
      <c r="EN138" s="1">
        <v>438</v>
      </c>
      <c r="EO138" s="10"/>
      <c r="EP138" s="10"/>
      <c r="EQ138" s="10"/>
      <c r="ER138" s="1">
        <v>365</v>
      </c>
      <c r="ES138" s="1">
        <v>292</v>
      </c>
      <c r="ET138" s="1">
        <v>438</v>
      </c>
      <c r="EV138" s="18"/>
      <c r="EW138" s="18"/>
      <c r="EX138" s="18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O138" s="1">
        <v>67</v>
      </c>
      <c r="FP138" s="1">
        <v>67</v>
      </c>
      <c r="FQ138" s="1">
        <v>67</v>
      </c>
      <c r="FR138" s="12" t="s">
        <v>743</v>
      </c>
      <c r="FS138" s="12" t="s">
        <v>743</v>
      </c>
      <c r="FT138" s="12" t="s">
        <v>743</v>
      </c>
      <c r="FU138" s="12"/>
      <c r="FV138" s="12" t="s">
        <v>743</v>
      </c>
      <c r="FW138" s="12" t="s">
        <v>743</v>
      </c>
      <c r="FX138" s="12" t="s">
        <v>743</v>
      </c>
      <c r="FY138" s="12" t="s">
        <v>743</v>
      </c>
      <c r="FZ138" s="12" t="s">
        <v>743</v>
      </c>
      <c r="GA138" s="12" t="s">
        <v>743</v>
      </c>
      <c r="GB138" s="12" t="s">
        <v>743</v>
      </c>
      <c r="GE138" s="12" t="s">
        <v>743</v>
      </c>
      <c r="GF138" s="12" t="s">
        <v>743</v>
      </c>
      <c r="GH138" s="12" t="s">
        <v>743</v>
      </c>
    </row>
    <row r="139" spans="1:190" ht="12.75" customHeight="1" x14ac:dyDescent="0.2">
      <c r="A139" s="1" t="s">
        <v>209</v>
      </c>
      <c r="B139" s="1" t="s">
        <v>686</v>
      </c>
      <c r="E139" s="1" t="s">
        <v>129</v>
      </c>
      <c r="F139" s="1">
        <v>2</v>
      </c>
      <c r="G139" s="1">
        <v>2020</v>
      </c>
      <c r="H139" s="1">
        <v>1</v>
      </c>
      <c r="I139" s="1">
        <v>0</v>
      </c>
      <c r="J139" s="1">
        <v>0</v>
      </c>
      <c r="K139" s="18"/>
      <c r="L139" s="18"/>
      <c r="M139" s="18"/>
      <c r="N139" s="18">
        <v>322.7004</v>
      </c>
      <c r="O139" s="18">
        <v>264.13200000000001</v>
      </c>
      <c r="P139" s="18">
        <v>381.2688</v>
      </c>
      <c r="Q139" s="18">
        <v>233.67959999999999</v>
      </c>
      <c r="R139" s="18">
        <v>191.268</v>
      </c>
      <c r="S139" s="18">
        <v>276.09120000000001</v>
      </c>
      <c r="T139" s="18">
        <v>322.7004</v>
      </c>
      <c r="U139" s="18">
        <v>264.13200000000001</v>
      </c>
      <c r="V139" s="18">
        <v>381.2688</v>
      </c>
      <c r="W139" s="18">
        <v>233.67959999999999</v>
      </c>
      <c r="X139" s="18">
        <v>191.268</v>
      </c>
      <c r="Y139" s="18">
        <v>276.09120000000001</v>
      </c>
      <c r="Z139" s="18">
        <v>428.4126</v>
      </c>
      <c r="AA139" s="18">
        <v>350.65799999999996</v>
      </c>
      <c r="AB139" s="18">
        <v>506.16719999999998</v>
      </c>
      <c r="AC139" s="18">
        <v>127.96739999999998</v>
      </c>
      <c r="AD139" s="18">
        <v>104.74199999999999</v>
      </c>
      <c r="AE139" s="18">
        <v>151.19280000000001</v>
      </c>
      <c r="AF139" s="18">
        <v>267.06239999999997</v>
      </c>
      <c r="AG139" s="18">
        <v>218.59200000000001</v>
      </c>
      <c r="AH139" s="18">
        <v>315.53280000000001</v>
      </c>
      <c r="AI139" s="18">
        <v>289.31760000000003</v>
      </c>
      <c r="AJ139" s="18">
        <v>236.80799999999999</v>
      </c>
      <c r="AK139" s="18">
        <v>341.82719999999995</v>
      </c>
      <c r="AL139" s="18">
        <v>267.06239999999997</v>
      </c>
      <c r="AM139" s="18">
        <v>218.59200000000001</v>
      </c>
      <c r="AN139" s="18">
        <v>315.53280000000001</v>
      </c>
      <c r="AO139" s="18">
        <v>289.31760000000003</v>
      </c>
      <c r="AP139" s="18">
        <v>236.80799999999999</v>
      </c>
      <c r="AQ139" s="18">
        <v>341.82719999999995</v>
      </c>
      <c r="AR139" s="18">
        <v>356.08319999999998</v>
      </c>
      <c r="AS139" s="18">
        <v>291.45599999999996</v>
      </c>
      <c r="AT139" s="18">
        <v>420.71039999999999</v>
      </c>
      <c r="AU139" s="18">
        <v>200.29679999999999</v>
      </c>
      <c r="AV139" s="18">
        <v>163.94399999999999</v>
      </c>
      <c r="AW139" s="18">
        <v>236.64959999999999</v>
      </c>
      <c r="AX139" s="18">
        <v>322.7004</v>
      </c>
      <c r="AY139" s="18">
        <v>264.13200000000001</v>
      </c>
      <c r="AZ139" s="18">
        <v>381.2688</v>
      </c>
      <c r="BA139" s="18">
        <v>233.67959999999999</v>
      </c>
      <c r="BB139" s="18">
        <v>191.268</v>
      </c>
      <c r="BC139" s="18">
        <v>276.09120000000001</v>
      </c>
      <c r="BD139" s="18">
        <v>211.42439999999999</v>
      </c>
      <c r="BE139" s="18">
        <v>173.05200000000002</v>
      </c>
      <c r="BF139" s="18">
        <v>249.79679999999999</v>
      </c>
      <c r="BG139" s="18">
        <v>344.9556</v>
      </c>
      <c r="BH139" s="18">
        <v>282.34800000000001</v>
      </c>
      <c r="BI139" s="18">
        <v>407.56319999999999</v>
      </c>
      <c r="BJ139" s="18">
        <v>278.19</v>
      </c>
      <c r="BK139" s="18">
        <v>227.7</v>
      </c>
      <c r="BL139" s="18">
        <v>328.68</v>
      </c>
      <c r="BM139" s="18">
        <v>278.19</v>
      </c>
      <c r="BN139" s="18">
        <v>227.7</v>
      </c>
      <c r="BO139" s="18">
        <v>328.68</v>
      </c>
      <c r="BP139" s="18"/>
      <c r="BQ139" s="18"/>
      <c r="BR139" s="18"/>
      <c r="BS139" s="18"/>
      <c r="BT139" s="10">
        <f>Tabelle58971121[[#This Row],[Mindestauslastung durch]]*Tabelle58971121[[#This Row],[installierte Leistung MW durch]]</f>
        <v>0</v>
      </c>
      <c r="BU139" s="10">
        <f>Tabelle58971121[[#This Row],[Mindestauslastung min]]*Tabelle58971121[[#This Row],[installierte Leistung MW min]]</f>
        <v>0</v>
      </c>
      <c r="BV139" s="10">
        <f>Tabelle58971121[[#This Row],[Mindestauslastung max]]*Tabelle58971121[[#This Row],[installierte Leistung MW max]]</f>
        <v>0</v>
      </c>
      <c r="BW139" s="8">
        <v>0</v>
      </c>
      <c r="BX139" s="8">
        <v>0</v>
      </c>
      <c r="BY139" s="8">
        <v>0</v>
      </c>
      <c r="BZ139" s="8"/>
      <c r="CA139" s="8">
        <v>0.57999999999999996</v>
      </c>
      <c r="CB139" s="8">
        <v>0.57999999999999996</v>
      </c>
      <c r="CC139" s="8">
        <v>0.57999999999999996</v>
      </c>
      <c r="CD139" s="8">
        <v>0.57999999999999996</v>
      </c>
      <c r="CE139" s="8">
        <v>0.57999999999999996</v>
      </c>
      <c r="CF139" s="8">
        <v>0.57999999999999996</v>
      </c>
      <c r="CG139" s="8">
        <v>0.77</v>
      </c>
      <c r="CH139" s="8">
        <v>0.77</v>
      </c>
      <c r="CI139" s="8">
        <v>0.77</v>
      </c>
      <c r="CJ139" s="8">
        <v>0.48</v>
      </c>
      <c r="CK139" s="8">
        <v>0.48</v>
      </c>
      <c r="CL139" s="8">
        <v>0.48</v>
      </c>
      <c r="CM139" s="8">
        <v>0.48</v>
      </c>
      <c r="CN139" s="8">
        <v>0.48</v>
      </c>
      <c r="CO139" s="8">
        <v>0.48</v>
      </c>
      <c r="CP139" s="8">
        <v>0.64</v>
      </c>
      <c r="CQ139" s="8">
        <v>0.64</v>
      </c>
      <c r="CR139" s="8">
        <v>0.64</v>
      </c>
      <c r="CS139" s="8">
        <v>0.57999999999999996</v>
      </c>
      <c r="CT139" s="8">
        <v>0.57999999999999996</v>
      </c>
      <c r="CU139" s="8">
        <v>0.57999999999999996</v>
      </c>
      <c r="CV139" s="8">
        <v>0.38</v>
      </c>
      <c r="CW139" s="8">
        <v>0.38</v>
      </c>
      <c r="CX139" s="8">
        <v>0.38</v>
      </c>
      <c r="CY139" s="8">
        <v>0.5</v>
      </c>
      <c r="CZ139" s="8">
        <v>0.5</v>
      </c>
      <c r="DA139" s="8">
        <v>0.5</v>
      </c>
      <c r="DB139" s="8"/>
      <c r="DC139" s="8"/>
      <c r="DD139" s="8"/>
      <c r="DE139" s="48">
        <f>Tabelle58971121[[#This Row],[Durchschnittsauslastung min]]*Tabelle58971121[[#This Row],[installierte Leistung MW min]]</f>
        <v>0</v>
      </c>
      <c r="DF139" s="48">
        <f>Tabelle58971121[[#This Row],[Durchschnittsauslastung durch]]*Tabelle58971121[[#This Row],[installierte Leistung MW durch]]</f>
        <v>0</v>
      </c>
      <c r="DG139" s="48">
        <f>Tabelle58971121[[#This Row],[Durchschnittsauslastung max]]*Tabelle58971121[[#This Row],[installierte Leistung MW max]]</f>
        <v>0</v>
      </c>
      <c r="DH139" s="87">
        <f>Tabelle58971121[[#This Row],[Maximalauslastung durch]]*Tabelle58971121[[#This Row],[installierte Leistung MW min]]</f>
        <v>455.4</v>
      </c>
      <c r="DI139" s="48">
        <f>Tabelle58971121[[#This Row],[Maximalauslastung durch]]*Tabelle58971121[[#This Row],[installierte Leistung MW durch]]</f>
        <v>556.38</v>
      </c>
      <c r="DJ139" s="18">
        <f>Tabelle58971121[[#This Row],[Maximalauslastung max]]*Tabelle58971121[[#This Row],[installierte Leistung MW durch]]</f>
        <v>556.38</v>
      </c>
      <c r="DK139" s="8">
        <v>1</v>
      </c>
      <c r="DL139" s="8">
        <v>1</v>
      </c>
      <c r="DM139" s="8">
        <v>1</v>
      </c>
      <c r="DN139" s="1">
        <v>556.38</v>
      </c>
      <c r="DO139" s="1">
        <v>455.4</v>
      </c>
      <c r="DP139" s="1">
        <v>657.36</v>
      </c>
      <c r="DQ139" s="18"/>
      <c r="DR139" s="18"/>
      <c r="DW139" s="1">
        <v>2.9874999999999998</v>
      </c>
      <c r="DX139" s="1">
        <v>1.2</v>
      </c>
      <c r="DY139" s="1">
        <v>5.8</v>
      </c>
      <c r="EL139" s="1">
        <v>365</v>
      </c>
      <c r="EM139" s="1">
        <v>292</v>
      </c>
      <c r="EN139" s="1">
        <v>438</v>
      </c>
      <c r="EO139" s="10"/>
      <c r="EP139" s="10"/>
      <c r="EQ139" s="10"/>
      <c r="ER139" s="1">
        <v>365</v>
      </c>
      <c r="ES139" s="1">
        <v>292</v>
      </c>
      <c r="ET139" s="1">
        <v>438</v>
      </c>
      <c r="EV139" s="18"/>
      <c r="EW139" s="18"/>
      <c r="EX139" s="18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O139" s="1">
        <v>67</v>
      </c>
      <c r="FP139" s="1">
        <v>67</v>
      </c>
      <c r="FQ139" s="1">
        <v>67</v>
      </c>
      <c r="FR139" s="12" t="s">
        <v>743</v>
      </c>
      <c r="FS139" s="12" t="s">
        <v>743</v>
      </c>
      <c r="FT139" s="12" t="s">
        <v>743</v>
      </c>
      <c r="FU139" s="12"/>
      <c r="FV139" s="12" t="s">
        <v>743</v>
      </c>
      <c r="FW139" s="12" t="s">
        <v>743</v>
      </c>
      <c r="FX139" s="12" t="s">
        <v>743</v>
      </c>
      <c r="FY139" s="12" t="s">
        <v>743</v>
      </c>
      <c r="FZ139" s="12" t="s">
        <v>743</v>
      </c>
      <c r="GA139" s="12" t="s">
        <v>743</v>
      </c>
      <c r="GB139" s="12" t="s">
        <v>743</v>
      </c>
      <c r="GE139" s="12" t="s">
        <v>743</v>
      </c>
      <c r="GF139" s="12" t="s">
        <v>743</v>
      </c>
      <c r="GH139" s="12" t="s">
        <v>743</v>
      </c>
    </row>
    <row r="140" spans="1:190" ht="12.75" customHeight="1" x14ac:dyDescent="0.2">
      <c r="A140" s="1" t="s">
        <v>209</v>
      </c>
      <c r="B140" s="1" t="s">
        <v>686</v>
      </c>
      <c r="E140" s="1" t="s">
        <v>129</v>
      </c>
      <c r="F140" s="1">
        <v>2</v>
      </c>
      <c r="G140" s="1">
        <v>2025</v>
      </c>
      <c r="H140" s="1">
        <v>1</v>
      </c>
      <c r="I140" s="1">
        <v>0</v>
      </c>
      <c r="J140" s="1">
        <v>0</v>
      </c>
      <c r="K140" s="18"/>
      <c r="L140" s="18"/>
      <c r="M140" s="18"/>
      <c r="N140" s="18">
        <v>319.44079999999997</v>
      </c>
      <c r="O140" s="18">
        <v>261.464</v>
      </c>
      <c r="P140" s="18">
        <v>377.41759999999999</v>
      </c>
      <c r="Q140" s="18">
        <v>231.3192</v>
      </c>
      <c r="R140" s="18">
        <v>189.33599999999998</v>
      </c>
      <c r="S140" s="18">
        <v>273.30239999999998</v>
      </c>
      <c r="T140" s="18">
        <v>319.44079999999997</v>
      </c>
      <c r="U140" s="18">
        <v>261.464</v>
      </c>
      <c r="V140" s="18">
        <v>377.41759999999999</v>
      </c>
      <c r="W140" s="18">
        <v>231.3192</v>
      </c>
      <c r="X140" s="18">
        <v>189.33599999999998</v>
      </c>
      <c r="Y140" s="18">
        <v>273.30239999999998</v>
      </c>
      <c r="Z140" s="18">
        <v>424.08519999999999</v>
      </c>
      <c r="AA140" s="18">
        <v>347.11599999999999</v>
      </c>
      <c r="AB140" s="18">
        <v>501.05439999999999</v>
      </c>
      <c r="AC140" s="18">
        <v>126.67479999999999</v>
      </c>
      <c r="AD140" s="18">
        <v>103.684</v>
      </c>
      <c r="AE140" s="18">
        <v>149.66559999999998</v>
      </c>
      <c r="AF140" s="18">
        <v>264.3648</v>
      </c>
      <c r="AG140" s="18">
        <v>216.38400000000001</v>
      </c>
      <c r="AH140" s="18">
        <v>312.34560000000005</v>
      </c>
      <c r="AI140" s="18">
        <v>286.39519999999999</v>
      </c>
      <c r="AJ140" s="18">
        <v>234.416</v>
      </c>
      <c r="AK140" s="18">
        <v>338.37439999999998</v>
      </c>
      <c r="AL140" s="18">
        <v>264.3648</v>
      </c>
      <c r="AM140" s="18">
        <v>216.38400000000001</v>
      </c>
      <c r="AN140" s="18">
        <v>312.34560000000005</v>
      </c>
      <c r="AO140" s="18">
        <v>286.39519999999999</v>
      </c>
      <c r="AP140" s="18">
        <v>234.416</v>
      </c>
      <c r="AQ140" s="18">
        <v>338.37439999999998</v>
      </c>
      <c r="AR140" s="18">
        <v>352.4864</v>
      </c>
      <c r="AS140" s="18">
        <v>288.512</v>
      </c>
      <c r="AT140" s="18">
        <v>416.46079999999995</v>
      </c>
      <c r="AU140" s="18">
        <v>198.27359999999999</v>
      </c>
      <c r="AV140" s="18">
        <v>162.28799999999998</v>
      </c>
      <c r="AW140" s="18">
        <v>234.25919999999999</v>
      </c>
      <c r="AX140" s="18">
        <v>319.44079999999997</v>
      </c>
      <c r="AY140" s="18">
        <v>261.464</v>
      </c>
      <c r="AZ140" s="18">
        <v>377.41759999999999</v>
      </c>
      <c r="BA140" s="18">
        <v>231.3192</v>
      </c>
      <c r="BB140" s="18">
        <v>189.33599999999998</v>
      </c>
      <c r="BC140" s="18">
        <v>273.30239999999998</v>
      </c>
      <c r="BD140" s="18">
        <v>209.28880000000001</v>
      </c>
      <c r="BE140" s="18">
        <v>171.304</v>
      </c>
      <c r="BF140" s="18">
        <v>247.27359999999999</v>
      </c>
      <c r="BG140" s="18">
        <v>341.47120000000001</v>
      </c>
      <c r="BH140" s="18">
        <v>279.49599999999998</v>
      </c>
      <c r="BI140" s="18">
        <v>403.44639999999998</v>
      </c>
      <c r="BJ140" s="18">
        <v>275.38</v>
      </c>
      <c r="BK140" s="18">
        <v>225.4</v>
      </c>
      <c r="BL140" s="18">
        <v>325.36</v>
      </c>
      <c r="BM140" s="18">
        <v>275.38</v>
      </c>
      <c r="BN140" s="18">
        <v>225.4</v>
      </c>
      <c r="BO140" s="18">
        <v>325.36</v>
      </c>
      <c r="BP140" s="18"/>
      <c r="BQ140" s="18"/>
      <c r="BR140" s="18"/>
      <c r="BS140" s="18"/>
      <c r="BT140" s="10">
        <f>Tabelle58971121[[#This Row],[Mindestauslastung durch]]*Tabelle58971121[[#This Row],[installierte Leistung MW durch]]</f>
        <v>0</v>
      </c>
      <c r="BU140" s="10">
        <f>Tabelle58971121[[#This Row],[Mindestauslastung min]]*Tabelle58971121[[#This Row],[installierte Leistung MW min]]</f>
        <v>0</v>
      </c>
      <c r="BV140" s="10">
        <f>Tabelle58971121[[#This Row],[Mindestauslastung max]]*Tabelle58971121[[#This Row],[installierte Leistung MW max]]</f>
        <v>0</v>
      </c>
      <c r="BW140" s="8">
        <v>0</v>
      </c>
      <c r="BX140" s="8">
        <v>0</v>
      </c>
      <c r="BY140" s="8">
        <v>0</v>
      </c>
      <c r="BZ140" s="8"/>
      <c r="CA140" s="8">
        <v>0.57999999999999996</v>
      </c>
      <c r="CB140" s="8">
        <v>0.57999999999999996</v>
      </c>
      <c r="CC140" s="8">
        <v>0.57999999999999996</v>
      </c>
      <c r="CD140" s="8">
        <v>0.57999999999999996</v>
      </c>
      <c r="CE140" s="8">
        <v>0.57999999999999996</v>
      </c>
      <c r="CF140" s="8">
        <v>0.57999999999999996</v>
      </c>
      <c r="CG140" s="8">
        <v>0.77</v>
      </c>
      <c r="CH140" s="8">
        <v>0.77</v>
      </c>
      <c r="CI140" s="8">
        <v>0.77</v>
      </c>
      <c r="CJ140" s="8">
        <v>0.48</v>
      </c>
      <c r="CK140" s="8">
        <v>0.48</v>
      </c>
      <c r="CL140" s="8">
        <v>0.48</v>
      </c>
      <c r="CM140" s="8">
        <v>0.48</v>
      </c>
      <c r="CN140" s="8">
        <v>0.48</v>
      </c>
      <c r="CO140" s="8">
        <v>0.48</v>
      </c>
      <c r="CP140" s="8">
        <v>0.64</v>
      </c>
      <c r="CQ140" s="8">
        <v>0.64</v>
      </c>
      <c r="CR140" s="8">
        <v>0.64</v>
      </c>
      <c r="CS140" s="8">
        <v>0.57999999999999996</v>
      </c>
      <c r="CT140" s="8">
        <v>0.57999999999999996</v>
      </c>
      <c r="CU140" s="8">
        <v>0.57999999999999996</v>
      </c>
      <c r="CV140" s="8">
        <v>0.38</v>
      </c>
      <c r="CW140" s="8">
        <v>0.38</v>
      </c>
      <c r="CX140" s="8">
        <v>0.38</v>
      </c>
      <c r="CY140" s="8">
        <v>0.5</v>
      </c>
      <c r="CZ140" s="8">
        <v>0.5</v>
      </c>
      <c r="DA140" s="8">
        <v>0.5</v>
      </c>
      <c r="DB140" s="8"/>
      <c r="DC140" s="8"/>
      <c r="DD140" s="8"/>
      <c r="DE140" s="48">
        <f>Tabelle58971121[[#This Row],[Durchschnittsauslastung min]]*Tabelle58971121[[#This Row],[installierte Leistung MW min]]</f>
        <v>0</v>
      </c>
      <c r="DF140" s="48">
        <f>Tabelle58971121[[#This Row],[Durchschnittsauslastung durch]]*Tabelle58971121[[#This Row],[installierte Leistung MW durch]]</f>
        <v>0</v>
      </c>
      <c r="DG140" s="48">
        <f>Tabelle58971121[[#This Row],[Durchschnittsauslastung max]]*Tabelle58971121[[#This Row],[installierte Leistung MW max]]</f>
        <v>0</v>
      </c>
      <c r="DH140" s="87">
        <f>Tabelle58971121[[#This Row],[Maximalauslastung durch]]*Tabelle58971121[[#This Row],[installierte Leistung MW min]]</f>
        <v>450.8</v>
      </c>
      <c r="DI140" s="48">
        <f>Tabelle58971121[[#This Row],[Maximalauslastung durch]]*Tabelle58971121[[#This Row],[installierte Leistung MW durch]]</f>
        <v>550.76</v>
      </c>
      <c r="DJ140" s="18">
        <f>Tabelle58971121[[#This Row],[Maximalauslastung max]]*Tabelle58971121[[#This Row],[installierte Leistung MW durch]]</f>
        <v>550.76</v>
      </c>
      <c r="DK140" s="8">
        <v>1</v>
      </c>
      <c r="DL140" s="8">
        <v>1</v>
      </c>
      <c r="DM140" s="8">
        <v>1</v>
      </c>
      <c r="DN140" s="1">
        <v>550.76</v>
      </c>
      <c r="DO140" s="1">
        <v>450.8</v>
      </c>
      <c r="DP140" s="1">
        <v>650.72</v>
      </c>
      <c r="DQ140" s="18"/>
      <c r="DR140" s="18"/>
      <c r="DW140" s="1">
        <v>2.9874999999999998</v>
      </c>
      <c r="DX140" s="1">
        <v>1.2</v>
      </c>
      <c r="DY140" s="1">
        <v>5.8</v>
      </c>
      <c r="EL140" s="1">
        <v>365</v>
      </c>
      <c r="EM140" s="1">
        <v>292</v>
      </c>
      <c r="EN140" s="1">
        <v>438</v>
      </c>
      <c r="EO140" s="10"/>
      <c r="EP140" s="10"/>
      <c r="EQ140" s="10"/>
      <c r="ER140" s="1">
        <v>365</v>
      </c>
      <c r="ES140" s="1">
        <v>292</v>
      </c>
      <c r="ET140" s="1">
        <v>438</v>
      </c>
      <c r="EV140" s="18"/>
      <c r="EW140" s="18"/>
      <c r="EX140" s="18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O140" s="1">
        <v>67</v>
      </c>
      <c r="FP140" s="1">
        <v>67</v>
      </c>
      <c r="FQ140" s="1">
        <v>67</v>
      </c>
      <c r="FR140" s="12" t="s">
        <v>743</v>
      </c>
      <c r="FS140" s="12" t="s">
        <v>743</v>
      </c>
      <c r="FT140" s="12" t="s">
        <v>743</v>
      </c>
      <c r="FU140" s="12"/>
      <c r="FV140" s="12" t="s">
        <v>743</v>
      </c>
      <c r="FW140" s="12" t="s">
        <v>743</v>
      </c>
      <c r="FX140" s="12" t="s">
        <v>743</v>
      </c>
      <c r="FY140" s="12" t="s">
        <v>743</v>
      </c>
      <c r="FZ140" s="12" t="s">
        <v>743</v>
      </c>
      <c r="GA140" s="12" t="s">
        <v>743</v>
      </c>
      <c r="GB140" s="12" t="s">
        <v>743</v>
      </c>
      <c r="GE140" s="12" t="s">
        <v>743</v>
      </c>
      <c r="GF140" s="12" t="s">
        <v>743</v>
      </c>
      <c r="GH140" s="12" t="s">
        <v>743</v>
      </c>
    </row>
    <row r="141" spans="1:190" ht="12.75" customHeight="1" x14ac:dyDescent="0.2">
      <c r="A141" s="1" t="s">
        <v>209</v>
      </c>
      <c r="B141" s="1" t="s">
        <v>686</v>
      </c>
      <c r="E141" s="1" t="s">
        <v>129</v>
      </c>
      <c r="F141" s="1">
        <v>2</v>
      </c>
      <c r="G141" s="1">
        <v>2030</v>
      </c>
      <c r="H141" s="1">
        <v>1</v>
      </c>
      <c r="I141" s="1">
        <v>0</v>
      </c>
      <c r="J141" s="1">
        <v>0</v>
      </c>
      <c r="K141" s="18"/>
      <c r="L141" s="18"/>
      <c r="M141" s="18"/>
      <c r="N141" s="18">
        <v>316.18119999999999</v>
      </c>
      <c r="O141" s="18">
        <v>258.79599999999999</v>
      </c>
      <c r="P141" s="18">
        <v>373.56639999999999</v>
      </c>
      <c r="Q141" s="18">
        <v>228.9588</v>
      </c>
      <c r="R141" s="18">
        <v>187.404</v>
      </c>
      <c r="S141" s="18">
        <v>270.5136</v>
      </c>
      <c r="T141" s="18">
        <v>316.18119999999999</v>
      </c>
      <c r="U141" s="18">
        <v>258.79599999999999</v>
      </c>
      <c r="V141" s="18">
        <v>373.56639999999999</v>
      </c>
      <c r="W141" s="18">
        <v>228.9588</v>
      </c>
      <c r="X141" s="18">
        <v>187.404</v>
      </c>
      <c r="Y141" s="18">
        <v>270.5136</v>
      </c>
      <c r="Z141" s="18">
        <v>419.75779999999997</v>
      </c>
      <c r="AA141" s="18">
        <v>343.57399999999996</v>
      </c>
      <c r="AB141" s="18">
        <v>495.94159999999994</v>
      </c>
      <c r="AC141" s="18">
        <v>125.38219999999998</v>
      </c>
      <c r="AD141" s="18">
        <v>102.62599999999999</v>
      </c>
      <c r="AE141" s="18">
        <v>148.13839999999999</v>
      </c>
      <c r="AF141" s="18">
        <v>261.66719999999998</v>
      </c>
      <c r="AG141" s="18">
        <v>214.17600000000002</v>
      </c>
      <c r="AH141" s="18">
        <v>309.15840000000003</v>
      </c>
      <c r="AI141" s="18">
        <v>283.47280000000001</v>
      </c>
      <c r="AJ141" s="18">
        <v>232.02399999999997</v>
      </c>
      <c r="AK141" s="18">
        <v>334.92159999999996</v>
      </c>
      <c r="AL141" s="18">
        <v>261.66719999999998</v>
      </c>
      <c r="AM141" s="18">
        <v>214.17600000000002</v>
      </c>
      <c r="AN141" s="18">
        <v>309.15840000000003</v>
      </c>
      <c r="AO141" s="18">
        <v>283.47280000000001</v>
      </c>
      <c r="AP141" s="18">
        <v>232.02399999999997</v>
      </c>
      <c r="AQ141" s="18">
        <v>334.92159999999996</v>
      </c>
      <c r="AR141" s="18">
        <v>348.88959999999997</v>
      </c>
      <c r="AS141" s="18">
        <v>285.56799999999998</v>
      </c>
      <c r="AT141" s="18">
        <v>412.21119999999996</v>
      </c>
      <c r="AU141" s="18">
        <v>196.25039999999998</v>
      </c>
      <c r="AV141" s="18">
        <v>160.63199999999998</v>
      </c>
      <c r="AW141" s="18">
        <v>231.86879999999999</v>
      </c>
      <c r="AX141" s="18">
        <v>316.18119999999999</v>
      </c>
      <c r="AY141" s="18">
        <v>258.79599999999999</v>
      </c>
      <c r="AZ141" s="18">
        <v>373.56639999999999</v>
      </c>
      <c r="BA141" s="18">
        <v>228.9588</v>
      </c>
      <c r="BB141" s="18">
        <v>187.404</v>
      </c>
      <c r="BC141" s="18">
        <v>270.5136</v>
      </c>
      <c r="BD141" s="18">
        <v>207.1532</v>
      </c>
      <c r="BE141" s="18">
        <v>169.55600000000001</v>
      </c>
      <c r="BF141" s="18">
        <v>244.75039999999998</v>
      </c>
      <c r="BG141" s="18">
        <v>337.98680000000002</v>
      </c>
      <c r="BH141" s="18">
        <v>276.64400000000001</v>
      </c>
      <c r="BI141" s="18">
        <v>399.32959999999997</v>
      </c>
      <c r="BJ141" s="18">
        <v>272.57</v>
      </c>
      <c r="BK141" s="18">
        <v>223.1</v>
      </c>
      <c r="BL141" s="18">
        <v>322.03999999999996</v>
      </c>
      <c r="BM141" s="18">
        <v>272.57</v>
      </c>
      <c r="BN141" s="18">
        <v>223.1</v>
      </c>
      <c r="BO141" s="18">
        <v>322.03999999999996</v>
      </c>
      <c r="BP141" s="18"/>
      <c r="BQ141" s="18"/>
      <c r="BR141" s="18"/>
      <c r="BS141" s="18"/>
      <c r="BT141" s="10">
        <f>Tabelle58971121[[#This Row],[Mindestauslastung durch]]*Tabelle58971121[[#This Row],[installierte Leistung MW durch]]</f>
        <v>0</v>
      </c>
      <c r="BU141" s="10">
        <f>Tabelle58971121[[#This Row],[Mindestauslastung min]]*Tabelle58971121[[#This Row],[installierte Leistung MW min]]</f>
        <v>0</v>
      </c>
      <c r="BV141" s="10">
        <f>Tabelle58971121[[#This Row],[Mindestauslastung max]]*Tabelle58971121[[#This Row],[installierte Leistung MW max]]</f>
        <v>0</v>
      </c>
      <c r="BW141" s="8">
        <v>0</v>
      </c>
      <c r="BX141" s="8">
        <v>0</v>
      </c>
      <c r="BY141" s="8">
        <v>0</v>
      </c>
      <c r="BZ141" s="8"/>
      <c r="CA141" s="8">
        <v>0.57999999999999996</v>
      </c>
      <c r="CB141" s="8">
        <v>0.57999999999999996</v>
      </c>
      <c r="CC141" s="8">
        <v>0.57999999999999996</v>
      </c>
      <c r="CD141" s="8">
        <v>0.57999999999999996</v>
      </c>
      <c r="CE141" s="8">
        <v>0.57999999999999996</v>
      </c>
      <c r="CF141" s="8">
        <v>0.57999999999999996</v>
      </c>
      <c r="CG141" s="8">
        <v>0.77</v>
      </c>
      <c r="CH141" s="8">
        <v>0.77</v>
      </c>
      <c r="CI141" s="8">
        <v>0.77</v>
      </c>
      <c r="CJ141" s="8">
        <v>0.48</v>
      </c>
      <c r="CK141" s="8">
        <v>0.48</v>
      </c>
      <c r="CL141" s="8">
        <v>0.48</v>
      </c>
      <c r="CM141" s="8">
        <v>0.48</v>
      </c>
      <c r="CN141" s="8">
        <v>0.48</v>
      </c>
      <c r="CO141" s="8">
        <v>0.48</v>
      </c>
      <c r="CP141" s="8">
        <v>0.64</v>
      </c>
      <c r="CQ141" s="8">
        <v>0.64</v>
      </c>
      <c r="CR141" s="8">
        <v>0.64</v>
      </c>
      <c r="CS141" s="8">
        <v>0.57999999999999996</v>
      </c>
      <c r="CT141" s="8">
        <v>0.57999999999999996</v>
      </c>
      <c r="CU141" s="8">
        <v>0.57999999999999996</v>
      </c>
      <c r="CV141" s="8">
        <v>0.38</v>
      </c>
      <c r="CW141" s="8">
        <v>0.38</v>
      </c>
      <c r="CX141" s="8">
        <v>0.38</v>
      </c>
      <c r="CY141" s="8">
        <v>0.5</v>
      </c>
      <c r="CZ141" s="8">
        <v>0.5</v>
      </c>
      <c r="DA141" s="8">
        <v>0.5</v>
      </c>
      <c r="DB141" s="8"/>
      <c r="DC141" s="8"/>
      <c r="DD141" s="8"/>
      <c r="DE141" s="48">
        <f>Tabelle58971121[[#This Row],[Durchschnittsauslastung min]]*Tabelle58971121[[#This Row],[installierte Leistung MW min]]</f>
        <v>0</v>
      </c>
      <c r="DF141" s="48">
        <f>Tabelle58971121[[#This Row],[Durchschnittsauslastung durch]]*Tabelle58971121[[#This Row],[installierte Leistung MW durch]]</f>
        <v>0</v>
      </c>
      <c r="DG141" s="48">
        <f>Tabelle58971121[[#This Row],[Durchschnittsauslastung max]]*Tabelle58971121[[#This Row],[installierte Leistung MW max]]</f>
        <v>0</v>
      </c>
      <c r="DH141" s="87">
        <f>Tabelle58971121[[#This Row],[Maximalauslastung durch]]*Tabelle58971121[[#This Row],[installierte Leistung MW min]]</f>
        <v>446.2</v>
      </c>
      <c r="DI141" s="48">
        <f>Tabelle58971121[[#This Row],[Maximalauslastung durch]]*Tabelle58971121[[#This Row],[installierte Leistung MW durch]]</f>
        <v>545.14</v>
      </c>
      <c r="DJ141" s="18">
        <f>Tabelle58971121[[#This Row],[Maximalauslastung max]]*Tabelle58971121[[#This Row],[installierte Leistung MW durch]]</f>
        <v>545.14</v>
      </c>
      <c r="DK141" s="8">
        <v>1</v>
      </c>
      <c r="DL141" s="8">
        <v>1</v>
      </c>
      <c r="DM141" s="8">
        <v>1</v>
      </c>
      <c r="DN141" s="1">
        <v>545.14</v>
      </c>
      <c r="DO141" s="1">
        <v>446.2</v>
      </c>
      <c r="DP141" s="1">
        <v>644.08000000000004</v>
      </c>
      <c r="DQ141" s="18"/>
      <c r="DR141" s="18"/>
      <c r="DW141" s="1">
        <v>2.9874999999999998</v>
      </c>
      <c r="DX141" s="1">
        <v>1.2</v>
      </c>
      <c r="DY141" s="1">
        <v>5.8</v>
      </c>
      <c r="EL141" s="1">
        <v>365</v>
      </c>
      <c r="EM141" s="1">
        <v>292</v>
      </c>
      <c r="EN141" s="1">
        <v>438</v>
      </c>
      <c r="EO141" s="10"/>
      <c r="EP141" s="10"/>
      <c r="EQ141" s="10"/>
      <c r="ER141" s="1">
        <v>365</v>
      </c>
      <c r="ES141" s="1">
        <v>292</v>
      </c>
      <c r="ET141" s="1">
        <v>438</v>
      </c>
      <c r="EV141" s="18"/>
      <c r="EW141" s="18"/>
      <c r="EX141" s="18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O141" s="1">
        <v>67</v>
      </c>
      <c r="FP141" s="1">
        <v>67</v>
      </c>
      <c r="FQ141" s="1">
        <v>67</v>
      </c>
      <c r="FR141" s="12" t="s">
        <v>743</v>
      </c>
      <c r="FS141" s="12" t="s">
        <v>743</v>
      </c>
      <c r="FT141" s="12" t="s">
        <v>743</v>
      </c>
      <c r="FU141" s="12"/>
      <c r="FV141" s="12" t="s">
        <v>743</v>
      </c>
      <c r="FW141" s="12" t="s">
        <v>743</v>
      </c>
      <c r="FX141" s="12" t="s">
        <v>743</v>
      </c>
      <c r="FY141" s="12" t="s">
        <v>743</v>
      </c>
      <c r="FZ141" s="12" t="s">
        <v>743</v>
      </c>
      <c r="GA141" s="12" t="s">
        <v>743</v>
      </c>
      <c r="GB141" s="12" t="s">
        <v>743</v>
      </c>
      <c r="GE141" s="12" t="s">
        <v>743</v>
      </c>
      <c r="GF141" s="12" t="s">
        <v>743</v>
      </c>
      <c r="GH141" s="12" t="s">
        <v>743</v>
      </c>
    </row>
    <row r="142" spans="1:190" ht="12.75" customHeight="1" x14ac:dyDescent="0.2">
      <c r="A142" s="1" t="s">
        <v>209</v>
      </c>
      <c r="B142" s="1" t="s">
        <v>686</v>
      </c>
      <c r="E142" s="1" t="s">
        <v>129</v>
      </c>
      <c r="F142" s="1">
        <v>2</v>
      </c>
      <c r="G142" s="1">
        <v>2035</v>
      </c>
      <c r="H142" s="1">
        <v>1</v>
      </c>
      <c r="I142" s="1">
        <v>0</v>
      </c>
      <c r="J142" s="1">
        <v>0</v>
      </c>
      <c r="K142" s="18"/>
      <c r="L142" s="18"/>
      <c r="M142" s="18"/>
      <c r="N142" s="18">
        <v>312.92159999999996</v>
      </c>
      <c r="O142" s="18">
        <v>256.12799999999999</v>
      </c>
      <c r="P142" s="18">
        <v>369.71519999999998</v>
      </c>
      <c r="Q142" s="18">
        <v>226.5984</v>
      </c>
      <c r="R142" s="18">
        <v>185.47199999999998</v>
      </c>
      <c r="S142" s="18">
        <v>267.72479999999996</v>
      </c>
      <c r="T142" s="18">
        <v>312.92159999999996</v>
      </c>
      <c r="U142" s="18">
        <v>256.12799999999999</v>
      </c>
      <c r="V142" s="18">
        <v>369.71519999999998</v>
      </c>
      <c r="W142" s="18">
        <v>226.5984</v>
      </c>
      <c r="X142" s="18">
        <v>185.47199999999998</v>
      </c>
      <c r="Y142" s="18">
        <v>267.72479999999996</v>
      </c>
      <c r="Z142" s="18">
        <v>415.43040000000002</v>
      </c>
      <c r="AA142" s="18">
        <v>340.03199999999998</v>
      </c>
      <c r="AB142" s="18">
        <v>490.82879999999994</v>
      </c>
      <c r="AC142" s="18">
        <v>124.08959999999999</v>
      </c>
      <c r="AD142" s="18">
        <v>101.568</v>
      </c>
      <c r="AE142" s="18">
        <v>146.6112</v>
      </c>
      <c r="AF142" s="18">
        <v>258.96959999999996</v>
      </c>
      <c r="AG142" s="18">
        <v>211.96799999999999</v>
      </c>
      <c r="AH142" s="18">
        <v>305.97120000000001</v>
      </c>
      <c r="AI142" s="18">
        <v>280.55040000000002</v>
      </c>
      <c r="AJ142" s="18">
        <v>229.63199999999998</v>
      </c>
      <c r="AK142" s="18">
        <v>331.46879999999999</v>
      </c>
      <c r="AL142" s="18">
        <v>258.96959999999996</v>
      </c>
      <c r="AM142" s="18">
        <v>211.96799999999999</v>
      </c>
      <c r="AN142" s="18">
        <v>305.97120000000001</v>
      </c>
      <c r="AO142" s="18">
        <v>280.55040000000002</v>
      </c>
      <c r="AP142" s="18">
        <v>229.63199999999998</v>
      </c>
      <c r="AQ142" s="18">
        <v>331.46879999999999</v>
      </c>
      <c r="AR142" s="18">
        <v>345.2928</v>
      </c>
      <c r="AS142" s="18">
        <v>282.62399999999997</v>
      </c>
      <c r="AT142" s="18">
        <v>407.96159999999998</v>
      </c>
      <c r="AU142" s="18">
        <v>194.22719999999998</v>
      </c>
      <c r="AV142" s="18">
        <v>158.976</v>
      </c>
      <c r="AW142" s="18">
        <v>229.47839999999999</v>
      </c>
      <c r="AX142" s="18">
        <v>312.92159999999996</v>
      </c>
      <c r="AY142" s="18">
        <v>256.12799999999999</v>
      </c>
      <c r="AZ142" s="18">
        <v>369.71519999999998</v>
      </c>
      <c r="BA142" s="18">
        <v>226.5984</v>
      </c>
      <c r="BB142" s="18">
        <v>185.47199999999998</v>
      </c>
      <c r="BC142" s="18">
        <v>267.72479999999996</v>
      </c>
      <c r="BD142" s="18">
        <v>205.01759999999999</v>
      </c>
      <c r="BE142" s="18">
        <v>167.80799999999999</v>
      </c>
      <c r="BF142" s="18">
        <v>242.22719999999998</v>
      </c>
      <c r="BG142" s="18">
        <v>334.50239999999997</v>
      </c>
      <c r="BH142" s="18">
        <v>273.79199999999997</v>
      </c>
      <c r="BI142" s="18">
        <v>395.21280000000002</v>
      </c>
      <c r="BJ142" s="18">
        <v>269.76</v>
      </c>
      <c r="BK142" s="18">
        <v>220.79999999999998</v>
      </c>
      <c r="BL142" s="18">
        <v>318.71999999999997</v>
      </c>
      <c r="BM142" s="18">
        <v>269.76</v>
      </c>
      <c r="BN142" s="18">
        <v>220.79999999999998</v>
      </c>
      <c r="BO142" s="18">
        <v>318.71999999999997</v>
      </c>
      <c r="BP142" s="18"/>
      <c r="BQ142" s="18"/>
      <c r="BR142" s="18"/>
      <c r="BS142" s="18"/>
      <c r="BT142" s="10">
        <f>Tabelle58971121[[#This Row],[Mindestauslastung durch]]*Tabelle58971121[[#This Row],[installierte Leistung MW durch]]</f>
        <v>0</v>
      </c>
      <c r="BU142" s="10">
        <f>Tabelle58971121[[#This Row],[Mindestauslastung min]]*Tabelle58971121[[#This Row],[installierte Leistung MW min]]</f>
        <v>0</v>
      </c>
      <c r="BV142" s="10">
        <f>Tabelle58971121[[#This Row],[Mindestauslastung max]]*Tabelle58971121[[#This Row],[installierte Leistung MW max]]</f>
        <v>0</v>
      </c>
      <c r="BW142" s="8">
        <v>0</v>
      </c>
      <c r="BX142" s="8">
        <v>0</v>
      </c>
      <c r="BY142" s="8">
        <v>0</v>
      </c>
      <c r="BZ142" s="8"/>
      <c r="CA142" s="8">
        <v>0.57999999999999996</v>
      </c>
      <c r="CB142" s="8">
        <v>0.57999999999999996</v>
      </c>
      <c r="CC142" s="8">
        <v>0.57999999999999996</v>
      </c>
      <c r="CD142" s="8">
        <v>0.57999999999999996</v>
      </c>
      <c r="CE142" s="8">
        <v>0.57999999999999996</v>
      </c>
      <c r="CF142" s="8">
        <v>0.57999999999999996</v>
      </c>
      <c r="CG142" s="8">
        <v>0.77</v>
      </c>
      <c r="CH142" s="8">
        <v>0.77</v>
      </c>
      <c r="CI142" s="8">
        <v>0.77</v>
      </c>
      <c r="CJ142" s="8">
        <v>0.48</v>
      </c>
      <c r="CK142" s="8">
        <v>0.48</v>
      </c>
      <c r="CL142" s="8">
        <v>0.48</v>
      </c>
      <c r="CM142" s="8">
        <v>0.48</v>
      </c>
      <c r="CN142" s="8">
        <v>0.48</v>
      </c>
      <c r="CO142" s="8">
        <v>0.48</v>
      </c>
      <c r="CP142" s="8">
        <v>0.64</v>
      </c>
      <c r="CQ142" s="8">
        <v>0.64</v>
      </c>
      <c r="CR142" s="8">
        <v>0.64</v>
      </c>
      <c r="CS142" s="8">
        <v>0.57999999999999996</v>
      </c>
      <c r="CT142" s="8">
        <v>0.57999999999999996</v>
      </c>
      <c r="CU142" s="8">
        <v>0.57999999999999996</v>
      </c>
      <c r="CV142" s="8">
        <v>0.38</v>
      </c>
      <c r="CW142" s="8">
        <v>0.38</v>
      </c>
      <c r="CX142" s="8">
        <v>0.38</v>
      </c>
      <c r="CY142" s="8">
        <v>0.5</v>
      </c>
      <c r="CZ142" s="8">
        <v>0.5</v>
      </c>
      <c r="DA142" s="8">
        <v>0.5</v>
      </c>
      <c r="DB142" s="8"/>
      <c r="DC142" s="8"/>
      <c r="DD142" s="8"/>
      <c r="DE142" s="48">
        <f>Tabelle58971121[[#This Row],[Durchschnittsauslastung min]]*Tabelle58971121[[#This Row],[installierte Leistung MW min]]</f>
        <v>0</v>
      </c>
      <c r="DF142" s="48">
        <f>Tabelle58971121[[#This Row],[Durchschnittsauslastung durch]]*Tabelle58971121[[#This Row],[installierte Leistung MW durch]]</f>
        <v>0</v>
      </c>
      <c r="DG142" s="48">
        <f>Tabelle58971121[[#This Row],[Durchschnittsauslastung max]]*Tabelle58971121[[#This Row],[installierte Leistung MW max]]</f>
        <v>0</v>
      </c>
      <c r="DH142" s="87">
        <f>Tabelle58971121[[#This Row],[Maximalauslastung durch]]*Tabelle58971121[[#This Row],[installierte Leistung MW min]]</f>
        <v>441.6</v>
      </c>
      <c r="DI142" s="48">
        <f>Tabelle58971121[[#This Row],[Maximalauslastung durch]]*Tabelle58971121[[#This Row],[installierte Leistung MW durch]]</f>
        <v>539.52</v>
      </c>
      <c r="DJ142" s="18">
        <f>Tabelle58971121[[#This Row],[Maximalauslastung max]]*Tabelle58971121[[#This Row],[installierte Leistung MW durch]]</f>
        <v>539.52</v>
      </c>
      <c r="DK142" s="8">
        <v>1</v>
      </c>
      <c r="DL142" s="8">
        <v>1</v>
      </c>
      <c r="DM142" s="8">
        <v>1</v>
      </c>
      <c r="DN142" s="1">
        <v>539.52</v>
      </c>
      <c r="DO142" s="1">
        <v>441.6</v>
      </c>
      <c r="DP142" s="1">
        <v>637.44000000000005</v>
      </c>
      <c r="DQ142" s="18"/>
      <c r="DR142" s="18"/>
      <c r="DW142" s="1">
        <v>2.9874999999999998</v>
      </c>
      <c r="DX142" s="1">
        <v>1.2</v>
      </c>
      <c r="DY142" s="1">
        <v>5.8</v>
      </c>
      <c r="EL142" s="1">
        <v>365</v>
      </c>
      <c r="EM142" s="1">
        <v>292</v>
      </c>
      <c r="EN142" s="1">
        <v>438</v>
      </c>
      <c r="EO142" s="10"/>
      <c r="EP142" s="10"/>
      <c r="EQ142" s="10"/>
      <c r="ER142" s="1">
        <v>365</v>
      </c>
      <c r="ES142" s="1">
        <v>292</v>
      </c>
      <c r="ET142" s="1">
        <v>438</v>
      </c>
      <c r="EV142" s="18"/>
      <c r="EW142" s="18"/>
      <c r="EX142" s="18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O142" s="1">
        <v>67</v>
      </c>
      <c r="FP142" s="1">
        <v>67</v>
      </c>
      <c r="FQ142" s="1">
        <v>67</v>
      </c>
      <c r="FR142" s="12" t="s">
        <v>743</v>
      </c>
      <c r="FS142" s="12" t="s">
        <v>743</v>
      </c>
      <c r="FT142" s="12" t="s">
        <v>743</v>
      </c>
      <c r="FU142" s="12"/>
      <c r="FV142" s="12" t="s">
        <v>743</v>
      </c>
      <c r="FW142" s="12" t="s">
        <v>743</v>
      </c>
      <c r="FX142" s="12" t="s">
        <v>743</v>
      </c>
      <c r="FY142" s="12" t="s">
        <v>743</v>
      </c>
      <c r="FZ142" s="12" t="s">
        <v>743</v>
      </c>
      <c r="GA142" s="12" t="s">
        <v>743</v>
      </c>
      <c r="GB142" s="12" t="s">
        <v>743</v>
      </c>
      <c r="GE142" s="12" t="s">
        <v>743</v>
      </c>
      <c r="GF142" s="12" t="s">
        <v>743</v>
      </c>
      <c r="GH142" s="12" t="s">
        <v>743</v>
      </c>
    </row>
    <row r="143" spans="1:190" ht="12.75" customHeight="1" x14ac:dyDescent="0.2">
      <c r="A143" s="1" t="s">
        <v>209</v>
      </c>
      <c r="B143" s="1" t="s">
        <v>686</v>
      </c>
      <c r="E143" s="1" t="s">
        <v>129</v>
      </c>
      <c r="F143" s="1">
        <v>2</v>
      </c>
      <c r="G143" s="1">
        <v>2040</v>
      </c>
      <c r="H143" s="1">
        <v>1</v>
      </c>
      <c r="I143" s="1">
        <v>0</v>
      </c>
      <c r="J143" s="1">
        <v>0</v>
      </c>
      <c r="K143" s="18"/>
      <c r="L143" s="18"/>
      <c r="M143" s="18"/>
      <c r="N143" s="18">
        <v>309.66199999999998</v>
      </c>
      <c r="O143" s="18">
        <v>253.46</v>
      </c>
      <c r="P143" s="18">
        <v>365.86399999999998</v>
      </c>
      <c r="Q143" s="18">
        <v>224.23799999999997</v>
      </c>
      <c r="R143" s="18">
        <v>183.54</v>
      </c>
      <c r="S143" s="18">
        <v>264.93599999999998</v>
      </c>
      <c r="T143" s="18">
        <v>309.66199999999998</v>
      </c>
      <c r="U143" s="18">
        <v>253.46</v>
      </c>
      <c r="V143" s="18">
        <v>365.86399999999998</v>
      </c>
      <c r="W143" s="18">
        <v>224.23799999999997</v>
      </c>
      <c r="X143" s="18">
        <v>183.54</v>
      </c>
      <c r="Y143" s="18">
        <v>264.93599999999998</v>
      </c>
      <c r="Z143" s="18">
        <v>411.10300000000001</v>
      </c>
      <c r="AA143" s="18">
        <v>336.48999999999995</v>
      </c>
      <c r="AB143" s="18">
        <v>485.71599999999995</v>
      </c>
      <c r="AC143" s="18">
        <v>122.79699999999998</v>
      </c>
      <c r="AD143" s="18">
        <v>100.50999999999999</v>
      </c>
      <c r="AE143" s="18">
        <v>145.084</v>
      </c>
      <c r="AF143" s="18">
        <v>256.27199999999999</v>
      </c>
      <c r="AG143" s="18">
        <v>209.76</v>
      </c>
      <c r="AH143" s="18">
        <v>302.78399999999999</v>
      </c>
      <c r="AI143" s="18">
        <v>277.62799999999999</v>
      </c>
      <c r="AJ143" s="18">
        <v>227.23999999999998</v>
      </c>
      <c r="AK143" s="18">
        <v>328.01599999999996</v>
      </c>
      <c r="AL143" s="18">
        <v>256.27199999999999</v>
      </c>
      <c r="AM143" s="18">
        <v>209.76</v>
      </c>
      <c r="AN143" s="18">
        <v>302.78399999999999</v>
      </c>
      <c r="AO143" s="18">
        <v>277.62799999999999</v>
      </c>
      <c r="AP143" s="18">
        <v>227.23999999999998</v>
      </c>
      <c r="AQ143" s="18">
        <v>328.01599999999996</v>
      </c>
      <c r="AR143" s="18">
        <v>341.69599999999997</v>
      </c>
      <c r="AS143" s="18">
        <v>279.67999999999995</v>
      </c>
      <c r="AT143" s="18">
        <v>403.71199999999999</v>
      </c>
      <c r="AU143" s="18">
        <v>192.20399999999998</v>
      </c>
      <c r="AV143" s="18">
        <v>157.32</v>
      </c>
      <c r="AW143" s="18">
        <v>227.08799999999999</v>
      </c>
      <c r="AX143" s="18">
        <v>309.66199999999998</v>
      </c>
      <c r="AY143" s="18">
        <v>253.46</v>
      </c>
      <c r="AZ143" s="18">
        <v>365.86399999999998</v>
      </c>
      <c r="BA143" s="18">
        <v>224.23799999999997</v>
      </c>
      <c r="BB143" s="18">
        <v>183.54</v>
      </c>
      <c r="BC143" s="18">
        <v>264.93599999999998</v>
      </c>
      <c r="BD143" s="18">
        <v>202.88200000000001</v>
      </c>
      <c r="BE143" s="18">
        <v>166.06</v>
      </c>
      <c r="BF143" s="18">
        <v>239.70399999999998</v>
      </c>
      <c r="BG143" s="18">
        <v>331.01799999999997</v>
      </c>
      <c r="BH143" s="18">
        <v>270.94</v>
      </c>
      <c r="BI143" s="18">
        <v>391.096</v>
      </c>
      <c r="BJ143" s="18">
        <v>266.95</v>
      </c>
      <c r="BK143" s="18">
        <v>218.5</v>
      </c>
      <c r="BL143" s="18">
        <v>315.39999999999998</v>
      </c>
      <c r="BM143" s="18">
        <v>266.95</v>
      </c>
      <c r="BN143" s="18">
        <v>218.5</v>
      </c>
      <c r="BO143" s="18">
        <v>315.39999999999998</v>
      </c>
      <c r="BP143" s="18"/>
      <c r="BQ143" s="18"/>
      <c r="BR143" s="18"/>
      <c r="BS143" s="18"/>
      <c r="BT143" s="10">
        <f>Tabelle58971121[[#This Row],[Mindestauslastung durch]]*Tabelle58971121[[#This Row],[installierte Leistung MW durch]]</f>
        <v>0</v>
      </c>
      <c r="BU143" s="10">
        <f>Tabelle58971121[[#This Row],[Mindestauslastung min]]*Tabelle58971121[[#This Row],[installierte Leistung MW min]]</f>
        <v>0</v>
      </c>
      <c r="BV143" s="10">
        <f>Tabelle58971121[[#This Row],[Mindestauslastung max]]*Tabelle58971121[[#This Row],[installierte Leistung MW max]]</f>
        <v>0</v>
      </c>
      <c r="BW143" s="8">
        <v>0</v>
      </c>
      <c r="BX143" s="8">
        <v>0</v>
      </c>
      <c r="BY143" s="8">
        <v>0</v>
      </c>
      <c r="BZ143" s="8"/>
      <c r="CA143" s="8">
        <v>0.57999999999999996</v>
      </c>
      <c r="CB143" s="8">
        <v>0.57999999999999996</v>
      </c>
      <c r="CC143" s="8">
        <v>0.57999999999999996</v>
      </c>
      <c r="CD143" s="8">
        <v>0.57999999999999996</v>
      </c>
      <c r="CE143" s="8">
        <v>0.57999999999999996</v>
      </c>
      <c r="CF143" s="8">
        <v>0.57999999999999996</v>
      </c>
      <c r="CG143" s="8">
        <v>0.77</v>
      </c>
      <c r="CH143" s="8">
        <v>0.77</v>
      </c>
      <c r="CI143" s="8">
        <v>0.77</v>
      </c>
      <c r="CJ143" s="8">
        <v>0.48</v>
      </c>
      <c r="CK143" s="8">
        <v>0.48</v>
      </c>
      <c r="CL143" s="8">
        <v>0.48</v>
      </c>
      <c r="CM143" s="8">
        <v>0.48</v>
      </c>
      <c r="CN143" s="8">
        <v>0.48</v>
      </c>
      <c r="CO143" s="8">
        <v>0.48</v>
      </c>
      <c r="CP143" s="8">
        <v>0.64</v>
      </c>
      <c r="CQ143" s="8">
        <v>0.64</v>
      </c>
      <c r="CR143" s="8">
        <v>0.64</v>
      </c>
      <c r="CS143" s="8">
        <v>0.57999999999999996</v>
      </c>
      <c r="CT143" s="8">
        <v>0.57999999999999996</v>
      </c>
      <c r="CU143" s="8">
        <v>0.57999999999999996</v>
      </c>
      <c r="CV143" s="8">
        <v>0.38</v>
      </c>
      <c r="CW143" s="8">
        <v>0.38</v>
      </c>
      <c r="CX143" s="8">
        <v>0.38</v>
      </c>
      <c r="CY143" s="8">
        <v>0.5</v>
      </c>
      <c r="CZ143" s="8">
        <v>0.5</v>
      </c>
      <c r="DA143" s="8">
        <v>0.5</v>
      </c>
      <c r="DB143" s="8"/>
      <c r="DC143" s="8"/>
      <c r="DD143" s="8"/>
      <c r="DE143" s="48">
        <f>Tabelle58971121[[#This Row],[Durchschnittsauslastung min]]*Tabelle58971121[[#This Row],[installierte Leistung MW min]]</f>
        <v>0</v>
      </c>
      <c r="DF143" s="48">
        <f>Tabelle58971121[[#This Row],[Durchschnittsauslastung durch]]*Tabelle58971121[[#This Row],[installierte Leistung MW durch]]</f>
        <v>0</v>
      </c>
      <c r="DG143" s="48">
        <f>Tabelle58971121[[#This Row],[Durchschnittsauslastung max]]*Tabelle58971121[[#This Row],[installierte Leistung MW max]]</f>
        <v>0</v>
      </c>
      <c r="DH143" s="87">
        <f>Tabelle58971121[[#This Row],[Maximalauslastung durch]]*Tabelle58971121[[#This Row],[installierte Leistung MW min]]</f>
        <v>437</v>
      </c>
      <c r="DI143" s="48">
        <f>Tabelle58971121[[#This Row],[Maximalauslastung durch]]*Tabelle58971121[[#This Row],[installierte Leistung MW durch]]</f>
        <v>533.9</v>
      </c>
      <c r="DJ143" s="18">
        <f>Tabelle58971121[[#This Row],[Maximalauslastung max]]*Tabelle58971121[[#This Row],[installierte Leistung MW durch]]</f>
        <v>533.9</v>
      </c>
      <c r="DK143" s="8">
        <v>1</v>
      </c>
      <c r="DL143" s="8">
        <v>1</v>
      </c>
      <c r="DM143" s="8">
        <v>1</v>
      </c>
      <c r="DN143" s="1">
        <v>533.9</v>
      </c>
      <c r="DO143" s="1">
        <v>437</v>
      </c>
      <c r="DP143" s="1">
        <v>630.79999999999995</v>
      </c>
      <c r="DQ143" s="18"/>
      <c r="DR143" s="18"/>
      <c r="DW143" s="1">
        <v>2.9874999999999998</v>
      </c>
      <c r="DX143" s="1">
        <v>1.2</v>
      </c>
      <c r="DY143" s="1">
        <v>5.8</v>
      </c>
      <c r="EL143" s="1">
        <v>365</v>
      </c>
      <c r="EM143" s="1">
        <v>292</v>
      </c>
      <c r="EN143" s="1">
        <v>438</v>
      </c>
      <c r="EO143" s="10"/>
      <c r="EP143" s="10"/>
      <c r="EQ143" s="10"/>
      <c r="ER143" s="1">
        <v>365</v>
      </c>
      <c r="ES143" s="1">
        <v>292</v>
      </c>
      <c r="ET143" s="1">
        <v>438</v>
      </c>
      <c r="EV143" s="18"/>
      <c r="EW143" s="18"/>
      <c r="EX143" s="18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O143" s="1">
        <v>67</v>
      </c>
      <c r="FP143" s="1">
        <v>67</v>
      </c>
      <c r="FQ143" s="1">
        <v>67</v>
      </c>
      <c r="FR143" s="12" t="s">
        <v>743</v>
      </c>
      <c r="FS143" s="12" t="s">
        <v>743</v>
      </c>
      <c r="FT143" s="12" t="s">
        <v>743</v>
      </c>
      <c r="FU143" s="12"/>
      <c r="FV143" s="12" t="s">
        <v>743</v>
      </c>
      <c r="FW143" s="12" t="s">
        <v>743</v>
      </c>
      <c r="FX143" s="12" t="s">
        <v>743</v>
      </c>
      <c r="FY143" s="12" t="s">
        <v>743</v>
      </c>
      <c r="FZ143" s="12" t="s">
        <v>743</v>
      </c>
      <c r="GA143" s="12" t="s">
        <v>743</v>
      </c>
      <c r="GB143" s="12" t="s">
        <v>743</v>
      </c>
      <c r="GE143" s="12" t="s">
        <v>743</v>
      </c>
      <c r="GF143" s="12" t="s">
        <v>743</v>
      </c>
      <c r="GH143" s="12" t="s">
        <v>743</v>
      </c>
    </row>
    <row r="144" spans="1:190" ht="12.75" customHeight="1" x14ac:dyDescent="0.2">
      <c r="A144" s="1" t="s">
        <v>209</v>
      </c>
      <c r="B144" s="1" t="s">
        <v>686</v>
      </c>
      <c r="E144" s="1" t="s">
        <v>129</v>
      </c>
      <c r="F144" s="1">
        <v>2</v>
      </c>
      <c r="G144" s="1">
        <v>2045</v>
      </c>
      <c r="H144" s="1">
        <v>1</v>
      </c>
      <c r="I144" s="1">
        <v>0</v>
      </c>
      <c r="J144" s="1">
        <v>0</v>
      </c>
      <c r="K144" s="18"/>
      <c r="L144" s="18"/>
      <c r="M144" s="18"/>
      <c r="N144" s="18">
        <v>309.66199999999998</v>
      </c>
      <c r="O144" s="18">
        <v>253.46</v>
      </c>
      <c r="P144" s="18">
        <v>365.86399999999998</v>
      </c>
      <c r="Q144" s="18">
        <v>224.23799999999997</v>
      </c>
      <c r="R144" s="18">
        <v>183.54</v>
      </c>
      <c r="S144" s="18">
        <v>264.93599999999998</v>
      </c>
      <c r="T144" s="18">
        <v>309.66199999999998</v>
      </c>
      <c r="U144" s="18">
        <v>253.46</v>
      </c>
      <c r="V144" s="18">
        <v>365.86399999999998</v>
      </c>
      <c r="W144" s="18">
        <v>224.23799999999997</v>
      </c>
      <c r="X144" s="18">
        <v>183.54</v>
      </c>
      <c r="Y144" s="18">
        <v>264.93599999999998</v>
      </c>
      <c r="Z144" s="18">
        <v>411.10300000000001</v>
      </c>
      <c r="AA144" s="18">
        <v>336.48999999999995</v>
      </c>
      <c r="AB144" s="18">
        <v>485.71599999999995</v>
      </c>
      <c r="AC144" s="18">
        <v>122.79699999999998</v>
      </c>
      <c r="AD144" s="18">
        <v>100.50999999999999</v>
      </c>
      <c r="AE144" s="18">
        <v>145.084</v>
      </c>
      <c r="AF144" s="18">
        <v>256.27199999999999</v>
      </c>
      <c r="AG144" s="18">
        <v>209.76</v>
      </c>
      <c r="AH144" s="18">
        <v>302.78399999999999</v>
      </c>
      <c r="AI144" s="18">
        <v>277.62799999999999</v>
      </c>
      <c r="AJ144" s="18">
        <v>227.23999999999998</v>
      </c>
      <c r="AK144" s="18">
        <v>328.01599999999996</v>
      </c>
      <c r="AL144" s="18">
        <v>256.27199999999999</v>
      </c>
      <c r="AM144" s="18">
        <v>209.76</v>
      </c>
      <c r="AN144" s="18">
        <v>302.78399999999999</v>
      </c>
      <c r="AO144" s="18">
        <v>277.62799999999999</v>
      </c>
      <c r="AP144" s="18">
        <v>227.23999999999998</v>
      </c>
      <c r="AQ144" s="18">
        <v>328.01599999999996</v>
      </c>
      <c r="AR144" s="18">
        <v>341.69599999999997</v>
      </c>
      <c r="AS144" s="18">
        <v>279.67999999999995</v>
      </c>
      <c r="AT144" s="18">
        <v>403.71199999999999</v>
      </c>
      <c r="AU144" s="18">
        <v>192.20399999999998</v>
      </c>
      <c r="AV144" s="18">
        <v>157.32</v>
      </c>
      <c r="AW144" s="18">
        <v>227.08799999999999</v>
      </c>
      <c r="AX144" s="18">
        <v>309.66199999999998</v>
      </c>
      <c r="AY144" s="18">
        <v>253.46</v>
      </c>
      <c r="AZ144" s="18">
        <v>365.86399999999998</v>
      </c>
      <c r="BA144" s="18">
        <v>224.23799999999997</v>
      </c>
      <c r="BB144" s="18">
        <v>183.54</v>
      </c>
      <c r="BC144" s="18">
        <v>264.93599999999998</v>
      </c>
      <c r="BD144" s="18">
        <v>202.88200000000001</v>
      </c>
      <c r="BE144" s="18">
        <v>166.06</v>
      </c>
      <c r="BF144" s="18">
        <v>239.70399999999998</v>
      </c>
      <c r="BG144" s="18">
        <v>331.01799999999997</v>
      </c>
      <c r="BH144" s="18">
        <v>270.94</v>
      </c>
      <c r="BI144" s="18">
        <v>391.096</v>
      </c>
      <c r="BJ144" s="18">
        <v>266.95</v>
      </c>
      <c r="BK144" s="18">
        <v>218.5</v>
      </c>
      <c r="BL144" s="18">
        <v>315.39999999999998</v>
      </c>
      <c r="BM144" s="18">
        <v>266.95</v>
      </c>
      <c r="BN144" s="18">
        <v>218.5</v>
      </c>
      <c r="BO144" s="18">
        <v>315.39999999999998</v>
      </c>
      <c r="BP144" s="18"/>
      <c r="BQ144" s="18"/>
      <c r="BR144" s="18"/>
      <c r="BS144" s="18"/>
      <c r="BT144" s="10">
        <f>Tabelle58971121[[#This Row],[Mindestauslastung durch]]*Tabelle58971121[[#This Row],[installierte Leistung MW durch]]</f>
        <v>0</v>
      </c>
      <c r="BU144" s="10">
        <f>Tabelle58971121[[#This Row],[Mindestauslastung min]]*Tabelle58971121[[#This Row],[installierte Leistung MW min]]</f>
        <v>0</v>
      </c>
      <c r="BV144" s="10">
        <f>Tabelle58971121[[#This Row],[Mindestauslastung max]]*Tabelle58971121[[#This Row],[installierte Leistung MW max]]</f>
        <v>0</v>
      </c>
      <c r="BW144" s="8">
        <v>0</v>
      </c>
      <c r="BX144" s="8">
        <v>0</v>
      </c>
      <c r="BY144" s="8">
        <v>0</v>
      </c>
      <c r="BZ144" s="8"/>
      <c r="CA144" s="8">
        <v>0.57999999999999996</v>
      </c>
      <c r="CB144" s="8">
        <v>0.57999999999999996</v>
      </c>
      <c r="CC144" s="8">
        <v>0.57999999999999996</v>
      </c>
      <c r="CD144" s="8">
        <v>0.57999999999999996</v>
      </c>
      <c r="CE144" s="8">
        <v>0.57999999999999996</v>
      </c>
      <c r="CF144" s="8">
        <v>0.57999999999999996</v>
      </c>
      <c r="CG144" s="8">
        <v>0.77</v>
      </c>
      <c r="CH144" s="8">
        <v>0.77</v>
      </c>
      <c r="CI144" s="8">
        <v>0.77</v>
      </c>
      <c r="CJ144" s="8">
        <v>0.48</v>
      </c>
      <c r="CK144" s="8">
        <v>0.48</v>
      </c>
      <c r="CL144" s="8">
        <v>0.48</v>
      </c>
      <c r="CM144" s="8">
        <v>0.48</v>
      </c>
      <c r="CN144" s="8">
        <v>0.48</v>
      </c>
      <c r="CO144" s="8">
        <v>0.48</v>
      </c>
      <c r="CP144" s="8">
        <v>0.64</v>
      </c>
      <c r="CQ144" s="8">
        <v>0.64</v>
      </c>
      <c r="CR144" s="8">
        <v>0.64</v>
      </c>
      <c r="CS144" s="8">
        <v>0.57999999999999996</v>
      </c>
      <c r="CT144" s="8">
        <v>0.57999999999999996</v>
      </c>
      <c r="CU144" s="8">
        <v>0.57999999999999996</v>
      </c>
      <c r="CV144" s="8">
        <v>0.38</v>
      </c>
      <c r="CW144" s="8">
        <v>0.38</v>
      </c>
      <c r="CX144" s="8">
        <v>0.38</v>
      </c>
      <c r="CY144" s="8">
        <v>0.5</v>
      </c>
      <c r="CZ144" s="8">
        <v>0.5</v>
      </c>
      <c r="DA144" s="8">
        <v>0.5</v>
      </c>
      <c r="DB144" s="8"/>
      <c r="DC144" s="8"/>
      <c r="DD144" s="8"/>
      <c r="DE144" s="48">
        <f>Tabelle58971121[[#This Row],[Durchschnittsauslastung min]]*Tabelle58971121[[#This Row],[installierte Leistung MW min]]</f>
        <v>0</v>
      </c>
      <c r="DF144" s="48">
        <f>Tabelle58971121[[#This Row],[Durchschnittsauslastung durch]]*Tabelle58971121[[#This Row],[installierte Leistung MW durch]]</f>
        <v>0</v>
      </c>
      <c r="DG144" s="48">
        <f>Tabelle58971121[[#This Row],[Durchschnittsauslastung max]]*Tabelle58971121[[#This Row],[installierte Leistung MW max]]</f>
        <v>0</v>
      </c>
      <c r="DH144" s="87">
        <f>Tabelle58971121[[#This Row],[Maximalauslastung durch]]*Tabelle58971121[[#This Row],[installierte Leistung MW min]]</f>
        <v>437</v>
      </c>
      <c r="DI144" s="48">
        <f>Tabelle58971121[[#This Row],[Maximalauslastung durch]]*Tabelle58971121[[#This Row],[installierte Leistung MW durch]]</f>
        <v>533.9</v>
      </c>
      <c r="DJ144" s="18">
        <f>Tabelle58971121[[#This Row],[Maximalauslastung max]]*Tabelle58971121[[#This Row],[installierte Leistung MW durch]]</f>
        <v>533.9</v>
      </c>
      <c r="DK144" s="8">
        <v>1</v>
      </c>
      <c r="DL144" s="8">
        <v>1</v>
      </c>
      <c r="DM144" s="8">
        <v>1</v>
      </c>
      <c r="DN144" s="1">
        <v>533.9</v>
      </c>
      <c r="DO144" s="1">
        <v>437</v>
      </c>
      <c r="DP144" s="1">
        <v>630.79999999999995</v>
      </c>
      <c r="DQ144" s="18"/>
      <c r="DR144" s="18"/>
      <c r="DW144" s="1">
        <v>2.9874999999999998</v>
      </c>
      <c r="DX144" s="1">
        <v>1.2</v>
      </c>
      <c r="DY144" s="1">
        <v>5.8</v>
      </c>
      <c r="EL144" s="1">
        <v>365</v>
      </c>
      <c r="EM144" s="1">
        <v>292</v>
      </c>
      <c r="EN144" s="1">
        <v>438</v>
      </c>
      <c r="EO144" s="10"/>
      <c r="EP144" s="10"/>
      <c r="EQ144" s="10"/>
      <c r="ER144" s="1">
        <v>365</v>
      </c>
      <c r="ES144" s="1">
        <v>292</v>
      </c>
      <c r="ET144" s="1">
        <v>438</v>
      </c>
      <c r="EV144" s="18"/>
      <c r="EW144" s="18"/>
      <c r="EX144" s="18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O144" s="1">
        <v>67</v>
      </c>
      <c r="FP144" s="1">
        <v>67</v>
      </c>
      <c r="FQ144" s="1">
        <v>67</v>
      </c>
      <c r="FR144" s="12" t="s">
        <v>743</v>
      </c>
      <c r="FS144" s="12" t="s">
        <v>743</v>
      </c>
      <c r="FT144" s="12" t="s">
        <v>743</v>
      </c>
      <c r="FU144" s="12"/>
      <c r="FV144" s="12" t="s">
        <v>743</v>
      </c>
      <c r="FW144" s="12" t="s">
        <v>743</v>
      </c>
      <c r="FX144" s="12" t="s">
        <v>743</v>
      </c>
      <c r="FY144" s="12" t="s">
        <v>743</v>
      </c>
      <c r="FZ144" s="12" t="s">
        <v>743</v>
      </c>
      <c r="GA144" s="12" t="s">
        <v>743</v>
      </c>
      <c r="GB144" s="12" t="s">
        <v>743</v>
      </c>
      <c r="GE144" s="12" t="s">
        <v>743</v>
      </c>
      <c r="GF144" s="12" t="s">
        <v>743</v>
      </c>
      <c r="GH144" s="12" t="s">
        <v>743</v>
      </c>
    </row>
    <row r="145" spans="1:193" ht="12.75" customHeight="1" x14ac:dyDescent="0.2">
      <c r="A145" s="1" t="s">
        <v>209</v>
      </c>
      <c r="B145" s="1" t="s">
        <v>686</v>
      </c>
      <c r="E145" s="1" t="s">
        <v>129</v>
      </c>
      <c r="F145" s="1">
        <v>2</v>
      </c>
      <c r="G145" s="1">
        <v>2050</v>
      </c>
      <c r="H145" s="1">
        <v>1</v>
      </c>
      <c r="I145" s="1">
        <v>0</v>
      </c>
      <c r="J145" s="1">
        <v>0</v>
      </c>
      <c r="K145" s="18"/>
      <c r="L145" s="18"/>
      <c r="M145" s="18"/>
      <c r="N145" s="18">
        <v>306.40239999999994</v>
      </c>
      <c r="O145" s="18">
        <v>250.792</v>
      </c>
      <c r="P145" s="18">
        <v>362.01279999999997</v>
      </c>
      <c r="Q145" s="18">
        <v>221.87759999999997</v>
      </c>
      <c r="R145" s="18">
        <v>181.60799999999998</v>
      </c>
      <c r="S145" s="18">
        <v>262.1472</v>
      </c>
      <c r="T145" s="18">
        <v>306.40239999999994</v>
      </c>
      <c r="U145" s="18">
        <v>250.792</v>
      </c>
      <c r="V145" s="18">
        <v>362.01279999999997</v>
      </c>
      <c r="W145" s="18">
        <v>221.87759999999997</v>
      </c>
      <c r="X145" s="18">
        <v>181.60799999999998</v>
      </c>
      <c r="Y145" s="18">
        <v>262.1472</v>
      </c>
      <c r="Z145" s="18">
        <v>406.7756</v>
      </c>
      <c r="AA145" s="18">
        <v>332.94799999999998</v>
      </c>
      <c r="AB145" s="18">
        <v>480.60319999999996</v>
      </c>
      <c r="AC145" s="18">
        <v>121.50439999999999</v>
      </c>
      <c r="AD145" s="18">
        <v>99.451999999999998</v>
      </c>
      <c r="AE145" s="18">
        <v>143.55679999999998</v>
      </c>
      <c r="AF145" s="18">
        <v>253.57439999999997</v>
      </c>
      <c r="AG145" s="18">
        <v>207.55199999999999</v>
      </c>
      <c r="AH145" s="18">
        <v>299.59680000000003</v>
      </c>
      <c r="AI145" s="18">
        <v>274.7056</v>
      </c>
      <c r="AJ145" s="18">
        <v>224.84799999999998</v>
      </c>
      <c r="AK145" s="18">
        <v>324.56319999999994</v>
      </c>
      <c r="AL145" s="18">
        <v>253.57439999999997</v>
      </c>
      <c r="AM145" s="18">
        <v>207.55199999999999</v>
      </c>
      <c r="AN145" s="18">
        <v>299.59680000000003</v>
      </c>
      <c r="AO145" s="18">
        <v>274.7056</v>
      </c>
      <c r="AP145" s="18">
        <v>224.84799999999998</v>
      </c>
      <c r="AQ145" s="18">
        <v>324.56319999999994</v>
      </c>
      <c r="AR145" s="18">
        <v>338.0992</v>
      </c>
      <c r="AS145" s="18">
        <v>276.73599999999999</v>
      </c>
      <c r="AT145" s="18">
        <v>399.46239999999995</v>
      </c>
      <c r="AU145" s="18">
        <v>190.18079999999998</v>
      </c>
      <c r="AV145" s="18">
        <v>155.66399999999999</v>
      </c>
      <c r="AW145" s="18">
        <v>224.69759999999997</v>
      </c>
      <c r="AX145" s="18">
        <v>306.40239999999994</v>
      </c>
      <c r="AY145" s="18">
        <v>250.792</v>
      </c>
      <c r="AZ145" s="18">
        <v>362.01279999999997</v>
      </c>
      <c r="BA145" s="18">
        <v>221.87759999999997</v>
      </c>
      <c r="BB145" s="18">
        <v>181.60799999999998</v>
      </c>
      <c r="BC145" s="18">
        <v>262.1472</v>
      </c>
      <c r="BD145" s="18">
        <v>200.74639999999999</v>
      </c>
      <c r="BE145" s="18">
        <v>164.31200000000001</v>
      </c>
      <c r="BF145" s="18">
        <v>237.18079999999998</v>
      </c>
      <c r="BG145" s="18">
        <v>327.53359999999998</v>
      </c>
      <c r="BH145" s="18">
        <v>268.08799999999997</v>
      </c>
      <c r="BI145" s="18">
        <v>386.97919999999999</v>
      </c>
      <c r="BJ145" s="18">
        <v>264.14</v>
      </c>
      <c r="BK145" s="18">
        <v>216.2</v>
      </c>
      <c r="BL145" s="18">
        <v>312.08</v>
      </c>
      <c r="BM145" s="18">
        <v>264.14</v>
      </c>
      <c r="BN145" s="18">
        <v>216.2</v>
      </c>
      <c r="BO145" s="18">
        <v>312.08</v>
      </c>
      <c r="BP145" s="18"/>
      <c r="BQ145" s="18"/>
      <c r="BR145" s="18"/>
      <c r="BS145" s="18"/>
      <c r="BT145" s="10">
        <f>Tabelle58971121[[#This Row],[Mindestauslastung durch]]*Tabelle58971121[[#This Row],[installierte Leistung MW durch]]</f>
        <v>0</v>
      </c>
      <c r="BU145" s="10">
        <f>Tabelle58971121[[#This Row],[Mindestauslastung min]]*Tabelle58971121[[#This Row],[installierte Leistung MW min]]</f>
        <v>0</v>
      </c>
      <c r="BV145" s="10">
        <f>Tabelle58971121[[#This Row],[Mindestauslastung max]]*Tabelle58971121[[#This Row],[installierte Leistung MW max]]</f>
        <v>0</v>
      </c>
      <c r="BW145" s="8">
        <v>0</v>
      </c>
      <c r="BX145" s="8">
        <v>0</v>
      </c>
      <c r="BY145" s="8">
        <v>0</v>
      </c>
      <c r="BZ145" s="8"/>
      <c r="CA145" s="8">
        <v>0.57999999999999996</v>
      </c>
      <c r="CB145" s="8">
        <v>0.57999999999999996</v>
      </c>
      <c r="CC145" s="8">
        <v>0.57999999999999996</v>
      </c>
      <c r="CD145" s="8">
        <v>0.57999999999999996</v>
      </c>
      <c r="CE145" s="8">
        <v>0.57999999999999996</v>
      </c>
      <c r="CF145" s="8">
        <v>0.57999999999999996</v>
      </c>
      <c r="CG145" s="8">
        <v>0.77</v>
      </c>
      <c r="CH145" s="8">
        <v>0.77</v>
      </c>
      <c r="CI145" s="8">
        <v>0.77</v>
      </c>
      <c r="CJ145" s="8">
        <v>0.48</v>
      </c>
      <c r="CK145" s="8">
        <v>0.48</v>
      </c>
      <c r="CL145" s="8">
        <v>0.48</v>
      </c>
      <c r="CM145" s="8">
        <v>0.48</v>
      </c>
      <c r="CN145" s="8">
        <v>0.48</v>
      </c>
      <c r="CO145" s="8">
        <v>0.48</v>
      </c>
      <c r="CP145" s="8">
        <v>0.64</v>
      </c>
      <c r="CQ145" s="8">
        <v>0.64</v>
      </c>
      <c r="CR145" s="8">
        <v>0.64</v>
      </c>
      <c r="CS145" s="8">
        <v>0.57999999999999996</v>
      </c>
      <c r="CT145" s="8">
        <v>0.57999999999999996</v>
      </c>
      <c r="CU145" s="8">
        <v>0.57999999999999996</v>
      </c>
      <c r="CV145" s="8">
        <v>0.38</v>
      </c>
      <c r="CW145" s="8">
        <v>0.38</v>
      </c>
      <c r="CX145" s="8">
        <v>0.38</v>
      </c>
      <c r="CY145" s="8">
        <v>0.5</v>
      </c>
      <c r="CZ145" s="8">
        <v>0.5</v>
      </c>
      <c r="DA145" s="8">
        <v>0.5</v>
      </c>
      <c r="DB145" s="8"/>
      <c r="DC145" s="8"/>
      <c r="DD145" s="8"/>
      <c r="DE145" s="48">
        <f>Tabelle58971121[[#This Row],[Durchschnittsauslastung min]]*Tabelle58971121[[#This Row],[installierte Leistung MW min]]</f>
        <v>0</v>
      </c>
      <c r="DF145" s="48">
        <f>Tabelle58971121[[#This Row],[Durchschnittsauslastung durch]]*Tabelle58971121[[#This Row],[installierte Leistung MW durch]]</f>
        <v>0</v>
      </c>
      <c r="DG145" s="48">
        <f>Tabelle58971121[[#This Row],[Durchschnittsauslastung max]]*Tabelle58971121[[#This Row],[installierte Leistung MW max]]</f>
        <v>0</v>
      </c>
      <c r="DH145" s="87">
        <f>Tabelle58971121[[#This Row],[Maximalauslastung durch]]*Tabelle58971121[[#This Row],[installierte Leistung MW min]]</f>
        <v>432.4</v>
      </c>
      <c r="DI145" s="48">
        <f>Tabelle58971121[[#This Row],[Maximalauslastung durch]]*Tabelle58971121[[#This Row],[installierte Leistung MW durch]]</f>
        <v>528.28</v>
      </c>
      <c r="DJ145" s="18">
        <f>Tabelle58971121[[#This Row],[Maximalauslastung max]]*Tabelle58971121[[#This Row],[installierte Leistung MW durch]]</f>
        <v>528.28</v>
      </c>
      <c r="DK145" s="8">
        <v>1</v>
      </c>
      <c r="DL145" s="8">
        <v>1</v>
      </c>
      <c r="DM145" s="8">
        <v>1</v>
      </c>
      <c r="DN145" s="1">
        <v>528.28</v>
      </c>
      <c r="DO145" s="1">
        <v>432.4</v>
      </c>
      <c r="DP145" s="1">
        <v>624.16</v>
      </c>
      <c r="DQ145" s="18"/>
      <c r="DR145" s="18"/>
      <c r="DW145" s="1">
        <v>2.9874999999999998</v>
      </c>
      <c r="DX145" s="1">
        <v>1.2</v>
      </c>
      <c r="DY145" s="1">
        <v>5.8</v>
      </c>
      <c r="EL145" s="1">
        <v>365</v>
      </c>
      <c r="EM145" s="1">
        <v>292</v>
      </c>
      <c r="EN145" s="1">
        <v>438</v>
      </c>
      <c r="EO145" s="10"/>
      <c r="EP145" s="10"/>
      <c r="EQ145" s="10"/>
      <c r="ER145" s="1">
        <v>365</v>
      </c>
      <c r="ES145" s="1">
        <v>292</v>
      </c>
      <c r="ET145" s="1">
        <v>438</v>
      </c>
      <c r="EV145" s="18"/>
      <c r="EW145" s="18"/>
      <c r="EX145" s="18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O145" s="1">
        <v>67</v>
      </c>
      <c r="FP145" s="1">
        <v>67</v>
      </c>
      <c r="FQ145" s="1">
        <v>67</v>
      </c>
      <c r="FR145" s="12" t="s">
        <v>743</v>
      </c>
      <c r="FS145" s="12" t="s">
        <v>743</v>
      </c>
      <c r="FT145" s="12" t="s">
        <v>743</v>
      </c>
      <c r="FU145" s="12"/>
      <c r="FV145" s="12" t="s">
        <v>743</v>
      </c>
      <c r="FW145" s="12" t="s">
        <v>743</v>
      </c>
      <c r="FX145" s="12" t="s">
        <v>743</v>
      </c>
      <c r="FY145" s="12" t="s">
        <v>743</v>
      </c>
      <c r="FZ145" s="12" t="s">
        <v>743</v>
      </c>
      <c r="GA145" s="12" t="s">
        <v>743</v>
      </c>
      <c r="GB145" s="12" t="s">
        <v>743</v>
      </c>
      <c r="GE145" s="12" t="s">
        <v>743</v>
      </c>
      <c r="GF145" s="12" t="s">
        <v>743</v>
      </c>
      <c r="GH145" s="12" t="s">
        <v>743</v>
      </c>
    </row>
    <row r="146" spans="1:193" ht="12.75" customHeight="1" x14ac:dyDescent="0.2">
      <c r="A146" s="1" t="s">
        <v>211</v>
      </c>
      <c r="B146" s="1" t="s">
        <v>646</v>
      </c>
      <c r="E146" s="1" t="s">
        <v>129</v>
      </c>
      <c r="F146" s="1">
        <v>2</v>
      </c>
      <c r="G146" s="1">
        <v>2015</v>
      </c>
      <c r="H146" s="1">
        <v>1</v>
      </c>
      <c r="I146" s="1">
        <v>0</v>
      </c>
      <c r="J146" s="1">
        <v>0</v>
      </c>
      <c r="K146" s="18"/>
      <c r="L146" s="18"/>
      <c r="M146" s="18"/>
      <c r="N146" s="18">
        <v>21.56</v>
      </c>
      <c r="O146" s="18">
        <v>11.132</v>
      </c>
      <c r="P146" s="18">
        <v>35.155999999999999</v>
      </c>
      <c r="Q146" s="18">
        <v>0.61599999999999999</v>
      </c>
      <c r="R146" s="18">
        <v>0</v>
      </c>
      <c r="S146" s="18">
        <v>11.968</v>
      </c>
      <c r="T146" s="18">
        <v>5.5439999999999996</v>
      </c>
      <c r="U146" s="18">
        <v>0.96799999999999997</v>
      </c>
      <c r="V146" s="18">
        <v>11.968</v>
      </c>
      <c r="W146" s="18">
        <v>16.632000000000001</v>
      </c>
      <c r="X146" s="18">
        <v>8.227999999999998</v>
      </c>
      <c r="Y146" s="18">
        <v>27.675999999999998</v>
      </c>
      <c r="Z146" s="18">
        <v>5.5439999999999996</v>
      </c>
      <c r="AA146" s="18">
        <v>0.96799999999999997</v>
      </c>
      <c r="AB146" s="18">
        <v>11.968</v>
      </c>
      <c r="AC146" s="18">
        <v>16.632000000000001</v>
      </c>
      <c r="AD146" s="18">
        <v>8.227999999999998</v>
      </c>
      <c r="AE146" s="18">
        <v>27.675999999999998</v>
      </c>
      <c r="AF146" s="18">
        <v>21.56</v>
      </c>
      <c r="AG146" s="18">
        <v>11.132</v>
      </c>
      <c r="AH146" s="18">
        <v>35.155999999999999</v>
      </c>
      <c r="AI146" s="18">
        <v>0.61599999999999999</v>
      </c>
      <c r="AJ146" s="18">
        <v>0</v>
      </c>
      <c r="AK146" s="18">
        <v>11.968</v>
      </c>
      <c r="AL146" s="18">
        <v>5.5439999999999996</v>
      </c>
      <c r="AM146" s="18">
        <v>0.96799999999999997</v>
      </c>
      <c r="AN146" s="18">
        <v>11.968</v>
      </c>
      <c r="AO146" s="18">
        <v>16.632000000000001</v>
      </c>
      <c r="AP146" s="18">
        <v>8.227999999999998</v>
      </c>
      <c r="AQ146" s="18">
        <v>27.675999999999998</v>
      </c>
      <c r="AR146" s="18">
        <v>5.5439999999999996</v>
      </c>
      <c r="AS146" s="18">
        <v>0.96799999999999997</v>
      </c>
      <c r="AT146" s="18">
        <v>11.968</v>
      </c>
      <c r="AU146" s="18">
        <v>16.632000000000001</v>
      </c>
      <c r="AV146" s="18">
        <v>8.227999999999998</v>
      </c>
      <c r="AW146" s="18">
        <v>27.675999999999998</v>
      </c>
      <c r="AX146" s="18">
        <v>21.56</v>
      </c>
      <c r="AY146" s="18">
        <v>11.132</v>
      </c>
      <c r="AZ146" s="18">
        <v>35.155999999999999</v>
      </c>
      <c r="BA146" s="18">
        <v>0.61599999999999999</v>
      </c>
      <c r="BB146" s="18">
        <v>0</v>
      </c>
      <c r="BC146" s="18">
        <v>11.968</v>
      </c>
      <c r="BD146" s="18">
        <v>5.5439999999999996</v>
      </c>
      <c r="BE146" s="18">
        <v>0.96799999999999997</v>
      </c>
      <c r="BF146" s="18">
        <v>11.968</v>
      </c>
      <c r="BG146" s="18">
        <v>16.632000000000001</v>
      </c>
      <c r="BH146" s="18">
        <v>8.227999999999998</v>
      </c>
      <c r="BI146" s="18">
        <v>27.675999999999998</v>
      </c>
      <c r="BJ146" s="18">
        <v>5.5439999999999996</v>
      </c>
      <c r="BK146" s="18">
        <v>0.96799999999999997</v>
      </c>
      <c r="BL146" s="18">
        <v>11.968</v>
      </c>
      <c r="BM146" s="18">
        <v>16.632000000000001</v>
      </c>
      <c r="BN146" s="18">
        <v>8.227999999999998</v>
      </c>
      <c r="BO146" s="18">
        <v>27.675999999999998</v>
      </c>
      <c r="BP146" s="18"/>
      <c r="BQ146" s="18"/>
      <c r="BR146" s="18"/>
      <c r="BS146" s="18"/>
      <c r="BT146" s="10">
        <f>Tabelle58971121[[#This Row],[Mindestauslastung durch]]*Tabelle58971121[[#This Row],[installierte Leistung MW durch]]</f>
        <v>46.199999999999996</v>
      </c>
      <c r="BU146" s="10">
        <f>Tabelle58971121[[#This Row],[Mindestauslastung min]]*Tabelle58971121[[#This Row],[installierte Leistung MW min]]</f>
        <v>31.46</v>
      </c>
      <c r="BV146" s="10">
        <f>Tabelle58971121[[#This Row],[Mindestauslastung max]]*Tabelle58971121[[#This Row],[installierte Leistung MW max]]</f>
        <v>63.580000000000005</v>
      </c>
      <c r="BW146" s="8">
        <v>0.15</v>
      </c>
      <c r="BX146" s="8">
        <v>0.13</v>
      </c>
      <c r="BY146" s="8">
        <v>0.17</v>
      </c>
      <c r="BZ146" s="8"/>
      <c r="CA146" s="8">
        <v>0.5</v>
      </c>
      <c r="CB146" s="8">
        <v>0.4</v>
      </c>
      <c r="CC146" s="8">
        <v>0.6</v>
      </c>
      <c r="CD146" s="8">
        <v>0.24</v>
      </c>
      <c r="CE146" s="8">
        <v>0.19</v>
      </c>
      <c r="CF146" s="8">
        <v>0.28999999999999998</v>
      </c>
      <c r="CG146" s="8">
        <v>0.24</v>
      </c>
      <c r="CH146" s="8">
        <v>0.19</v>
      </c>
      <c r="CI146" s="8">
        <v>0.28999999999999998</v>
      </c>
      <c r="CJ146" s="8">
        <v>0.5</v>
      </c>
      <c r="CK146" s="8">
        <v>0.4</v>
      </c>
      <c r="CL146" s="8">
        <v>0.6</v>
      </c>
      <c r="CM146" s="8">
        <v>0.24</v>
      </c>
      <c r="CN146" s="8">
        <v>0.19</v>
      </c>
      <c r="CO146" s="8">
        <v>0.28999999999999998</v>
      </c>
      <c r="CP146" s="8">
        <v>0.24</v>
      </c>
      <c r="CQ146" s="8">
        <v>0.19</v>
      </c>
      <c r="CR146" s="8">
        <v>0.28999999999999998</v>
      </c>
      <c r="CS146" s="8">
        <v>0.5</v>
      </c>
      <c r="CT146" s="8">
        <v>0.4</v>
      </c>
      <c r="CU146" s="8">
        <v>0.6</v>
      </c>
      <c r="CV146" s="8">
        <v>0.24</v>
      </c>
      <c r="CW146" s="8">
        <v>0.19</v>
      </c>
      <c r="CX146" s="8">
        <v>0.28999999999999998</v>
      </c>
      <c r="CY146" s="8">
        <v>0.24</v>
      </c>
      <c r="CZ146" s="8">
        <v>0.19</v>
      </c>
      <c r="DA146" s="8">
        <v>0.28999999999999998</v>
      </c>
      <c r="DB146" s="8"/>
      <c r="DC146" s="8"/>
      <c r="DD146" s="8"/>
      <c r="DE146" s="48">
        <f>Tabelle58971121[[#This Row],[Durchschnittsauslastung min]]*Tabelle58971121[[#This Row],[installierte Leistung MW min]]</f>
        <v>0</v>
      </c>
      <c r="DF146" s="48">
        <f>Tabelle58971121[[#This Row],[Durchschnittsauslastung durch]]*Tabelle58971121[[#This Row],[installierte Leistung MW durch]]</f>
        <v>0</v>
      </c>
      <c r="DG146" s="48">
        <f>Tabelle58971121[[#This Row],[Durchschnittsauslastung max]]*Tabelle58971121[[#This Row],[installierte Leistung MW max]]</f>
        <v>0</v>
      </c>
      <c r="DH146" s="87">
        <f>Tabelle58971121[[#This Row],[Maximalauslastung durch]]*Tabelle58971121[[#This Row],[installierte Leistung MW min]]</f>
        <v>123.42</v>
      </c>
      <c r="DI146" s="48">
        <f>Tabelle58971121[[#This Row],[Maximalauslastung durch]]*Tabelle58971121[[#This Row],[installierte Leistung MW durch]]</f>
        <v>157.08000000000001</v>
      </c>
      <c r="DJ146" s="18">
        <f>Tabelle58971121[[#This Row],[Maximalauslastung max]]*Tabelle58971121[[#This Row],[installierte Leistung MW durch]]</f>
        <v>172.48000000000002</v>
      </c>
      <c r="DK146" s="8">
        <v>0.51</v>
      </c>
      <c r="DL146" s="8">
        <v>0.46</v>
      </c>
      <c r="DM146" s="8">
        <v>0.56000000000000005</v>
      </c>
      <c r="DN146" s="1">
        <v>308</v>
      </c>
      <c r="DO146" s="1">
        <v>242</v>
      </c>
      <c r="DP146" s="1">
        <v>374</v>
      </c>
      <c r="DQ146" s="18"/>
      <c r="DR146" s="18"/>
      <c r="DW146" s="1">
        <v>1.1000000000000001</v>
      </c>
      <c r="DX146" s="1">
        <v>0.8</v>
      </c>
      <c r="DY146" s="1">
        <v>1.4</v>
      </c>
      <c r="EL146" s="1">
        <v>365</v>
      </c>
      <c r="EM146" s="1">
        <v>292</v>
      </c>
      <c r="EN146" s="1">
        <v>438</v>
      </c>
      <c r="EO146" s="10"/>
      <c r="EP146" s="10"/>
      <c r="EQ146" s="10"/>
      <c r="ER146" s="1">
        <v>365</v>
      </c>
      <c r="ES146" s="1">
        <v>292</v>
      </c>
      <c r="ET146" s="1">
        <v>438</v>
      </c>
      <c r="EV146" s="18"/>
      <c r="EW146" s="18"/>
      <c r="EX146" s="18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O146" s="1">
        <v>67</v>
      </c>
      <c r="FP146" s="1">
        <v>67</v>
      </c>
      <c r="FQ146" s="1">
        <v>67</v>
      </c>
      <c r="FR146" s="12" t="s">
        <v>743</v>
      </c>
      <c r="FS146" s="12" t="s">
        <v>743</v>
      </c>
      <c r="FT146" s="12" t="s">
        <v>743</v>
      </c>
      <c r="FU146" s="12"/>
      <c r="FV146" s="12" t="s">
        <v>743</v>
      </c>
      <c r="FW146" s="12" t="s">
        <v>743</v>
      </c>
      <c r="FX146" s="12" t="s">
        <v>743</v>
      </c>
      <c r="FY146" s="12" t="s">
        <v>743</v>
      </c>
      <c r="FZ146" s="12" t="s">
        <v>743</v>
      </c>
      <c r="GA146" s="12" t="s">
        <v>743</v>
      </c>
      <c r="GB146" s="12" t="s">
        <v>743</v>
      </c>
      <c r="GE146" s="12" t="s">
        <v>743</v>
      </c>
      <c r="GF146" s="12" t="s">
        <v>743</v>
      </c>
      <c r="GH146" s="12" t="s">
        <v>743</v>
      </c>
    </row>
    <row r="147" spans="1:193" ht="12.75" customHeight="1" x14ac:dyDescent="0.2">
      <c r="A147" s="1" t="s">
        <v>211</v>
      </c>
      <c r="B147" s="1" t="s">
        <v>646</v>
      </c>
      <c r="E147" s="1" t="s">
        <v>129</v>
      </c>
      <c r="F147" s="1">
        <v>2</v>
      </c>
      <c r="G147" s="1">
        <v>2020</v>
      </c>
      <c r="H147" s="1">
        <v>1</v>
      </c>
      <c r="I147" s="1">
        <v>0</v>
      </c>
      <c r="J147" s="1">
        <v>0</v>
      </c>
      <c r="K147" s="18"/>
      <c r="L147" s="18"/>
      <c r="M147" s="18"/>
      <c r="N147" s="18">
        <v>21.991199999999999</v>
      </c>
      <c r="O147" s="18">
        <v>11.35464</v>
      </c>
      <c r="P147" s="18">
        <v>35.859119999999997</v>
      </c>
      <c r="Q147" s="18">
        <v>0.62831999999999999</v>
      </c>
      <c r="R147" s="18">
        <v>0</v>
      </c>
      <c r="S147" s="18">
        <v>12.20736</v>
      </c>
      <c r="T147" s="18">
        <v>5.6548799999999995</v>
      </c>
      <c r="U147" s="18">
        <v>0.98736000000000002</v>
      </c>
      <c r="V147" s="18">
        <v>12.20736</v>
      </c>
      <c r="W147" s="18">
        <v>16.964640000000003</v>
      </c>
      <c r="X147" s="18">
        <v>8.3925599999999978</v>
      </c>
      <c r="Y147" s="18">
        <v>28.229519999999997</v>
      </c>
      <c r="Z147" s="18">
        <v>5.6548799999999995</v>
      </c>
      <c r="AA147" s="18">
        <v>0.98736000000000002</v>
      </c>
      <c r="AB147" s="18">
        <v>12.20736</v>
      </c>
      <c r="AC147" s="18">
        <v>16.964640000000003</v>
      </c>
      <c r="AD147" s="18">
        <v>8.3925599999999978</v>
      </c>
      <c r="AE147" s="18">
        <v>28.229519999999997</v>
      </c>
      <c r="AF147" s="18">
        <v>21.991199999999999</v>
      </c>
      <c r="AG147" s="18">
        <v>11.35464</v>
      </c>
      <c r="AH147" s="18">
        <v>35.859119999999997</v>
      </c>
      <c r="AI147" s="18">
        <v>0.62831999999999999</v>
      </c>
      <c r="AJ147" s="18">
        <v>0</v>
      </c>
      <c r="AK147" s="18">
        <v>12.20736</v>
      </c>
      <c r="AL147" s="18">
        <v>5.6548799999999995</v>
      </c>
      <c r="AM147" s="18">
        <v>0.98736000000000002</v>
      </c>
      <c r="AN147" s="18">
        <v>12.20736</v>
      </c>
      <c r="AO147" s="18">
        <v>16.964640000000003</v>
      </c>
      <c r="AP147" s="18">
        <v>8.3925599999999978</v>
      </c>
      <c r="AQ147" s="18">
        <v>28.229519999999997</v>
      </c>
      <c r="AR147" s="18">
        <v>5.6548799999999995</v>
      </c>
      <c r="AS147" s="18">
        <v>0.98736000000000002</v>
      </c>
      <c r="AT147" s="18">
        <v>12.20736</v>
      </c>
      <c r="AU147" s="18">
        <v>16.964640000000003</v>
      </c>
      <c r="AV147" s="18">
        <v>8.3925599999999978</v>
      </c>
      <c r="AW147" s="18">
        <v>28.229519999999997</v>
      </c>
      <c r="AX147" s="18">
        <v>21.991199999999999</v>
      </c>
      <c r="AY147" s="18">
        <v>11.35464</v>
      </c>
      <c r="AZ147" s="18">
        <v>35.859119999999997</v>
      </c>
      <c r="BA147" s="18">
        <v>0.62831999999999999</v>
      </c>
      <c r="BB147" s="18">
        <v>0</v>
      </c>
      <c r="BC147" s="18">
        <v>12.20736</v>
      </c>
      <c r="BD147" s="18">
        <v>5.6548799999999995</v>
      </c>
      <c r="BE147" s="18">
        <v>0.98736000000000002</v>
      </c>
      <c r="BF147" s="18">
        <v>12.20736</v>
      </c>
      <c r="BG147" s="18">
        <v>16.964640000000003</v>
      </c>
      <c r="BH147" s="18">
        <v>8.3925599999999978</v>
      </c>
      <c r="BI147" s="18">
        <v>28.229519999999997</v>
      </c>
      <c r="BJ147" s="18">
        <v>5.6548799999999995</v>
      </c>
      <c r="BK147" s="18">
        <v>0.98736000000000002</v>
      </c>
      <c r="BL147" s="18">
        <v>12.20736</v>
      </c>
      <c r="BM147" s="18">
        <v>16.964640000000003</v>
      </c>
      <c r="BN147" s="18">
        <v>8.3925599999999978</v>
      </c>
      <c r="BO147" s="18">
        <v>28.229519999999997</v>
      </c>
      <c r="BP147" s="18"/>
      <c r="BQ147" s="18"/>
      <c r="BR147" s="18"/>
      <c r="BS147" s="18"/>
      <c r="BT147" s="10">
        <f>Tabelle58971121[[#This Row],[Mindestauslastung durch]]*Tabelle58971121[[#This Row],[installierte Leistung MW durch]]</f>
        <v>47.488499999999995</v>
      </c>
      <c r="BU147" s="10">
        <f>Tabelle58971121[[#This Row],[Mindestauslastung min]]*Tabelle58971121[[#This Row],[installierte Leistung MW min]]</f>
        <v>32.347900000000003</v>
      </c>
      <c r="BV147" s="10">
        <f>Tabelle58971121[[#This Row],[Mindestauslastung max]]*Tabelle58971121[[#This Row],[installierte Leistung MW max]]</f>
        <v>65.339500000000015</v>
      </c>
      <c r="BW147" s="8">
        <v>0.15</v>
      </c>
      <c r="BX147" s="8">
        <v>0.13</v>
      </c>
      <c r="BY147" s="8">
        <v>0.17</v>
      </c>
      <c r="BZ147" s="8"/>
      <c r="CA147" s="8">
        <v>0.5</v>
      </c>
      <c r="CB147" s="8">
        <v>0.4</v>
      </c>
      <c r="CC147" s="8">
        <v>0.6</v>
      </c>
      <c r="CD147" s="8">
        <v>0.24</v>
      </c>
      <c r="CE147" s="8">
        <v>0.19</v>
      </c>
      <c r="CF147" s="8">
        <v>0.28999999999999998</v>
      </c>
      <c r="CG147" s="8">
        <v>0.24</v>
      </c>
      <c r="CH147" s="8">
        <v>0.19</v>
      </c>
      <c r="CI147" s="8">
        <v>0.28999999999999998</v>
      </c>
      <c r="CJ147" s="8">
        <v>0.5</v>
      </c>
      <c r="CK147" s="8">
        <v>0.4</v>
      </c>
      <c r="CL147" s="8">
        <v>0.6</v>
      </c>
      <c r="CM147" s="8">
        <v>0.24</v>
      </c>
      <c r="CN147" s="8">
        <v>0.19</v>
      </c>
      <c r="CO147" s="8">
        <v>0.28999999999999998</v>
      </c>
      <c r="CP147" s="8">
        <v>0.24</v>
      </c>
      <c r="CQ147" s="8">
        <v>0.19</v>
      </c>
      <c r="CR147" s="8">
        <v>0.28999999999999998</v>
      </c>
      <c r="CS147" s="8">
        <v>0.5</v>
      </c>
      <c r="CT147" s="8">
        <v>0.4</v>
      </c>
      <c r="CU147" s="8">
        <v>0.6</v>
      </c>
      <c r="CV147" s="8">
        <v>0.24</v>
      </c>
      <c r="CW147" s="8">
        <v>0.19</v>
      </c>
      <c r="CX147" s="8">
        <v>0.28999999999999998</v>
      </c>
      <c r="CY147" s="8">
        <v>0.24</v>
      </c>
      <c r="CZ147" s="8">
        <v>0.19</v>
      </c>
      <c r="DA147" s="8">
        <v>0.28999999999999998</v>
      </c>
      <c r="DB147" s="8"/>
      <c r="DC147" s="8"/>
      <c r="DD147" s="8"/>
      <c r="DE147" s="48">
        <f>Tabelle58971121[[#This Row],[Durchschnittsauslastung min]]*Tabelle58971121[[#This Row],[installierte Leistung MW min]]</f>
        <v>0</v>
      </c>
      <c r="DF147" s="48">
        <f>Tabelle58971121[[#This Row],[Durchschnittsauslastung durch]]*Tabelle58971121[[#This Row],[installierte Leistung MW durch]]</f>
        <v>0</v>
      </c>
      <c r="DG147" s="48">
        <f>Tabelle58971121[[#This Row],[Durchschnittsauslastung max]]*Tabelle58971121[[#This Row],[installierte Leistung MW max]]</f>
        <v>0</v>
      </c>
      <c r="DH147" s="87">
        <f>Tabelle58971121[[#This Row],[Maximalauslastung durch]]*Tabelle58971121[[#This Row],[installierte Leistung MW min]]</f>
        <v>126.9033</v>
      </c>
      <c r="DI147" s="48">
        <f>Tabelle58971121[[#This Row],[Maximalauslastung durch]]*Tabelle58971121[[#This Row],[installierte Leistung MW durch]]</f>
        <v>161.46089999999998</v>
      </c>
      <c r="DJ147" s="18">
        <f>Tabelle58971121[[#This Row],[Maximalauslastung max]]*Tabelle58971121[[#This Row],[installierte Leistung MW durch]]</f>
        <v>177.29040000000001</v>
      </c>
      <c r="DK147" s="8">
        <v>0.51</v>
      </c>
      <c r="DL147" s="8">
        <v>0.46</v>
      </c>
      <c r="DM147" s="8">
        <v>0.56000000000000005</v>
      </c>
      <c r="DN147" s="1">
        <v>316.58999999999997</v>
      </c>
      <c r="DO147" s="1">
        <v>248.83</v>
      </c>
      <c r="DP147" s="1">
        <v>384.35</v>
      </c>
      <c r="DQ147" s="18"/>
      <c r="DR147" s="18"/>
      <c r="DW147" s="1">
        <v>1.1000000000000001</v>
      </c>
      <c r="DX147" s="1">
        <v>0.8</v>
      </c>
      <c r="DY147" s="1">
        <v>1.4</v>
      </c>
      <c r="EL147" s="1">
        <v>365</v>
      </c>
      <c r="EM147" s="1">
        <v>292</v>
      </c>
      <c r="EN147" s="1">
        <v>438</v>
      </c>
      <c r="EO147" s="10"/>
      <c r="EP147" s="10"/>
      <c r="EQ147" s="10"/>
      <c r="ER147" s="1">
        <v>365</v>
      </c>
      <c r="ES147" s="1">
        <v>292</v>
      </c>
      <c r="ET147" s="1">
        <v>438</v>
      </c>
      <c r="EV147" s="18"/>
      <c r="EW147" s="18"/>
      <c r="EX147" s="18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O147" s="1">
        <v>67</v>
      </c>
      <c r="FP147" s="1">
        <v>67</v>
      </c>
      <c r="FQ147" s="1">
        <v>67</v>
      </c>
      <c r="FR147" s="12" t="s">
        <v>743</v>
      </c>
      <c r="FS147" s="12" t="s">
        <v>743</v>
      </c>
      <c r="FT147" s="12" t="s">
        <v>743</v>
      </c>
      <c r="FU147" s="12"/>
      <c r="FV147" s="12" t="s">
        <v>743</v>
      </c>
      <c r="FW147" s="12" t="s">
        <v>743</v>
      </c>
      <c r="FX147" s="12" t="s">
        <v>743</v>
      </c>
      <c r="FY147" s="12" t="s">
        <v>743</v>
      </c>
      <c r="FZ147" s="12" t="s">
        <v>743</v>
      </c>
      <c r="GA147" s="12" t="s">
        <v>743</v>
      </c>
      <c r="GB147" s="12" t="s">
        <v>743</v>
      </c>
      <c r="GE147" s="12" t="s">
        <v>743</v>
      </c>
      <c r="GF147" s="12" t="s">
        <v>743</v>
      </c>
      <c r="GH147" s="12" t="s">
        <v>743</v>
      </c>
    </row>
    <row r="148" spans="1:193" ht="12.75" customHeight="1" x14ac:dyDescent="0.2">
      <c r="A148" s="1" t="s">
        <v>211</v>
      </c>
      <c r="B148" s="1" t="s">
        <v>646</v>
      </c>
      <c r="E148" s="1" t="s">
        <v>129</v>
      </c>
      <c r="F148" s="1">
        <v>2</v>
      </c>
      <c r="G148" s="1">
        <v>2025</v>
      </c>
      <c r="H148" s="1">
        <v>1</v>
      </c>
      <c r="I148" s="1">
        <v>0</v>
      </c>
      <c r="J148" s="1">
        <v>0</v>
      </c>
      <c r="K148" s="18"/>
      <c r="L148" s="18"/>
      <c r="M148" s="18"/>
      <c r="N148" s="18">
        <v>22.379279999999998</v>
      </c>
      <c r="O148" s="18">
        <v>11.555016</v>
      </c>
      <c r="P148" s="18">
        <v>36.491928000000001</v>
      </c>
      <c r="Q148" s="18">
        <v>0.63940799999999998</v>
      </c>
      <c r="R148" s="18">
        <v>0</v>
      </c>
      <c r="S148" s="18">
        <v>12.422784</v>
      </c>
      <c r="T148" s="18">
        <v>5.7546719999999993</v>
      </c>
      <c r="U148" s="18">
        <v>1.0047839999999999</v>
      </c>
      <c r="V148" s="18">
        <v>12.422784</v>
      </c>
      <c r="W148" s="18">
        <v>17.264016000000002</v>
      </c>
      <c r="X148" s="18">
        <v>8.5406639999999978</v>
      </c>
      <c r="Y148" s="18">
        <v>28.727688000000001</v>
      </c>
      <c r="Z148" s="18">
        <v>5.7546719999999993</v>
      </c>
      <c r="AA148" s="18">
        <v>1.0047839999999999</v>
      </c>
      <c r="AB148" s="18">
        <v>12.422784</v>
      </c>
      <c r="AC148" s="18">
        <v>17.264016000000002</v>
      </c>
      <c r="AD148" s="18">
        <v>8.5406639999999978</v>
      </c>
      <c r="AE148" s="18">
        <v>28.727688000000001</v>
      </c>
      <c r="AF148" s="18">
        <v>22.379279999999998</v>
      </c>
      <c r="AG148" s="18">
        <v>11.555016</v>
      </c>
      <c r="AH148" s="18">
        <v>36.491928000000001</v>
      </c>
      <c r="AI148" s="18">
        <v>0.63940799999999998</v>
      </c>
      <c r="AJ148" s="18">
        <v>0</v>
      </c>
      <c r="AK148" s="18">
        <v>12.422784</v>
      </c>
      <c r="AL148" s="18">
        <v>5.7546719999999993</v>
      </c>
      <c r="AM148" s="18">
        <v>1.0047839999999999</v>
      </c>
      <c r="AN148" s="18">
        <v>12.422784</v>
      </c>
      <c r="AO148" s="18">
        <v>17.264016000000002</v>
      </c>
      <c r="AP148" s="18">
        <v>8.5406639999999978</v>
      </c>
      <c r="AQ148" s="18">
        <v>28.727688000000001</v>
      </c>
      <c r="AR148" s="18">
        <v>5.7546719999999993</v>
      </c>
      <c r="AS148" s="18">
        <v>1.0047839999999999</v>
      </c>
      <c r="AT148" s="18">
        <v>12.422784</v>
      </c>
      <c r="AU148" s="18">
        <v>17.264016000000002</v>
      </c>
      <c r="AV148" s="18">
        <v>8.5406639999999978</v>
      </c>
      <c r="AW148" s="18">
        <v>28.727688000000001</v>
      </c>
      <c r="AX148" s="18">
        <v>22.379279999999998</v>
      </c>
      <c r="AY148" s="18">
        <v>11.555016</v>
      </c>
      <c r="AZ148" s="18">
        <v>36.491928000000001</v>
      </c>
      <c r="BA148" s="18">
        <v>0.63940799999999998</v>
      </c>
      <c r="BB148" s="18">
        <v>0</v>
      </c>
      <c r="BC148" s="18">
        <v>12.422784</v>
      </c>
      <c r="BD148" s="18">
        <v>5.7546719999999993</v>
      </c>
      <c r="BE148" s="18">
        <v>1.0047839999999999</v>
      </c>
      <c r="BF148" s="18">
        <v>12.422784</v>
      </c>
      <c r="BG148" s="18">
        <v>17.264016000000002</v>
      </c>
      <c r="BH148" s="18">
        <v>8.5406639999999978</v>
      </c>
      <c r="BI148" s="18">
        <v>28.727688000000001</v>
      </c>
      <c r="BJ148" s="18">
        <v>5.7546719999999993</v>
      </c>
      <c r="BK148" s="18">
        <v>1.0047839999999999</v>
      </c>
      <c r="BL148" s="18">
        <v>12.422784</v>
      </c>
      <c r="BM148" s="18">
        <v>17.264016000000002</v>
      </c>
      <c r="BN148" s="18">
        <v>8.5406639999999978</v>
      </c>
      <c r="BO148" s="18">
        <v>28.727688000000001</v>
      </c>
      <c r="BP148" s="18"/>
      <c r="BQ148" s="18"/>
      <c r="BR148" s="18"/>
      <c r="BS148" s="18"/>
      <c r="BT148" s="10">
        <f>Tabelle58971121[[#This Row],[Mindestauslastung durch]]*Tabelle58971121[[#This Row],[installierte Leistung MW durch]]</f>
        <v>48.611999999999995</v>
      </c>
      <c r="BU148" s="10">
        <f>Tabelle58971121[[#This Row],[Mindestauslastung min]]*Tabelle58971121[[#This Row],[installierte Leistung MW min]]</f>
        <v>33.121400000000001</v>
      </c>
      <c r="BV148" s="10">
        <f>Tabelle58971121[[#This Row],[Mindestauslastung max]]*Tabelle58971121[[#This Row],[installierte Leistung MW max]]</f>
        <v>66.874600000000001</v>
      </c>
      <c r="BW148" s="8">
        <v>0.15</v>
      </c>
      <c r="BX148" s="8">
        <v>0.13</v>
      </c>
      <c r="BY148" s="8">
        <v>0.17</v>
      </c>
      <c r="BZ148" s="8"/>
      <c r="CA148" s="8">
        <v>0.5</v>
      </c>
      <c r="CB148" s="8">
        <v>0.4</v>
      </c>
      <c r="CC148" s="8">
        <v>0.6</v>
      </c>
      <c r="CD148" s="8">
        <v>0.24</v>
      </c>
      <c r="CE148" s="8">
        <v>0.19</v>
      </c>
      <c r="CF148" s="8">
        <v>0.28999999999999998</v>
      </c>
      <c r="CG148" s="8">
        <v>0.24</v>
      </c>
      <c r="CH148" s="8">
        <v>0.19</v>
      </c>
      <c r="CI148" s="8">
        <v>0.28999999999999998</v>
      </c>
      <c r="CJ148" s="8">
        <v>0.5</v>
      </c>
      <c r="CK148" s="8">
        <v>0.4</v>
      </c>
      <c r="CL148" s="8">
        <v>0.6</v>
      </c>
      <c r="CM148" s="8">
        <v>0.24</v>
      </c>
      <c r="CN148" s="8">
        <v>0.19</v>
      </c>
      <c r="CO148" s="8">
        <v>0.28999999999999998</v>
      </c>
      <c r="CP148" s="8">
        <v>0.24</v>
      </c>
      <c r="CQ148" s="8">
        <v>0.19</v>
      </c>
      <c r="CR148" s="8">
        <v>0.28999999999999998</v>
      </c>
      <c r="CS148" s="8">
        <v>0.5</v>
      </c>
      <c r="CT148" s="8">
        <v>0.4</v>
      </c>
      <c r="CU148" s="8">
        <v>0.6</v>
      </c>
      <c r="CV148" s="8">
        <v>0.24</v>
      </c>
      <c r="CW148" s="8">
        <v>0.19</v>
      </c>
      <c r="CX148" s="8">
        <v>0.28999999999999998</v>
      </c>
      <c r="CY148" s="8">
        <v>0.24</v>
      </c>
      <c r="CZ148" s="8">
        <v>0.19</v>
      </c>
      <c r="DA148" s="8">
        <v>0.28999999999999998</v>
      </c>
      <c r="DB148" s="8"/>
      <c r="DC148" s="8"/>
      <c r="DD148" s="8"/>
      <c r="DE148" s="48">
        <f>Tabelle58971121[[#This Row],[Durchschnittsauslastung min]]*Tabelle58971121[[#This Row],[installierte Leistung MW min]]</f>
        <v>0</v>
      </c>
      <c r="DF148" s="48">
        <f>Tabelle58971121[[#This Row],[Durchschnittsauslastung durch]]*Tabelle58971121[[#This Row],[installierte Leistung MW durch]]</f>
        <v>0</v>
      </c>
      <c r="DG148" s="48">
        <f>Tabelle58971121[[#This Row],[Durchschnittsauslastung max]]*Tabelle58971121[[#This Row],[installierte Leistung MW max]]</f>
        <v>0</v>
      </c>
      <c r="DH148" s="87">
        <f>Tabelle58971121[[#This Row],[Maximalauslastung durch]]*Tabelle58971121[[#This Row],[installierte Leistung MW min]]</f>
        <v>129.93780000000001</v>
      </c>
      <c r="DI148" s="48">
        <f>Tabelle58971121[[#This Row],[Maximalauslastung durch]]*Tabelle58971121[[#This Row],[installierte Leistung MW durch]]</f>
        <v>165.2808</v>
      </c>
      <c r="DJ148" s="18">
        <f>Tabelle58971121[[#This Row],[Maximalauslastung max]]*Tabelle58971121[[#This Row],[installierte Leistung MW durch]]</f>
        <v>181.48480000000001</v>
      </c>
      <c r="DK148" s="8">
        <v>0.51</v>
      </c>
      <c r="DL148" s="8">
        <v>0.46</v>
      </c>
      <c r="DM148" s="8">
        <v>0.56000000000000005</v>
      </c>
      <c r="DN148" s="1">
        <v>324.08</v>
      </c>
      <c r="DO148" s="1">
        <v>254.78</v>
      </c>
      <c r="DP148" s="1">
        <v>393.38</v>
      </c>
      <c r="DQ148" s="18"/>
      <c r="DR148" s="18"/>
      <c r="DW148" s="1">
        <v>1.1000000000000001</v>
      </c>
      <c r="DX148" s="1">
        <v>0.8</v>
      </c>
      <c r="DY148" s="1">
        <v>1.4</v>
      </c>
      <c r="EL148" s="1">
        <v>365</v>
      </c>
      <c r="EM148" s="1">
        <v>292</v>
      </c>
      <c r="EN148" s="1">
        <v>438</v>
      </c>
      <c r="EO148" s="10"/>
      <c r="EP148" s="10"/>
      <c r="EQ148" s="10"/>
      <c r="ER148" s="1">
        <v>365</v>
      </c>
      <c r="ES148" s="1">
        <v>292</v>
      </c>
      <c r="ET148" s="1">
        <v>438</v>
      </c>
      <c r="EV148" s="18"/>
      <c r="EW148" s="18"/>
      <c r="EX148" s="18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O148" s="1">
        <v>67</v>
      </c>
      <c r="FP148" s="1">
        <v>67</v>
      </c>
      <c r="FQ148" s="1">
        <v>67</v>
      </c>
      <c r="FR148" s="12" t="s">
        <v>743</v>
      </c>
      <c r="FS148" s="12" t="s">
        <v>743</v>
      </c>
      <c r="FT148" s="12" t="s">
        <v>743</v>
      </c>
      <c r="FU148" s="12"/>
      <c r="FV148" s="12" t="s">
        <v>743</v>
      </c>
      <c r="FW148" s="12" t="s">
        <v>743</v>
      </c>
      <c r="FX148" s="12" t="s">
        <v>743</v>
      </c>
      <c r="FY148" s="12" t="s">
        <v>743</v>
      </c>
      <c r="FZ148" s="12" t="s">
        <v>743</v>
      </c>
      <c r="GA148" s="12" t="s">
        <v>743</v>
      </c>
      <c r="GB148" s="12" t="s">
        <v>743</v>
      </c>
      <c r="GE148" s="12" t="s">
        <v>743</v>
      </c>
      <c r="GF148" s="12" t="s">
        <v>743</v>
      </c>
      <c r="GH148" s="12" t="s">
        <v>743</v>
      </c>
    </row>
    <row r="149" spans="1:193" ht="12.75" customHeight="1" x14ac:dyDescent="0.2">
      <c r="A149" s="1" t="s">
        <v>211</v>
      </c>
      <c r="B149" s="1" t="s">
        <v>646</v>
      </c>
      <c r="E149" s="1" t="s">
        <v>129</v>
      </c>
      <c r="F149" s="1">
        <v>2</v>
      </c>
      <c r="G149" s="1">
        <v>2030</v>
      </c>
      <c r="H149" s="1">
        <v>1</v>
      </c>
      <c r="I149" s="1">
        <v>0</v>
      </c>
      <c r="J149" s="1">
        <v>0</v>
      </c>
      <c r="K149" s="18"/>
      <c r="L149" s="18"/>
      <c r="M149" s="18"/>
      <c r="N149" s="18">
        <v>22.896719999999998</v>
      </c>
      <c r="O149" s="18">
        <v>11.822184</v>
      </c>
      <c r="P149" s="18">
        <v>37.335672000000002</v>
      </c>
      <c r="Q149" s="18">
        <v>0.654192</v>
      </c>
      <c r="R149" s="18">
        <v>0</v>
      </c>
      <c r="S149" s="18">
        <v>12.710016000000001</v>
      </c>
      <c r="T149" s="18">
        <v>5.8877280000000001</v>
      </c>
      <c r="U149" s="18">
        <v>1.028016</v>
      </c>
      <c r="V149" s="18">
        <v>12.710016000000001</v>
      </c>
      <c r="W149" s="18">
        <v>17.663184000000001</v>
      </c>
      <c r="X149" s="18">
        <v>8.738135999999999</v>
      </c>
      <c r="Y149" s="18">
        <v>29.391912000000001</v>
      </c>
      <c r="Z149" s="18">
        <v>5.8877280000000001</v>
      </c>
      <c r="AA149" s="18">
        <v>1.028016</v>
      </c>
      <c r="AB149" s="18">
        <v>12.710016000000001</v>
      </c>
      <c r="AC149" s="18">
        <v>17.663184000000001</v>
      </c>
      <c r="AD149" s="18">
        <v>8.738135999999999</v>
      </c>
      <c r="AE149" s="18">
        <v>29.391912000000001</v>
      </c>
      <c r="AF149" s="18">
        <v>22.896719999999998</v>
      </c>
      <c r="AG149" s="18">
        <v>11.822184</v>
      </c>
      <c r="AH149" s="18">
        <v>37.335672000000002</v>
      </c>
      <c r="AI149" s="18">
        <v>0.654192</v>
      </c>
      <c r="AJ149" s="18">
        <v>0</v>
      </c>
      <c r="AK149" s="18">
        <v>12.710016000000001</v>
      </c>
      <c r="AL149" s="18">
        <v>5.8877280000000001</v>
      </c>
      <c r="AM149" s="18">
        <v>1.028016</v>
      </c>
      <c r="AN149" s="18">
        <v>12.710016000000001</v>
      </c>
      <c r="AO149" s="18">
        <v>17.663184000000001</v>
      </c>
      <c r="AP149" s="18">
        <v>8.738135999999999</v>
      </c>
      <c r="AQ149" s="18">
        <v>29.391912000000001</v>
      </c>
      <c r="AR149" s="18">
        <v>5.8877280000000001</v>
      </c>
      <c r="AS149" s="18">
        <v>1.028016</v>
      </c>
      <c r="AT149" s="18">
        <v>12.710016000000001</v>
      </c>
      <c r="AU149" s="18">
        <v>17.663184000000001</v>
      </c>
      <c r="AV149" s="18">
        <v>8.738135999999999</v>
      </c>
      <c r="AW149" s="18">
        <v>29.391912000000001</v>
      </c>
      <c r="AX149" s="18">
        <v>22.896719999999998</v>
      </c>
      <c r="AY149" s="18">
        <v>11.822184</v>
      </c>
      <c r="AZ149" s="18">
        <v>37.335672000000002</v>
      </c>
      <c r="BA149" s="18">
        <v>0.654192</v>
      </c>
      <c r="BB149" s="18">
        <v>0</v>
      </c>
      <c r="BC149" s="18">
        <v>12.710016000000001</v>
      </c>
      <c r="BD149" s="18">
        <v>5.8877280000000001</v>
      </c>
      <c r="BE149" s="18">
        <v>1.028016</v>
      </c>
      <c r="BF149" s="18">
        <v>12.710016000000001</v>
      </c>
      <c r="BG149" s="18">
        <v>17.663184000000001</v>
      </c>
      <c r="BH149" s="18">
        <v>8.738135999999999</v>
      </c>
      <c r="BI149" s="18">
        <v>29.391912000000001</v>
      </c>
      <c r="BJ149" s="18">
        <v>5.8877280000000001</v>
      </c>
      <c r="BK149" s="18">
        <v>1.028016</v>
      </c>
      <c r="BL149" s="18">
        <v>12.710016000000001</v>
      </c>
      <c r="BM149" s="18">
        <v>17.663184000000001</v>
      </c>
      <c r="BN149" s="18">
        <v>8.738135999999999</v>
      </c>
      <c r="BO149" s="18">
        <v>29.391912000000001</v>
      </c>
      <c r="BP149" s="18"/>
      <c r="BQ149" s="18"/>
      <c r="BR149" s="18"/>
      <c r="BS149" s="18"/>
      <c r="BT149" s="10">
        <f>Tabelle58971121[[#This Row],[Mindestauslastung durch]]*Tabelle58971121[[#This Row],[installierte Leistung MW durch]]</f>
        <v>50.106000000000002</v>
      </c>
      <c r="BU149" s="10">
        <f>Tabelle58971121[[#This Row],[Mindestauslastung min]]*Tabelle58971121[[#This Row],[installierte Leistung MW min]]</f>
        <v>34.150999999999996</v>
      </c>
      <c r="BV149" s="10">
        <f>Tabelle58971121[[#This Row],[Mindestauslastung max]]*Tabelle58971121[[#This Row],[installierte Leistung MW max]]</f>
        <v>68.914600000000007</v>
      </c>
      <c r="BW149" s="8">
        <v>0.15</v>
      </c>
      <c r="BX149" s="8">
        <v>0.13</v>
      </c>
      <c r="BY149" s="8">
        <v>0.17</v>
      </c>
      <c r="BZ149" s="8"/>
      <c r="CA149" s="8">
        <v>0.5</v>
      </c>
      <c r="CB149" s="8">
        <v>0.4</v>
      </c>
      <c r="CC149" s="8">
        <v>0.6</v>
      </c>
      <c r="CD149" s="8">
        <v>0.24</v>
      </c>
      <c r="CE149" s="8">
        <v>0.19</v>
      </c>
      <c r="CF149" s="8">
        <v>0.28999999999999998</v>
      </c>
      <c r="CG149" s="8">
        <v>0.24</v>
      </c>
      <c r="CH149" s="8">
        <v>0.19</v>
      </c>
      <c r="CI149" s="8">
        <v>0.28999999999999998</v>
      </c>
      <c r="CJ149" s="8">
        <v>0.5</v>
      </c>
      <c r="CK149" s="8">
        <v>0.4</v>
      </c>
      <c r="CL149" s="8">
        <v>0.6</v>
      </c>
      <c r="CM149" s="8">
        <v>0.24</v>
      </c>
      <c r="CN149" s="8">
        <v>0.19</v>
      </c>
      <c r="CO149" s="8">
        <v>0.28999999999999998</v>
      </c>
      <c r="CP149" s="8">
        <v>0.24</v>
      </c>
      <c r="CQ149" s="8">
        <v>0.19</v>
      </c>
      <c r="CR149" s="8">
        <v>0.28999999999999998</v>
      </c>
      <c r="CS149" s="8">
        <v>0.5</v>
      </c>
      <c r="CT149" s="8">
        <v>0.4</v>
      </c>
      <c r="CU149" s="8">
        <v>0.6</v>
      </c>
      <c r="CV149" s="8">
        <v>0.24</v>
      </c>
      <c r="CW149" s="8">
        <v>0.19</v>
      </c>
      <c r="CX149" s="8">
        <v>0.28999999999999998</v>
      </c>
      <c r="CY149" s="8">
        <v>0.24</v>
      </c>
      <c r="CZ149" s="8">
        <v>0.19</v>
      </c>
      <c r="DA149" s="8">
        <v>0.28999999999999998</v>
      </c>
      <c r="DB149" s="8"/>
      <c r="DC149" s="8"/>
      <c r="DD149" s="8"/>
      <c r="DE149" s="48">
        <f>Tabelle58971121[[#This Row],[Durchschnittsauslastung min]]*Tabelle58971121[[#This Row],[installierte Leistung MW min]]</f>
        <v>0</v>
      </c>
      <c r="DF149" s="48">
        <f>Tabelle58971121[[#This Row],[Durchschnittsauslastung durch]]*Tabelle58971121[[#This Row],[installierte Leistung MW durch]]</f>
        <v>0</v>
      </c>
      <c r="DG149" s="48">
        <f>Tabelle58971121[[#This Row],[Durchschnittsauslastung max]]*Tabelle58971121[[#This Row],[installierte Leistung MW max]]</f>
        <v>0</v>
      </c>
      <c r="DH149" s="87">
        <f>Tabelle58971121[[#This Row],[Maximalauslastung durch]]*Tabelle58971121[[#This Row],[installierte Leistung MW min]]</f>
        <v>133.977</v>
      </c>
      <c r="DI149" s="48">
        <f>Tabelle58971121[[#This Row],[Maximalauslastung durch]]*Tabelle58971121[[#This Row],[installierte Leistung MW durch]]</f>
        <v>170.36040000000003</v>
      </c>
      <c r="DJ149" s="18">
        <f>Tabelle58971121[[#This Row],[Maximalauslastung max]]*Tabelle58971121[[#This Row],[installierte Leistung MW durch]]</f>
        <v>187.06240000000003</v>
      </c>
      <c r="DK149" s="8">
        <v>0.51</v>
      </c>
      <c r="DL149" s="8">
        <v>0.46</v>
      </c>
      <c r="DM149" s="8">
        <v>0.56000000000000005</v>
      </c>
      <c r="DN149" s="1">
        <v>334.04</v>
      </c>
      <c r="DO149" s="1">
        <v>262.7</v>
      </c>
      <c r="DP149" s="1">
        <v>405.38</v>
      </c>
      <c r="DQ149" s="18"/>
      <c r="DR149" s="18"/>
      <c r="DW149" s="1">
        <v>1.1000000000000001</v>
      </c>
      <c r="DX149" s="1">
        <v>0.8</v>
      </c>
      <c r="DY149" s="1">
        <v>1.4</v>
      </c>
      <c r="EL149" s="1">
        <v>365</v>
      </c>
      <c r="EM149" s="1">
        <v>292</v>
      </c>
      <c r="EN149" s="1">
        <v>438</v>
      </c>
      <c r="EO149" s="10"/>
      <c r="EP149" s="10"/>
      <c r="EQ149" s="10"/>
      <c r="ER149" s="1">
        <v>365</v>
      </c>
      <c r="ES149" s="1">
        <v>292</v>
      </c>
      <c r="ET149" s="1">
        <v>438</v>
      </c>
      <c r="EV149" s="18"/>
      <c r="EW149" s="18"/>
      <c r="EX149" s="18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O149" s="1">
        <v>67</v>
      </c>
      <c r="FP149" s="1">
        <v>67</v>
      </c>
      <c r="FQ149" s="1">
        <v>67</v>
      </c>
      <c r="FR149" s="12" t="s">
        <v>743</v>
      </c>
      <c r="FS149" s="12" t="s">
        <v>743</v>
      </c>
      <c r="FT149" s="12" t="s">
        <v>743</v>
      </c>
      <c r="FU149" s="12"/>
      <c r="FV149" s="12" t="s">
        <v>743</v>
      </c>
      <c r="FW149" s="12" t="s">
        <v>743</v>
      </c>
      <c r="FX149" s="12" t="s">
        <v>743</v>
      </c>
      <c r="FY149" s="12" t="s">
        <v>743</v>
      </c>
      <c r="FZ149" s="12" t="s">
        <v>743</v>
      </c>
      <c r="GA149" s="12" t="s">
        <v>743</v>
      </c>
      <c r="GB149" s="12" t="s">
        <v>743</v>
      </c>
      <c r="GE149" s="12" t="s">
        <v>743</v>
      </c>
      <c r="GF149" s="12" t="s">
        <v>743</v>
      </c>
      <c r="GH149" s="12" t="s">
        <v>743</v>
      </c>
    </row>
    <row r="150" spans="1:193" ht="12.75" customHeight="1" x14ac:dyDescent="0.2">
      <c r="A150" s="1" t="s">
        <v>211</v>
      </c>
      <c r="B150" s="1" t="s">
        <v>646</v>
      </c>
      <c r="E150" s="1" t="s">
        <v>129</v>
      </c>
      <c r="F150" s="1">
        <v>2</v>
      </c>
      <c r="G150" s="1">
        <v>2035</v>
      </c>
      <c r="H150" s="1">
        <v>1</v>
      </c>
      <c r="I150" s="1">
        <v>0</v>
      </c>
      <c r="J150" s="1">
        <v>0</v>
      </c>
      <c r="K150" s="18"/>
      <c r="L150" s="18"/>
      <c r="M150" s="18"/>
      <c r="N150" s="18">
        <v>23.414159999999999</v>
      </c>
      <c r="O150" s="18">
        <v>12.089352</v>
      </c>
      <c r="P150" s="18">
        <v>38.179416000000003</v>
      </c>
      <c r="Q150" s="18">
        <v>0.66897600000000002</v>
      </c>
      <c r="R150" s="18">
        <v>0</v>
      </c>
      <c r="S150" s="18">
        <v>12.997248000000001</v>
      </c>
      <c r="T150" s="18">
        <v>6.0207839999999999</v>
      </c>
      <c r="U150" s="18">
        <v>1.051248</v>
      </c>
      <c r="V150" s="18">
        <v>12.997248000000001</v>
      </c>
      <c r="W150" s="18">
        <v>18.062352000000004</v>
      </c>
      <c r="X150" s="18">
        <v>8.9356079999999984</v>
      </c>
      <c r="Y150" s="18">
        <v>30.056135999999999</v>
      </c>
      <c r="Z150" s="18">
        <v>6.0207839999999999</v>
      </c>
      <c r="AA150" s="18">
        <v>1.051248</v>
      </c>
      <c r="AB150" s="18">
        <v>12.997248000000001</v>
      </c>
      <c r="AC150" s="18">
        <v>18.062352000000004</v>
      </c>
      <c r="AD150" s="18">
        <v>8.9356079999999984</v>
      </c>
      <c r="AE150" s="18">
        <v>30.056135999999999</v>
      </c>
      <c r="AF150" s="18">
        <v>23.414159999999999</v>
      </c>
      <c r="AG150" s="18">
        <v>12.089352</v>
      </c>
      <c r="AH150" s="18">
        <v>38.179416000000003</v>
      </c>
      <c r="AI150" s="18">
        <v>0.66897600000000002</v>
      </c>
      <c r="AJ150" s="18">
        <v>0</v>
      </c>
      <c r="AK150" s="18">
        <v>12.997248000000001</v>
      </c>
      <c r="AL150" s="18">
        <v>6.0207839999999999</v>
      </c>
      <c r="AM150" s="18">
        <v>1.051248</v>
      </c>
      <c r="AN150" s="18">
        <v>12.997248000000001</v>
      </c>
      <c r="AO150" s="18">
        <v>18.062352000000004</v>
      </c>
      <c r="AP150" s="18">
        <v>8.9356079999999984</v>
      </c>
      <c r="AQ150" s="18">
        <v>30.056135999999999</v>
      </c>
      <c r="AR150" s="18">
        <v>6.0207839999999999</v>
      </c>
      <c r="AS150" s="18">
        <v>1.051248</v>
      </c>
      <c r="AT150" s="18">
        <v>12.997248000000001</v>
      </c>
      <c r="AU150" s="18">
        <v>18.062352000000004</v>
      </c>
      <c r="AV150" s="18">
        <v>8.9356079999999984</v>
      </c>
      <c r="AW150" s="18">
        <v>30.056135999999999</v>
      </c>
      <c r="AX150" s="18">
        <v>23.414159999999999</v>
      </c>
      <c r="AY150" s="18">
        <v>12.089352</v>
      </c>
      <c r="AZ150" s="18">
        <v>38.179416000000003</v>
      </c>
      <c r="BA150" s="18">
        <v>0.66897600000000002</v>
      </c>
      <c r="BB150" s="18">
        <v>0</v>
      </c>
      <c r="BC150" s="18">
        <v>12.997248000000001</v>
      </c>
      <c r="BD150" s="18">
        <v>6.0207839999999999</v>
      </c>
      <c r="BE150" s="18">
        <v>1.051248</v>
      </c>
      <c r="BF150" s="18">
        <v>12.997248000000001</v>
      </c>
      <c r="BG150" s="18">
        <v>18.062352000000004</v>
      </c>
      <c r="BH150" s="18">
        <v>8.9356079999999984</v>
      </c>
      <c r="BI150" s="18">
        <v>30.056135999999999</v>
      </c>
      <c r="BJ150" s="18">
        <v>6.0207839999999999</v>
      </c>
      <c r="BK150" s="18">
        <v>1.051248</v>
      </c>
      <c r="BL150" s="18">
        <v>12.997248000000001</v>
      </c>
      <c r="BM150" s="18">
        <v>18.062352000000004</v>
      </c>
      <c r="BN150" s="18">
        <v>8.9356079999999984</v>
      </c>
      <c r="BO150" s="18">
        <v>30.056135999999999</v>
      </c>
      <c r="BP150" s="18"/>
      <c r="BQ150" s="18"/>
      <c r="BR150" s="18"/>
      <c r="BS150" s="18"/>
      <c r="BT150" s="10">
        <f>Tabelle58971121[[#This Row],[Mindestauslastung durch]]*Tabelle58971121[[#This Row],[installierte Leistung MW durch]]</f>
        <v>51.575999999999993</v>
      </c>
      <c r="BU150" s="10">
        <f>Tabelle58971121[[#This Row],[Mindestauslastung min]]*Tabelle58971121[[#This Row],[installierte Leistung MW min]]</f>
        <v>35.161100000000005</v>
      </c>
      <c r="BV150" s="10">
        <f>Tabelle58971121[[#This Row],[Mindestauslastung max]]*Tabelle58971121[[#This Row],[installierte Leistung MW max]]</f>
        <v>70.925700000000006</v>
      </c>
      <c r="BW150" s="8">
        <v>0.15</v>
      </c>
      <c r="BX150" s="8">
        <v>0.13</v>
      </c>
      <c r="BY150" s="8">
        <v>0.17</v>
      </c>
      <c r="BZ150" s="8"/>
      <c r="CA150" s="8">
        <v>0.5</v>
      </c>
      <c r="CB150" s="8">
        <v>0.4</v>
      </c>
      <c r="CC150" s="8">
        <v>0.6</v>
      </c>
      <c r="CD150" s="8">
        <v>0.24</v>
      </c>
      <c r="CE150" s="8">
        <v>0.19</v>
      </c>
      <c r="CF150" s="8">
        <v>0.28999999999999998</v>
      </c>
      <c r="CG150" s="8">
        <v>0.24</v>
      </c>
      <c r="CH150" s="8">
        <v>0.19</v>
      </c>
      <c r="CI150" s="8">
        <v>0.28999999999999998</v>
      </c>
      <c r="CJ150" s="8">
        <v>0.5</v>
      </c>
      <c r="CK150" s="8">
        <v>0.4</v>
      </c>
      <c r="CL150" s="8">
        <v>0.6</v>
      </c>
      <c r="CM150" s="8">
        <v>0.24</v>
      </c>
      <c r="CN150" s="8">
        <v>0.19</v>
      </c>
      <c r="CO150" s="8">
        <v>0.28999999999999998</v>
      </c>
      <c r="CP150" s="8">
        <v>0.24</v>
      </c>
      <c r="CQ150" s="8">
        <v>0.19</v>
      </c>
      <c r="CR150" s="8">
        <v>0.28999999999999998</v>
      </c>
      <c r="CS150" s="8">
        <v>0.5</v>
      </c>
      <c r="CT150" s="8">
        <v>0.4</v>
      </c>
      <c r="CU150" s="8">
        <v>0.6</v>
      </c>
      <c r="CV150" s="8">
        <v>0.24</v>
      </c>
      <c r="CW150" s="8">
        <v>0.19</v>
      </c>
      <c r="CX150" s="8">
        <v>0.28999999999999998</v>
      </c>
      <c r="CY150" s="8">
        <v>0.24</v>
      </c>
      <c r="CZ150" s="8">
        <v>0.19</v>
      </c>
      <c r="DA150" s="8">
        <v>0.28999999999999998</v>
      </c>
      <c r="DB150" s="8"/>
      <c r="DC150" s="8"/>
      <c r="DD150" s="8"/>
      <c r="DE150" s="48">
        <f>Tabelle58971121[[#This Row],[Durchschnittsauslastung min]]*Tabelle58971121[[#This Row],[installierte Leistung MW min]]</f>
        <v>0</v>
      </c>
      <c r="DF150" s="48">
        <f>Tabelle58971121[[#This Row],[Durchschnittsauslastung durch]]*Tabelle58971121[[#This Row],[installierte Leistung MW durch]]</f>
        <v>0</v>
      </c>
      <c r="DG150" s="48">
        <f>Tabelle58971121[[#This Row],[Durchschnittsauslastung max]]*Tabelle58971121[[#This Row],[installierte Leistung MW max]]</f>
        <v>0</v>
      </c>
      <c r="DH150" s="87">
        <f>Tabelle58971121[[#This Row],[Maximalauslastung durch]]*Tabelle58971121[[#This Row],[installierte Leistung MW min]]</f>
        <v>137.93970000000002</v>
      </c>
      <c r="DI150" s="48">
        <f>Tabelle58971121[[#This Row],[Maximalauslastung durch]]*Tabelle58971121[[#This Row],[installierte Leistung MW durch]]</f>
        <v>175.35839999999999</v>
      </c>
      <c r="DJ150" s="18">
        <f>Tabelle58971121[[#This Row],[Maximalauslastung max]]*Tabelle58971121[[#This Row],[installierte Leistung MW durch]]</f>
        <v>192.5504</v>
      </c>
      <c r="DK150" s="8">
        <v>0.51</v>
      </c>
      <c r="DL150" s="8">
        <v>0.46</v>
      </c>
      <c r="DM150" s="8">
        <v>0.56000000000000005</v>
      </c>
      <c r="DN150" s="1">
        <v>343.84</v>
      </c>
      <c r="DO150" s="1">
        <v>270.47000000000003</v>
      </c>
      <c r="DP150" s="1">
        <v>417.21</v>
      </c>
      <c r="DQ150" s="18"/>
      <c r="DR150" s="18"/>
      <c r="DW150" s="1">
        <v>1.1000000000000001</v>
      </c>
      <c r="DX150" s="1">
        <v>0.8</v>
      </c>
      <c r="DY150" s="1">
        <v>1.4</v>
      </c>
      <c r="EL150" s="1">
        <v>365</v>
      </c>
      <c r="EM150" s="1">
        <v>292</v>
      </c>
      <c r="EN150" s="1">
        <v>438</v>
      </c>
      <c r="EO150" s="10"/>
      <c r="EP150" s="10"/>
      <c r="EQ150" s="10"/>
      <c r="ER150" s="1">
        <v>365</v>
      </c>
      <c r="ES150" s="1">
        <v>292</v>
      </c>
      <c r="ET150" s="1">
        <v>438</v>
      </c>
      <c r="EV150" s="18"/>
      <c r="EW150" s="18"/>
      <c r="EX150" s="18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O150" s="1">
        <v>67</v>
      </c>
      <c r="FP150" s="1">
        <v>67</v>
      </c>
      <c r="FQ150" s="1">
        <v>67</v>
      </c>
      <c r="FR150" s="12" t="s">
        <v>743</v>
      </c>
      <c r="FS150" s="12" t="s">
        <v>743</v>
      </c>
      <c r="FT150" s="12" t="s">
        <v>743</v>
      </c>
      <c r="FU150" s="12"/>
      <c r="FV150" s="12" t="s">
        <v>743</v>
      </c>
      <c r="FW150" s="12" t="s">
        <v>743</v>
      </c>
      <c r="FX150" s="12" t="s">
        <v>743</v>
      </c>
      <c r="FY150" s="12" t="s">
        <v>743</v>
      </c>
      <c r="FZ150" s="12" t="s">
        <v>743</v>
      </c>
      <c r="GA150" s="12" t="s">
        <v>743</v>
      </c>
      <c r="GB150" s="12" t="s">
        <v>743</v>
      </c>
      <c r="GE150" s="12" t="s">
        <v>743</v>
      </c>
      <c r="GF150" s="12" t="s">
        <v>743</v>
      </c>
      <c r="GH150" s="12" t="s">
        <v>743</v>
      </c>
    </row>
    <row r="151" spans="1:193" ht="12.75" customHeight="1" x14ac:dyDescent="0.2">
      <c r="A151" s="1" t="s">
        <v>211</v>
      </c>
      <c r="B151" s="1" t="s">
        <v>646</v>
      </c>
      <c r="E151" s="1" t="s">
        <v>129</v>
      </c>
      <c r="F151" s="1">
        <v>2</v>
      </c>
      <c r="G151" s="1">
        <v>2040</v>
      </c>
      <c r="H151" s="1">
        <v>1</v>
      </c>
      <c r="I151" s="1">
        <v>0</v>
      </c>
      <c r="J151" s="1">
        <v>0</v>
      </c>
      <c r="K151" s="18"/>
      <c r="L151" s="18"/>
      <c r="M151" s="18"/>
      <c r="N151" s="18">
        <v>23.9316</v>
      </c>
      <c r="O151" s="18">
        <v>12.356520000000002</v>
      </c>
      <c r="P151" s="18">
        <v>39.023160000000004</v>
      </c>
      <c r="Q151" s="18">
        <v>0.68376000000000003</v>
      </c>
      <c r="R151" s="18">
        <v>0</v>
      </c>
      <c r="S151" s="18">
        <v>13.28448</v>
      </c>
      <c r="T151" s="18">
        <v>6.1538399999999998</v>
      </c>
      <c r="U151" s="18">
        <v>1.0744800000000001</v>
      </c>
      <c r="V151" s="18">
        <v>13.28448</v>
      </c>
      <c r="W151" s="18">
        <v>18.461520000000004</v>
      </c>
      <c r="X151" s="18">
        <v>9.1330799999999979</v>
      </c>
      <c r="Y151" s="18">
        <v>30.720359999999999</v>
      </c>
      <c r="Z151" s="18">
        <v>6.1538399999999998</v>
      </c>
      <c r="AA151" s="18">
        <v>1.0744800000000001</v>
      </c>
      <c r="AB151" s="18">
        <v>13.28448</v>
      </c>
      <c r="AC151" s="18">
        <v>18.461520000000004</v>
      </c>
      <c r="AD151" s="18">
        <v>9.1330799999999979</v>
      </c>
      <c r="AE151" s="18">
        <v>30.720359999999999</v>
      </c>
      <c r="AF151" s="18">
        <v>23.9316</v>
      </c>
      <c r="AG151" s="18">
        <v>12.356520000000002</v>
      </c>
      <c r="AH151" s="18">
        <v>39.023160000000004</v>
      </c>
      <c r="AI151" s="18">
        <v>0.68376000000000003</v>
      </c>
      <c r="AJ151" s="18">
        <v>0</v>
      </c>
      <c r="AK151" s="18">
        <v>13.28448</v>
      </c>
      <c r="AL151" s="18">
        <v>6.1538399999999998</v>
      </c>
      <c r="AM151" s="18">
        <v>1.0744800000000001</v>
      </c>
      <c r="AN151" s="18">
        <v>13.28448</v>
      </c>
      <c r="AO151" s="18">
        <v>18.461520000000004</v>
      </c>
      <c r="AP151" s="18">
        <v>9.1330799999999979</v>
      </c>
      <c r="AQ151" s="18">
        <v>30.720359999999999</v>
      </c>
      <c r="AR151" s="18">
        <v>6.1538399999999998</v>
      </c>
      <c r="AS151" s="18">
        <v>1.0744800000000001</v>
      </c>
      <c r="AT151" s="18">
        <v>13.28448</v>
      </c>
      <c r="AU151" s="18">
        <v>18.461520000000004</v>
      </c>
      <c r="AV151" s="18">
        <v>9.1330799999999979</v>
      </c>
      <c r="AW151" s="18">
        <v>30.720359999999999</v>
      </c>
      <c r="AX151" s="18">
        <v>23.9316</v>
      </c>
      <c r="AY151" s="18">
        <v>12.356520000000002</v>
      </c>
      <c r="AZ151" s="18">
        <v>39.023160000000004</v>
      </c>
      <c r="BA151" s="18">
        <v>0.68376000000000003</v>
      </c>
      <c r="BB151" s="18">
        <v>0</v>
      </c>
      <c r="BC151" s="18">
        <v>13.28448</v>
      </c>
      <c r="BD151" s="18">
        <v>6.1538399999999998</v>
      </c>
      <c r="BE151" s="18">
        <v>1.0744800000000001</v>
      </c>
      <c r="BF151" s="18">
        <v>13.28448</v>
      </c>
      <c r="BG151" s="18">
        <v>18.461520000000004</v>
      </c>
      <c r="BH151" s="18">
        <v>9.1330799999999979</v>
      </c>
      <c r="BI151" s="18">
        <v>30.720359999999999</v>
      </c>
      <c r="BJ151" s="18">
        <v>6.1538399999999998</v>
      </c>
      <c r="BK151" s="18">
        <v>1.0744800000000001</v>
      </c>
      <c r="BL151" s="18">
        <v>13.28448</v>
      </c>
      <c r="BM151" s="18">
        <v>18.461520000000004</v>
      </c>
      <c r="BN151" s="18">
        <v>9.1330799999999979</v>
      </c>
      <c r="BO151" s="18">
        <v>30.720359999999999</v>
      </c>
      <c r="BP151" s="18"/>
      <c r="BQ151" s="18"/>
      <c r="BR151" s="18"/>
      <c r="BS151" s="18"/>
      <c r="BT151" s="10">
        <f>Tabelle58971121[[#This Row],[Mindestauslastung durch]]*Tabelle58971121[[#This Row],[installierte Leistung MW durch]]</f>
        <v>53.07</v>
      </c>
      <c r="BU151" s="10">
        <f>Tabelle58971121[[#This Row],[Mindestauslastung min]]*Tabelle58971121[[#This Row],[installierte Leistung MW min]]</f>
        <v>36.1907</v>
      </c>
      <c r="BV151" s="10">
        <f>Tabelle58971121[[#This Row],[Mindestauslastung max]]*Tabelle58971121[[#This Row],[installierte Leistung MW max]]</f>
        <v>72.965699999999998</v>
      </c>
      <c r="BW151" s="8">
        <v>0.15</v>
      </c>
      <c r="BX151" s="8">
        <v>0.13</v>
      </c>
      <c r="BY151" s="8">
        <v>0.17</v>
      </c>
      <c r="BZ151" s="8"/>
      <c r="CA151" s="8">
        <v>0.5</v>
      </c>
      <c r="CB151" s="8">
        <v>0.4</v>
      </c>
      <c r="CC151" s="8">
        <v>0.6</v>
      </c>
      <c r="CD151" s="8">
        <v>0.24</v>
      </c>
      <c r="CE151" s="8">
        <v>0.19</v>
      </c>
      <c r="CF151" s="8">
        <v>0.28999999999999998</v>
      </c>
      <c r="CG151" s="8">
        <v>0.24</v>
      </c>
      <c r="CH151" s="8">
        <v>0.19</v>
      </c>
      <c r="CI151" s="8">
        <v>0.28999999999999998</v>
      </c>
      <c r="CJ151" s="8">
        <v>0.5</v>
      </c>
      <c r="CK151" s="8">
        <v>0.4</v>
      </c>
      <c r="CL151" s="8">
        <v>0.6</v>
      </c>
      <c r="CM151" s="8">
        <v>0.24</v>
      </c>
      <c r="CN151" s="8">
        <v>0.19</v>
      </c>
      <c r="CO151" s="8">
        <v>0.28999999999999998</v>
      </c>
      <c r="CP151" s="8">
        <v>0.24</v>
      </c>
      <c r="CQ151" s="8">
        <v>0.19</v>
      </c>
      <c r="CR151" s="8">
        <v>0.28999999999999998</v>
      </c>
      <c r="CS151" s="8">
        <v>0.5</v>
      </c>
      <c r="CT151" s="8">
        <v>0.4</v>
      </c>
      <c r="CU151" s="8">
        <v>0.6</v>
      </c>
      <c r="CV151" s="8">
        <v>0.24</v>
      </c>
      <c r="CW151" s="8">
        <v>0.19</v>
      </c>
      <c r="CX151" s="8">
        <v>0.28999999999999998</v>
      </c>
      <c r="CY151" s="8">
        <v>0.24</v>
      </c>
      <c r="CZ151" s="8">
        <v>0.19</v>
      </c>
      <c r="DA151" s="8">
        <v>0.28999999999999998</v>
      </c>
      <c r="DB151" s="8"/>
      <c r="DC151" s="8"/>
      <c r="DD151" s="8"/>
      <c r="DE151" s="48">
        <f>Tabelle58971121[[#This Row],[Durchschnittsauslastung min]]*Tabelle58971121[[#This Row],[installierte Leistung MW min]]</f>
        <v>0</v>
      </c>
      <c r="DF151" s="48">
        <f>Tabelle58971121[[#This Row],[Durchschnittsauslastung durch]]*Tabelle58971121[[#This Row],[installierte Leistung MW durch]]</f>
        <v>0</v>
      </c>
      <c r="DG151" s="48">
        <f>Tabelle58971121[[#This Row],[Durchschnittsauslastung max]]*Tabelle58971121[[#This Row],[installierte Leistung MW max]]</f>
        <v>0</v>
      </c>
      <c r="DH151" s="87">
        <f>Tabelle58971121[[#This Row],[Maximalauslastung durch]]*Tabelle58971121[[#This Row],[installierte Leistung MW min]]</f>
        <v>141.97889999999998</v>
      </c>
      <c r="DI151" s="48">
        <f>Tabelle58971121[[#This Row],[Maximalauslastung durch]]*Tabelle58971121[[#This Row],[installierte Leistung MW durch]]</f>
        <v>180.43800000000002</v>
      </c>
      <c r="DJ151" s="18">
        <f>Tabelle58971121[[#This Row],[Maximalauslastung max]]*Tabelle58971121[[#This Row],[installierte Leistung MW durch]]</f>
        <v>198.12800000000001</v>
      </c>
      <c r="DK151" s="8">
        <v>0.51</v>
      </c>
      <c r="DL151" s="8">
        <v>0.46</v>
      </c>
      <c r="DM151" s="8">
        <v>0.56000000000000005</v>
      </c>
      <c r="DN151" s="1">
        <v>353.8</v>
      </c>
      <c r="DO151" s="1">
        <v>278.39</v>
      </c>
      <c r="DP151" s="1">
        <v>429.21</v>
      </c>
      <c r="DQ151" s="18"/>
      <c r="DR151" s="18"/>
      <c r="DW151" s="1">
        <v>1.1000000000000001</v>
      </c>
      <c r="DX151" s="1">
        <v>0.8</v>
      </c>
      <c r="DY151" s="1">
        <v>1.4</v>
      </c>
      <c r="EL151" s="10">
        <v>365</v>
      </c>
      <c r="EM151" s="10">
        <v>292</v>
      </c>
      <c r="EN151" s="10">
        <v>438</v>
      </c>
      <c r="EO151" s="10"/>
      <c r="EP151" s="10"/>
      <c r="EQ151" s="10"/>
      <c r="ER151" s="10">
        <v>365</v>
      </c>
      <c r="ES151" s="10">
        <v>292</v>
      </c>
      <c r="ET151" s="10">
        <v>438</v>
      </c>
      <c r="EV151" s="18"/>
      <c r="EW151" s="18"/>
      <c r="EX151" s="18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O151" s="1">
        <v>67</v>
      </c>
      <c r="FP151" s="1">
        <v>67</v>
      </c>
      <c r="FQ151" s="1">
        <v>67</v>
      </c>
      <c r="FR151" s="12" t="s">
        <v>743</v>
      </c>
      <c r="FS151" s="12" t="s">
        <v>743</v>
      </c>
      <c r="FT151" s="12" t="s">
        <v>743</v>
      </c>
      <c r="FU151" s="12"/>
      <c r="FV151" s="12" t="s">
        <v>743</v>
      </c>
      <c r="FW151" s="12" t="s">
        <v>743</v>
      </c>
      <c r="FX151" s="12" t="s">
        <v>743</v>
      </c>
      <c r="FY151" s="12" t="s">
        <v>743</v>
      </c>
      <c r="FZ151" s="12" t="s">
        <v>743</v>
      </c>
      <c r="GA151" s="12" t="s">
        <v>743</v>
      </c>
      <c r="GB151" s="12" t="s">
        <v>743</v>
      </c>
      <c r="GE151" s="12" t="s">
        <v>743</v>
      </c>
      <c r="GF151" s="12" t="s">
        <v>743</v>
      </c>
      <c r="GH151" s="12" t="s">
        <v>743</v>
      </c>
    </row>
    <row r="152" spans="1:193" ht="12.75" customHeight="1" x14ac:dyDescent="0.2">
      <c r="A152" s="1" t="s">
        <v>211</v>
      </c>
      <c r="B152" s="1" t="s">
        <v>646</v>
      </c>
      <c r="E152" s="1" t="s">
        <v>129</v>
      </c>
      <c r="F152" s="1">
        <v>2</v>
      </c>
      <c r="G152" s="1">
        <v>2045</v>
      </c>
      <c r="H152" s="1">
        <v>1</v>
      </c>
      <c r="I152" s="1">
        <v>0</v>
      </c>
      <c r="J152" s="1">
        <v>0</v>
      </c>
      <c r="K152" s="18"/>
      <c r="L152" s="18"/>
      <c r="M152" s="18"/>
      <c r="N152" s="18">
        <v>24.535279999999997</v>
      </c>
      <c r="O152" s="18">
        <v>12.668215999999999</v>
      </c>
      <c r="P152" s="18">
        <v>40.007527999999994</v>
      </c>
      <c r="Q152" s="18">
        <v>0.70100799999999996</v>
      </c>
      <c r="R152" s="18">
        <v>0</v>
      </c>
      <c r="S152" s="18">
        <v>13.619583999999998</v>
      </c>
      <c r="T152" s="18">
        <v>6.3090719999999987</v>
      </c>
      <c r="U152" s="18">
        <v>1.1015839999999999</v>
      </c>
      <c r="V152" s="18">
        <v>13.619583999999998</v>
      </c>
      <c r="W152" s="18">
        <v>18.927216000000001</v>
      </c>
      <c r="X152" s="18">
        <v>9.3634639999999969</v>
      </c>
      <c r="Y152" s="18">
        <v>31.495287999999995</v>
      </c>
      <c r="Z152" s="18">
        <v>6.3090719999999987</v>
      </c>
      <c r="AA152" s="18">
        <v>1.1015839999999999</v>
      </c>
      <c r="AB152" s="18">
        <v>13.619583999999998</v>
      </c>
      <c r="AC152" s="18">
        <v>18.927216000000001</v>
      </c>
      <c r="AD152" s="18">
        <v>9.3634639999999969</v>
      </c>
      <c r="AE152" s="18">
        <v>31.495287999999995</v>
      </c>
      <c r="AF152" s="18">
        <v>24.535279999999997</v>
      </c>
      <c r="AG152" s="18">
        <v>12.668215999999999</v>
      </c>
      <c r="AH152" s="18">
        <v>40.007527999999994</v>
      </c>
      <c r="AI152" s="18">
        <v>0.70100799999999996</v>
      </c>
      <c r="AJ152" s="18">
        <v>0</v>
      </c>
      <c r="AK152" s="18">
        <v>13.619583999999998</v>
      </c>
      <c r="AL152" s="18">
        <v>6.3090719999999987</v>
      </c>
      <c r="AM152" s="18">
        <v>1.1015839999999999</v>
      </c>
      <c r="AN152" s="18">
        <v>13.619583999999998</v>
      </c>
      <c r="AO152" s="18">
        <v>18.927216000000001</v>
      </c>
      <c r="AP152" s="18">
        <v>9.3634639999999969</v>
      </c>
      <c r="AQ152" s="18">
        <v>31.495287999999995</v>
      </c>
      <c r="AR152" s="18">
        <v>6.3090719999999987</v>
      </c>
      <c r="AS152" s="18">
        <v>1.1015839999999999</v>
      </c>
      <c r="AT152" s="18">
        <v>13.619583999999998</v>
      </c>
      <c r="AU152" s="18">
        <v>18.927216000000001</v>
      </c>
      <c r="AV152" s="18">
        <v>9.3634639999999969</v>
      </c>
      <c r="AW152" s="18">
        <v>31.495287999999995</v>
      </c>
      <c r="AX152" s="18">
        <v>24.535279999999997</v>
      </c>
      <c r="AY152" s="18">
        <v>12.668215999999999</v>
      </c>
      <c r="AZ152" s="18">
        <v>40.007527999999994</v>
      </c>
      <c r="BA152" s="18">
        <v>0.70100799999999996</v>
      </c>
      <c r="BB152" s="18">
        <v>0</v>
      </c>
      <c r="BC152" s="18">
        <v>13.619583999999998</v>
      </c>
      <c r="BD152" s="18">
        <v>6.3090719999999987</v>
      </c>
      <c r="BE152" s="18">
        <v>1.1015839999999999</v>
      </c>
      <c r="BF152" s="18">
        <v>13.619583999999998</v>
      </c>
      <c r="BG152" s="18">
        <v>18.927216000000001</v>
      </c>
      <c r="BH152" s="18">
        <v>9.3634639999999969</v>
      </c>
      <c r="BI152" s="18">
        <v>31.495287999999995</v>
      </c>
      <c r="BJ152" s="18">
        <v>6.3090719999999987</v>
      </c>
      <c r="BK152" s="18">
        <v>1.1015839999999999</v>
      </c>
      <c r="BL152" s="18">
        <v>13.619583999999998</v>
      </c>
      <c r="BM152" s="18">
        <v>18.927216000000001</v>
      </c>
      <c r="BN152" s="18">
        <v>9.3634639999999969</v>
      </c>
      <c r="BO152" s="18">
        <v>31.495287999999995</v>
      </c>
      <c r="BP152" s="18"/>
      <c r="BQ152" s="18"/>
      <c r="BR152" s="18"/>
      <c r="BS152" s="18"/>
      <c r="BT152" s="10">
        <f>Tabelle58971121[[#This Row],[Mindestauslastung durch]]*Tabelle58971121[[#This Row],[installierte Leistung MW durch]]</f>
        <v>54.874499999999998</v>
      </c>
      <c r="BU152" s="10">
        <f>Tabelle58971121[[#This Row],[Mindestauslastung min]]*Tabelle58971121[[#This Row],[installierte Leistung MW min]]</f>
        <v>37.433500000000002</v>
      </c>
      <c r="BV152" s="10">
        <f>Tabelle58971121[[#This Row],[Mindestauslastung max]]*Tabelle58971121[[#This Row],[installierte Leistung MW max]]</f>
        <v>75.430700000000002</v>
      </c>
      <c r="BW152" s="8">
        <v>0.15</v>
      </c>
      <c r="BX152" s="8">
        <v>0.13</v>
      </c>
      <c r="BY152" s="8">
        <v>0.17</v>
      </c>
      <c r="BZ152" s="8"/>
      <c r="CA152" s="8">
        <v>0.5</v>
      </c>
      <c r="CB152" s="8">
        <v>0.4</v>
      </c>
      <c r="CC152" s="8">
        <v>0.6</v>
      </c>
      <c r="CD152" s="8">
        <v>0.24</v>
      </c>
      <c r="CE152" s="8">
        <v>0.19</v>
      </c>
      <c r="CF152" s="8">
        <v>0.28999999999999998</v>
      </c>
      <c r="CG152" s="8">
        <v>0.24</v>
      </c>
      <c r="CH152" s="8">
        <v>0.19</v>
      </c>
      <c r="CI152" s="8">
        <v>0.28999999999999998</v>
      </c>
      <c r="CJ152" s="8">
        <v>0.5</v>
      </c>
      <c r="CK152" s="8">
        <v>0.4</v>
      </c>
      <c r="CL152" s="8">
        <v>0.6</v>
      </c>
      <c r="CM152" s="8">
        <v>0.24</v>
      </c>
      <c r="CN152" s="8">
        <v>0.19</v>
      </c>
      <c r="CO152" s="8">
        <v>0.28999999999999998</v>
      </c>
      <c r="CP152" s="8">
        <v>0.24</v>
      </c>
      <c r="CQ152" s="8">
        <v>0.19</v>
      </c>
      <c r="CR152" s="8">
        <v>0.28999999999999998</v>
      </c>
      <c r="CS152" s="8">
        <v>0.5</v>
      </c>
      <c r="CT152" s="8">
        <v>0.4</v>
      </c>
      <c r="CU152" s="8">
        <v>0.6</v>
      </c>
      <c r="CV152" s="8">
        <v>0.24</v>
      </c>
      <c r="CW152" s="8">
        <v>0.19</v>
      </c>
      <c r="CX152" s="8">
        <v>0.28999999999999998</v>
      </c>
      <c r="CY152" s="8">
        <v>0.24</v>
      </c>
      <c r="CZ152" s="8">
        <v>0.19</v>
      </c>
      <c r="DA152" s="8">
        <v>0.28999999999999998</v>
      </c>
      <c r="DB152" s="8"/>
      <c r="DC152" s="8"/>
      <c r="DD152" s="8"/>
      <c r="DE152" s="48">
        <f>Tabelle58971121[[#This Row],[Durchschnittsauslastung min]]*Tabelle58971121[[#This Row],[installierte Leistung MW min]]</f>
        <v>0</v>
      </c>
      <c r="DF152" s="48">
        <f>Tabelle58971121[[#This Row],[Durchschnittsauslastung durch]]*Tabelle58971121[[#This Row],[installierte Leistung MW durch]]</f>
        <v>0</v>
      </c>
      <c r="DG152" s="48">
        <f>Tabelle58971121[[#This Row],[Durchschnittsauslastung max]]*Tabelle58971121[[#This Row],[installierte Leistung MW max]]</f>
        <v>0</v>
      </c>
      <c r="DH152" s="87">
        <f>Tabelle58971121[[#This Row],[Maximalauslastung durch]]*Tabelle58971121[[#This Row],[installierte Leistung MW min]]</f>
        <v>146.8545</v>
      </c>
      <c r="DI152" s="48">
        <f>Tabelle58971121[[#This Row],[Maximalauslastung durch]]*Tabelle58971121[[#This Row],[installierte Leistung MW durch]]</f>
        <v>186.57329999999999</v>
      </c>
      <c r="DJ152" s="18">
        <f>Tabelle58971121[[#This Row],[Maximalauslastung max]]*Tabelle58971121[[#This Row],[installierte Leistung MW durch]]</f>
        <v>204.8648</v>
      </c>
      <c r="DK152" s="8">
        <v>0.51</v>
      </c>
      <c r="DL152" s="8">
        <v>0.46</v>
      </c>
      <c r="DM152" s="8">
        <v>0.56000000000000005</v>
      </c>
      <c r="DN152" s="1">
        <v>365.83</v>
      </c>
      <c r="DO152" s="1">
        <v>287.95</v>
      </c>
      <c r="DP152" s="1">
        <v>443.71</v>
      </c>
      <c r="DQ152" s="18"/>
      <c r="DR152" s="18"/>
      <c r="DW152" s="1">
        <v>1.1000000000000001</v>
      </c>
      <c r="DX152" s="1">
        <v>0.8</v>
      </c>
      <c r="DY152" s="1">
        <v>1.4</v>
      </c>
      <c r="EL152" s="1">
        <v>365</v>
      </c>
      <c r="EM152" s="1">
        <v>292</v>
      </c>
      <c r="EN152" s="1">
        <v>438</v>
      </c>
      <c r="EO152" s="10"/>
      <c r="EP152" s="10"/>
      <c r="EQ152" s="10"/>
      <c r="ER152" s="1">
        <v>365</v>
      </c>
      <c r="ES152" s="1">
        <v>292</v>
      </c>
      <c r="ET152" s="1">
        <v>438</v>
      </c>
      <c r="EV152" s="18"/>
      <c r="EW152" s="18"/>
      <c r="EX152" s="18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O152" s="1">
        <v>67</v>
      </c>
      <c r="FP152" s="1">
        <v>67</v>
      </c>
      <c r="FQ152" s="1">
        <v>67</v>
      </c>
      <c r="FR152" s="12" t="s">
        <v>743</v>
      </c>
      <c r="FS152" s="12" t="s">
        <v>743</v>
      </c>
      <c r="FT152" s="12" t="s">
        <v>743</v>
      </c>
      <c r="FU152" s="12"/>
      <c r="FV152" s="12" t="s">
        <v>743</v>
      </c>
      <c r="FW152" s="12" t="s">
        <v>743</v>
      </c>
      <c r="FX152" s="12" t="s">
        <v>743</v>
      </c>
      <c r="FY152" s="12" t="s">
        <v>743</v>
      </c>
      <c r="FZ152" s="12" t="s">
        <v>743</v>
      </c>
      <c r="GA152" s="12" t="s">
        <v>743</v>
      </c>
      <c r="GB152" s="12" t="s">
        <v>743</v>
      </c>
      <c r="GE152" s="12" t="s">
        <v>743</v>
      </c>
      <c r="GF152" s="12" t="s">
        <v>743</v>
      </c>
      <c r="GH152" s="12" t="s">
        <v>743</v>
      </c>
    </row>
    <row r="153" spans="1:193" ht="12.75" customHeight="1" x14ac:dyDescent="0.2">
      <c r="A153" s="1" t="s">
        <v>211</v>
      </c>
      <c r="B153" s="1" t="s">
        <v>646</v>
      </c>
      <c r="E153" s="1" t="s">
        <v>129</v>
      </c>
      <c r="F153" s="1">
        <v>2</v>
      </c>
      <c r="G153" s="1">
        <v>2050</v>
      </c>
      <c r="H153" s="1">
        <v>1</v>
      </c>
      <c r="I153" s="1">
        <v>0</v>
      </c>
      <c r="J153" s="1">
        <v>0</v>
      </c>
      <c r="K153" s="18"/>
      <c r="L153" s="18"/>
      <c r="M153" s="18"/>
      <c r="N153" s="18">
        <v>25.138959999999997</v>
      </c>
      <c r="O153" s="18">
        <v>12.979911999999999</v>
      </c>
      <c r="P153" s="18">
        <v>40.991895999999997</v>
      </c>
      <c r="Q153" s="18">
        <v>0.71825599999999989</v>
      </c>
      <c r="R153" s="18">
        <v>0</v>
      </c>
      <c r="S153" s="18">
        <v>13.954687999999999</v>
      </c>
      <c r="T153" s="18">
        <v>6.4643039999999994</v>
      </c>
      <c r="U153" s="18">
        <v>1.1286879999999999</v>
      </c>
      <c r="V153" s="18">
        <v>13.954687999999999</v>
      </c>
      <c r="W153" s="18">
        <v>19.392911999999999</v>
      </c>
      <c r="X153" s="18">
        <v>9.5938479999999977</v>
      </c>
      <c r="Y153" s="18">
        <v>32.270215999999998</v>
      </c>
      <c r="Z153" s="18">
        <v>6.4643039999999994</v>
      </c>
      <c r="AA153" s="18">
        <v>1.1286879999999999</v>
      </c>
      <c r="AB153" s="18">
        <v>13.954687999999999</v>
      </c>
      <c r="AC153" s="18">
        <v>19.392911999999999</v>
      </c>
      <c r="AD153" s="18">
        <v>9.5938479999999977</v>
      </c>
      <c r="AE153" s="18">
        <v>32.270215999999998</v>
      </c>
      <c r="AF153" s="18">
        <v>25.138959999999997</v>
      </c>
      <c r="AG153" s="18">
        <v>12.979911999999999</v>
      </c>
      <c r="AH153" s="18">
        <v>40.991895999999997</v>
      </c>
      <c r="AI153" s="18">
        <v>0.71825599999999989</v>
      </c>
      <c r="AJ153" s="18">
        <v>0</v>
      </c>
      <c r="AK153" s="18">
        <v>13.954687999999999</v>
      </c>
      <c r="AL153" s="18">
        <v>6.4643039999999994</v>
      </c>
      <c r="AM153" s="18">
        <v>1.1286879999999999</v>
      </c>
      <c r="AN153" s="18">
        <v>13.954687999999999</v>
      </c>
      <c r="AO153" s="18">
        <v>19.392911999999999</v>
      </c>
      <c r="AP153" s="18">
        <v>9.5938479999999977</v>
      </c>
      <c r="AQ153" s="18">
        <v>32.270215999999998</v>
      </c>
      <c r="AR153" s="18">
        <v>6.4643039999999994</v>
      </c>
      <c r="AS153" s="18">
        <v>1.1286879999999999</v>
      </c>
      <c r="AT153" s="18">
        <v>13.954687999999999</v>
      </c>
      <c r="AU153" s="18">
        <v>19.392911999999999</v>
      </c>
      <c r="AV153" s="18">
        <v>9.5938479999999977</v>
      </c>
      <c r="AW153" s="18">
        <v>32.270215999999998</v>
      </c>
      <c r="AX153" s="18">
        <v>25.138959999999997</v>
      </c>
      <c r="AY153" s="18">
        <v>12.979911999999999</v>
      </c>
      <c r="AZ153" s="18">
        <v>40.991895999999997</v>
      </c>
      <c r="BA153" s="18">
        <v>0.71825599999999989</v>
      </c>
      <c r="BB153" s="18">
        <v>0</v>
      </c>
      <c r="BC153" s="18">
        <v>13.954687999999999</v>
      </c>
      <c r="BD153" s="18">
        <v>6.4643039999999994</v>
      </c>
      <c r="BE153" s="18">
        <v>1.1286879999999999</v>
      </c>
      <c r="BF153" s="18">
        <v>13.954687999999999</v>
      </c>
      <c r="BG153" s="18">
        <v>19.392911999999999</v>
      </c>
      <c r="BH153" s="18">
        <v>9.5938479999999977</v>
      </c>
      <c r="BI153" s="18">
        <v>32.270215999999998</v>
      </c>
      <c r="BJ153" s="18">
        <v>6.4643039999999994</v>
      </c>
      <c r="BK153" s="18">
        <v>1.1286879999999999</v>
      </c>
      <c r="BL153" s="18">
        <v>13.954687999999999</v>
      </c>
      <c r="BM153" s="18">
        <v>19.392911999999999</v>
      </c>
      <c r="BN153" s="18">
        <v>9.5938479999999977</v>
      </c>
      <c r="BO153" s="18">
        <v>32.270215999999998</v>
      </c>
      <c r="BP153" s="18"/>
      <c r="BQ153" s="18"/>
      <c r="BR153" s="18"/>
      <c r="BS153" s="18"/>
      <c r="BT153" s="10">
        <f>Tabelle58971121[[#This Row],[Mindestauslastung durch]]*Tabelle58971121[[#This Row],[installierte Leistung MW durch]]</f>
        <v>56.603999999999999</v>
      </c>
      <c r="BU153" s="10">
        <f>Tabelle58971121[[#This Row],[Mindestauslastung min]]*Tabelle58971121[[#This Row],[installierte Leistung MW min]]</f>
        <v>38.624300000000005</v>
      </c>
      <c r="BV153" s="10">
        <f>Tabelle58971121[[#This Row],[Mindestauslastung max]]*Tabelle58971121[[#This Row],[installierte Leistung MW max]]</f>
        <v>77.793700000000001</v>
      </c>
      <c r="BW153" s="8">
        <v>0.15</v>
      </c>
      <c r="BX153" s="8">
        <v>0.13</v>
      </c>
      <c r="BY153" s="8">
        <v>0.17</v>
      </c>
      <c r="BZ153" s="8"/>
      <c r="CA153" s="8">
        <v>0.5</v>
      </c>
      <c r="CB153" s="8">
        <v>0.4</v>
      </c>
      <c r="CC153" s="8">
        <v>0.6</v>
      </c>
      <c r="CD153" s="8">
        <v>0.24</v>
      </c>
      <c r="CE153" s="8">
        <v>0.19</v>
      </c>
      <c r="CF153" s="8">
        <v>0.28999999999999998</v>
      </c>
      <c r="CG153" s="8">
        <v>0.24</v>
      </c>
      <c r="CH153" s="8">
        <v>0.19</v>
      </c>
      <c r="CI153" s="8">
        <v>0.28999999999999998</v>
      </c>
      <c r="CJ153" s="8">
        <v>0.5</v>
      </c>
      <c r="CK153" s="8">
        <v>0.4</v>
      </c>
      <c r="CL153" s="8">
        <v>0.6</v>
      </c>
      <c r="CM153" s="8">
        <v>0.24</v>
      </c>
      <c r="CN153" s="8">
        <v>0.19</v>
      </c>
      <c r="CO153" s="8">
        <v>0.28999999999999998</v>
      </c>
      <c r="CP153" s="8">
        <v>0.24</v>
      </c>
      <c r="CQ153" s="8">
        <v>0.19</v>
      </c>
      <c r="CR153" s="8">
        <v>0.28999999999999998</v>
      </c>
      <c r="CS153" s="8">
        <v>0.5</v>
      </c>
      <c r="CT153" s="8">
        <v>0.4</v>
      </c>
      <c r="CU153" s="8">
        <v>0.6</v>
      </c>
      <c r="CV153" s="8">
        <v>0.24</v>
      </c>
      <c r="CW153" s="8">
        <v>0.19</v>
      </c>
      <c r="CX153" s="8">
        <v>0.28999999999999998</v>
      </c>
      <c r="CY153" s="8">
        <v>0.24</v>
      </c>
      <c r="CZ153" s="8">
        <v>0.19</v>
      </c>
      <c r="DA153" s="8">
        <v>0.28999999999999998</v>
      </c>
      <c r="DB153" s="8"/>
      <c r="DC153" s="8"/>
      <c r="DD153" s="8"/>
      <c r="DE153" s="48">
        <f>Tabelle58971121[[#This Row],[Durchschnittsauslastung min]]*Tabelle58971121[[#This Row],[installierte Leistung MW min]]</f>
        <v>0</v>
      </c>
      <c r="DF153" s="48">
        <f>Tabelle58971121[[#This Row],[Durchschnittsauslastung durch]]*Tabelle58971121[[#This Row],[installierte Leistung MW durch]]</f>
        <v>0</v>
      </c>
      <c r="DG153" s="48">
        <f>Tabelle58971121[[#This Row],[Durchschnittsauslastung max]]*Tabelle58971121[[#This Row],[installierte Leistung MW max]]</f>
        <v>0</v>
      </c>
      <c r="DH153" s="87">
        <f>Tabelle58971121[[#This Row],[Maximalauslastung durch]]*Tabelle58971121[[#This Row],[installierte Leistung MW min]]</f>
        <v>151.52610000000001</v>
      </c>
      <c r="DI153" s="48">
        <f>Tabelle58971121[[#This Row],[Maximalauslastung durch]]*Tabelle58971121[[#This Row],[installierte Leistung MW durch]]</f>
        <v>192.45360000000002</v>
      </c>
      <c r="DJ153" s="18">
        <f>Tabelle58971121[[#This Row],[Maximalauslastung max]]*Tabelle58971121[[#This Row],[installierte Leistung MW durch]]</f>
        <v>211.32160000000002</v>
      </c>
      <c r="DK153" s="8">
        <v>0.51</v>
      </c>
      <c r="DL153" s="8">
        <v>0.46</v>
      </c>
      <c r="DM153" s="8">
        <v>0.56000000000000005</v>
      </c>
      <c r="DN153" s="1">
        <v>377.36</v>
      </c>
      <c r="DO153" s="1">
        <v>297.11</v>
      </c>
      <c r="DP153" s="1">
        <v>457.61</v>
      </c>
      <c r="DQ153" s="18"/>
      <c r="DR153" s="18"/>
      <c r="DW153" s="1">
        <v>1.1000000000000001</v>
      </c>
      <c r="DX153" s="1">
        <v>0.8</v>
      </c>
      <c r="DY153" s="1">
        <v>1.4</v>
      </c>
      <c r="EL153" s="1">
        <v>365</v>
      </c>
      <c r="EM153" s="1">
        <v>292</v>
      </c>
      <c r="EN153" s="1">
        <v>438</v>
      </c>
      <c r="EO153" s="10"/>
      <c r="EP153" s="10"/>
      <c r="EQ153" s="10"/>
      <c r="ER153" s="1">
        <v>365</v>
      </c>
      <c r="ES153" s="1">
        <v>292</v>
      </c>
      <c r="ET153" s="1">
        <v>438</v>
      </c>
      <c r="EV153" s="18"/>
      <c r="EW153" s="18"/>
      <c r="EX153" s="18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O153" s="1">
        <v>67</v>
      </c>
      <c r="FP153" s="1">
        <v>67</v>
      </c>
      <c r="FQ153" s="1">
        <v>67</v>
      </c>
      <c r="FR153" s="12" t="s">
        <v>743</v>
      </c>
      <c r="FS153" s="12" t="s">
        <v>743</v>
      </c>
      <c r="FT153" s="12" t="s">
        <v>743</v>
      </c>
      <c r="FU153" s="12"/>
      <c r="FV153" s="12" t="s">
        <v>743</v>
      </c>
      <c r="FW153" s="12" t="s">
        <v>743</v>
      </c>
      <c r="FX153" s="12" t="s">
        <v>743</v>
      </c>
      <c r="FY153" s="12" t="s">
        <v>743</v>
      </c>
      <c r="FZ153" s="12" t="s">
        <v>743</v>
      </c>
      <c r="GA153" s="12" t="s">
        <v>743</v>
      </c>
      <c r="GB153" s="12" t="s">
        <v>743</v>
      </c>
      <c r="GE153" s="12" t="s">
        <v>743</v>
      </c>
      <c r="GF153" s="12" t="s">
        <v>743</v>
      </c>
      <c r="GH153" s="12" t="s">
        <v>743</v>
      </c>
    </row>
    <row r="154" spans="1:193" ht="12.75" customHeight="1" x14ac:dyDescent="0.2">
      <c r="A154" s="1" t="s">
        <v>54</v>
      </c>
      <c r="D154" s="1" t="s">
        <v>573</v>
      </c>
      <c r="E154" s="1" t="s">
        <v>129</v>
      </c>
      <c r="F154" s="1">
        <v>1</v>
      </c>
      <c r="G154" s="1">
        <v>2015</v>
      </c>
      <c r="H154" s="1">
        <v>1</v>
      </c>
      <c r="I154" s="1">
        <v>1</v>
      </c>
      <c r="J154" s="1">
        <v>0</v>
      </c>
      <c r="K154" s="10">
        <v>891</v>
      </c>
      <c r="L154" s="10">
        <v>842</v>
      </c>
      <c r="M154" s="10">
        <v>940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8"/>
      <c r="BQ154" s="10">
        <v>40</v>
      </c>
      <c r="BR154" s="10">
        <v>30</v>
      </c>
      <c r="BS154" s="10">
        <v>50</v>
      </c>
      <c r="BT154" s="10">
        <f>Tabelle58971121[[#This Row],[Mindestauslastung durch]]*Tabelle58971121[[#This Row],[installierte Leistung MW durch]]</f>
        <v>0</v>
      </c>
      <c r="BU154" s="10">
        <f>Tabelle58971121[[#This Row],[Mindestauslastung min]]*Tabelle58971121[[#This Row],[installierte Leistung MW min]]</f>
        <v>0</v>
      </c>
      <c r="BV154" s="10">
        <f>Tabelle58971121[[#This Row],[Mindestauslastung max]]*Tabelle58971121[[#This Row],[installierte Leistung MW max]]</f>
        <v>0</v>
      </c>
      <c r="BW154" s="8">
        <v>0</v>
      </c>
      <c r="BX154" s="8">
        <v>0</v>
      </c>
      <c r="BY154" s="8">
        <v>0</v>
      </c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41">
        <v>0.95</v>
      </c>
      <c r="DC154" s="41">
        <v>0.92</v>
      </c>
      <c r="DD154" s="41">
        <v>0.98</v>
      </c>
      <c r="DE154" s="10">
        <f>Tabelle58971121[[#This Row],[Durchschnittsauslastung min]]*Tabelle58971121[[#This Row],[installierte Leistung MW min]]</f>
        <v>870.19999999999993</v>
      </c>
      <c r="DF154" s="10">
        <f>Tabelle58971121[[#This Row],[Durchschnittsauslastung durch]]*Tabelle58971121[[#This Row],[installierte Leistung MW durch]]</f>
        <v>862.96</v>
      </c>
      <c r="DG154" s="10">
        <f>Tabelle58971121[[#This Row],[Durchschnittsauslastung max]]*Tabelle58971121[[#This Row],[installierte Leistung MW max]]</f>
        <v>940.8</v>
      </c>
      <c r="DH154" s="87">
        <f>Tabelle58971121[[#This Row],[Maximalauslastung durch]]*Tabelle58971121[[#This Row],[installierte Leistung MW min]]</f>
        <v>906.84</v>
      </c>
      <c r="DI154" s="10">
        <f>Tabelle58971121[[#This Row],[Maximalauslastung durch]]*Tabelle58971121[[#This Row],[installierte Leistung MW durch]]</f>
        <v>928.62</v>
      </c>
      <c r="DJ154" s="10">
        <f>Tabelle58971121[[#This Row],[Maximalauslastung max]]*Tabelle58971121[[#This Row],[installierte Leistung MW durch]]</f>
        <v>935.18600000000004</v>
      </c>
      <c r="DK154" s="8">
        <v>0.99</v>
      </c>
      <c r="DL154" s="8">
        <v>0.98299999999999998</v>
      </c>
      <c r="DM154" s="8">
        <v>0.997</v>
      </c>
      <c r="DN154" s="10">
        <v>938</v>
      </c>
      <c r="DO154" s="10">
        <v>916</v>
      </c>
      <c r="DP154" s="10">
        <v>960</v>
      </c>
      <c r="DQ154" s="1">
        <v>1.7902777777777778E-3</v>
      </c>
      <c r="DR154" s="1">
        <v>0</v>
      </c>
      <c r="DS154" s="53">
        <v>8.3333333333333332E-3</v>
      </c>
      <c r="DT154" s="1">
        <v>0.23408333333333334</v>
      </c>
      <c r="DU154" s="1">
        <v>2.7777777777777778E-4</v>
      </c>
      <c r="DV154" s="53">
        <v>0.5</v>
      </c>
      <c r="DW154" s="1">
        <v>2.1</v>
      </c>
      <c r="DX154" s="1">
        <v>1.9000000000000001</v>
      </c>
      <c r="DY154" s="53">
        <v>2.3000000000000003</v>
      </c>
      <c r="DZ154" s="1">
        <v>4</v>
      </c>
      <c r="EA154" s="1">
        <v>3.6</v>
      </c>
      <c r="EB154" s="53">
        <v>4.4000000000000004</v>
      </c>
      <c r="EC154" s="1">
        <v>6.1</v>
      </c>
      <c r="ED154" s="1">
        <v>6.1</v>
      </c>
      <c r="EE154" s="53">
        <v>6.1</v>
      </c>
      <c r="EF154" s="1">
        <v>4.2</v>
      </c>
      <c r="EG154" s="1">
        <v>3.7</v>
      </c>
      <c r="EH154" s="53">
        <v>4.7</v>
      </c>
      <c r="EJ154" s="1" t="s">
        <v>641</v>
      </c>
      <c r="EL154" s="1">
        <v>350</v>
      </c>
      <c r="EM154" s="1">
        <v>335</v>
      </c>
      <c r="EN154" s="1">
        <v>365</v>
      </c>
      <c r="EO154" s="1">
        <v>100</v>
      </c>
      <c r="EP154" s="1">
        <v>80</v>
      </c>
      <c r="EQ154" s="1">
        <v>120</v>
      </c>
      <c r="ER154" s="1">
        <v>730</v>
      </c>
      <c r="ES154" s="1">
        <v>680</v>
      </c>
      <c r="ET154" s="1">
        <v>780</v>
      </c>
      <c r="EU154" s="1">
        <v>0</v>
      </c>
      <c r="EV154" s="18">
        <v>0</v>
      </c>
      <c r="EW154" s="18">
        <v>0</v>
      </c>
      <c r="EX154" s="18">
        <v>117.02941176470587</v>
      </c>
      <c r="EY154" s="7">
        <v>81.411764705882348</v>
      </c>
      <c r="EZ154" s="7">
        <v>152.64705882352939</v>
      </c>
      <c r="FA154" s="7">
        <v>479.3117647058823</v>
      </c>
      <c r="FB154" s="7">
        <v>363.29999999999995</v>
      </c>
      <c r="FC154" s="7">
        <v>595.32352941176464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2.0352941176470587</v>
      </c>
      <c r="FK154" s="7">
        <v>0</v>
      </c>
      <c r="FL154" s="7">
        <v>4.0705882352941174</v>
      </c>
      <c r="FO154" s="1">
        <v>220</v>
      </c>
      <c r="FP154" s="1">
        <v>220</v>
      </c>
      <c r="FR154" s="12" t="s">
        <v>638</v>
      </c>
      <c r="FS154" s="1" t="s">
        <v>638</v>
      </c>
      <c r="FT154" s="12">
        <v>182</v>
      </c>
      <c r="FU154" s="12"/>
      <c r="FV154" s="12">
        <v>182</v>
      </c>
      <c r="FW154" s="12">
        <v>182</v>
      </c>
      <c r="FX154" s="1">
        <v>182</v>
      </c>
      <c r="FY154" s="12" t="s">
        <v>637</v>
      </c>
      <c r="FZ154" s="12" t="s">
        <v>636</v>
      </c>
      <c r="GA154" s="1">
        <v>202</v>
      </c>
      <c r="GB154" s="1">
        <v>202</v>
      </c>
      <c r="GD154" s="1" t="s">
        <v>640</v>
      </c>
      <c r="GE154" s="1">
        <v>211</v>
      </c>
      <c r="GF154" s="1">
        <v>214</v>
      </c>
      <c r="GG154" s="1">
        <v>220</v>
      </c>
      <c r="GH154" s="1">
        <v>214</v>
      </c>
      <c r="GK154" s="1" t="s">
        <v>639</v>
      </c>
    </row>
    <row r="155" spans="1:193" ht="12.75" customHeight="1" x14ac:dyDescent="0.2">
      <c r="A155" s="1" t="s">
        <v>54</v>
      </c>
      <c r="D155" s="1" t="s">
        <v>573</v>
      </c>
      <c r="E155" s="1" t="s">
        <v>129</v>
      </c>
      <c r="F155" s="1">
        <v>1</v>
      </c>
      <c r="G155" s="1">
        <v>2020</v>
      </c>
      <c r="H155" s="1">
        <v>1</v>
      </c>
      <c r="I155" s="1">
        <v>1</v>
      </c>
      <c r="J155" s="1">
        <v>0</v>
      </c>
      <c r="K155" s="10">
        <v>846.44999999999993</v>
      </c>
      <c r="L155" s="10">
        <v>799.9</v>
      </c>
      <c r="M155" s="10">
        <v>893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8"/>
      <c r="BQ155" s="10">
        <v>38</v>
      </c>
      <c r="BR155" s="10">
        <v>28.5</v>
      </c>
      <c r="BS155" s="10">
        <v>47.5</v>
      </c>
      <c r="BT155" s="10">
        <f>Tabelle58971121[[#This Row],[Mindestauslastung durch]]*Tabelle58971121[[#This Row],[installierte Leistung MW durch]]</f>
        <v>0</v>
      </c>
      <c r="BU155" s="10">
        <f>Tabelle58971121[[#This Row],[Mindestauslastung min]]*Tabelle58971121[[#This Row],[installierte Leistung MW min]]</f>
        <v>0</v>
      </c>
      <c r="BV155" s="18">
        <f>Tabelle58971121[[#This Row],[Mindestauslastung max]]*Tabelle58971121[[#This Row],[installierte Leistung MW max]]</f>
        <v>0</v>
      </c>
      <c r="BW155" s="8">
        <v>0</v>
      </c>
      <c r="BX155" s="8">
        <v>0</v>
      </c>
      <c r="BY155" s="8">
        <v>0</v>
      </c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41">
        <v>0.95</v>
      </c>
      <c r="DC155" s="41">
        <v>0.92</v>
      </c>
      <c r="DD155" s="41">
        <v>0.98</v>
      </c>
      <c r="DE155" s="10">
        <f>Tabelle58971121[[#This Row],[Durchschnittsauslastung min]]*Tabelle58971121[[#This Row],[installierte Leistung MW min]]</f>
        <v>826.68999999999994</v>
      </c>
      <c r="DF155" s="10">
        <f>Tabelle58971121[[#This Row],[Durchschnittsauslastung durch]]*Tabelle58971121[[#This Row],[installierte Leistung MW durch]]</f>
        <v>819.8119999999999</v>
      </c>
      <c r="DG155" s="48">
        <f>Tabelle58971121[[#This Row],[Durchschnittsauslastung max]]*Tabelle58971121[[#This Row],[installierte Leistung MW max]]</f>
        <v>893.76</v>
      </c>
      <c r="DH155" s="87">
        <f>Tabelle58971121[[#This Row],[Maximalauslastung durch]]*Tabelle58971121[[#This Row],[installierte Leistung MW min]]</f>
        <v>861.49799999999993</v>
      </c>
      <c r="DI155" s="48">
        <f>Tabelle58971121[[#This Row],[Maximalauslastung durch]]*Tabelle58971121[[#This Row],[installierte Leistung MW durch]]</f>
        <v>882.18899999999985</v>
      </c>
      <c r="DJ155" s="10">
        <f>Tabelle58971121[[#This Row],[Maximalauslastung max]]*Tabelle58971121[[#This Row],[installierte Leistung MW durch]]</f>
        <v>888.42669999999987</v>
      </c>
      <c r="DK155" s="8">
        <v>0.99</v>
      </c>
      <c r="DL155" s="8">
        <v>0.98299999999999998</v>
      </c>
      <c r="DM155" s="8">
        <v>0.997</v>
      </c>
      <c r="DN155" s="10">
        <v>891.09999999999991</v>
      </c>
      <c r="DO155" s="10">
        <v>870.19999999999993</v>
      </c>
      <c r="DP155" s="10">
        <v>912</v>
      </c>
      <c r="DQ155" s="1">
        <v>1.7902777777777778E-3</v>
      </c>
      <c r="DR155" s="1">
        <v>0</v>
      </c>
      <c r="DS155" s="53">
        <v>8.3333333333333332E-3</v>
      </c>
      <c r="DT155" s="1">
        <v>0.23408333333333334</v>
      </c>
      <c r="DU155" s="1">
        <v>2.7777777777777778E-4</v>
      </c>
      <c r="DV155" s="53">
        <v>0.5</v>
      </c>
      <c r="DW155" s="1">
        <v>2.1</v>
      </c>
      <c r="DX155" s="1">
        <v>1.9000000000000001</v>
      </c>
      <c r="DY155" s="53">
        <v>2.3000000000000003</v>
      </c>
      <c r="DZ155" s="1">
        <v>4</v>
      </c>
      <c r="EA155" s="1">
        <v>3.6</v>
      </c>
      <c r="EB155" s="53">
        <v>4.4000000000000004</v>
      </c>
      <c r="EC155" s="1">
        <v>6.1</v>
      </c>
      <c r="ED155" s="1">
        <v>6.1</v>
      </c>
      <c r="EE155" s="53">
        <v>6.1</v>
      </c>
      <c r="EF155" s="1">
        <v>4.2</v>
      </c>
      <c r="EG155" s="1">
        <v>3.7</v>
      </c>
      <c r="EH155" s="53">
        <v>4.7</v>
      </c>
      <c r="EJ155" s="1" t="s">
        <v>641</v>
      </c>
      <c r="EL155" s="1">
        <v>350</v>
      </c>
      <c r="EM155" s="1">
        <v>335</v>
      </c>
      <c r="EN155" s="1">
        <v>365</v>
      </c>
      <c r="EO155" s="1">
        <v>100</v>
      </c>
      <c r="EP155" s="1">
        <v>80</v>
      </c>
      <c r="EQ155" s="1">
        <v>120</v>
      </c>
      <c r="ER155" s="1">
        <v>730</v>
      </c>
      <c r="ES155" s="1">
        <v>680</v>
      </c>
      <c r="ET155" s="1">
        <v>780</v>
      </c>
      <c r="EU155" s="1">
        <v>0</v>
      </c>
      <c r="EV155" s="18">
        <v>0</v>
      </c>
      <c r="EW155" s="18">
        <v>0</v>
      </c>
      <c r="EX155" s="18">
        <v>117.02941176470587</v>
      </c>
      <c r="EY155" s="7">
        <v>81.411764705882348</v>
      </c>
      <c r="EZ155" s="7">
        <v>152.64705882352939</v>
      </c>
      <c r="FA155" s="7">
        <v>479.3117647058823</v>
      </c>
      <c r="FB155" s="7">
        <v>363.29999999999995</v>
      </c>
      <c r="FC155" s="7">
        <v>595.32352941176464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2.0352941176470587</v>
      </c>
      <c r="FK155" s="7">
        <v>0</v>
      </c>
      <c r="FL155" s="7">
        <v>4.0705882352941174</v>
      </c>
      <c r="FO155" s="1">
        <v>220</v>
      </c>
      <c r="FP155" s="1">
        <v>220</v>
      </c>
      <c r="FR155" s="12" t="s">
        <v>638</v>
      </c>
      <c r="FS155" s="1" t="s">
        <v>638</v>
      </c>
      <c r="FT155" s="12">
        <v>182</v>
      </c>
      <c r="FU155" s="12"/>
      <c r="FV155" s="12">
        <v>182</v>
      </c>
      <c r="FW155" s="12">
        <v>182</v>
      </c>
      <c r="FX155" s="1">
        <v>182</v>
      </c>
      <c r="FY155" s="12" t="s">
        <v>637</v>
      </c>
      <c r="FZ155" s="12" t="s">
        <v>636</v>
      </c>
      <c r="GA155" s="1">
        <v>202</v>
      </c>
      <c r="GB155" s="1">
        <v>202</v>
      </c>
      <c r="GD155" s="1" t="s">
        <v>640</v>
      </c>
      <c r="GE155" s="1">
        <v>211</v>
      </c>
      <c r="GF155" s="1">
        <v>214</v>
      </c>
      <c r="GG155" s="1">
        <v>220</v>
      </c>
      <c r="GH155" s="1">
        <v>214</v>
      </c>
      <c r="GK155" s="1" t="s">
        <v>639</v>
      </c>
    </row>
    <row r="156" spans="1:193" ht="12.75" customHeight="1" x14ac:dyDescent="0.2">
      <c r="A156" s="1" t="s">
        <v>54</v>
      </c>
      <c r="D156" s="1" t="s">
        <v>573</v>
      </c>
      <c r="E156" s="1" t="s">
        <v>129</v>
      </c>
      <c r="F156" s="1">
        <v>1</v>
      </c>
      <c r="G156" s="1">
        <v>2025</v>
      </c>
      <c r="H156" s="1">
        <v>1</v>
      </c>
      <c r="I156" s="1">
        <v>1</v>
      </c>
      <c r="J156" s="1">
        <v>0</v>
      </c>
      <c r="K156" s="10">
        <v>801.9</v>
      </c>
      <c r="L156" s="10">
        <v>757.80000000000007</v>
      </c>
      <c r="M156" s="10">
        <v>846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8"/>
      <c r="BQ156" s="10">
        <v>36</v>
      </c>
      <c r="BR156" s="10">
        <v>27</v>
      </c>
      <c r="BS156" s="10">
        <v>45</v>
      </c>
      <c r="BT156" s="10">
        <f>Tabelle58971121[[#This Row],[Mindestauslastung durch]]*Tabelle58971121[[#This Row],[installierte Leistung MW durch]]</f>
        <v>0</v>
      </c>
      <c r="BU156" s="10">
        <f>Tabelle58971121[[#This Row],[Mindestauslastung min]]*Tabelle58971121[[#This Row],[installierte Leistung MW min]]</f>
        <v>0</v>
      </c>
      <c r="BV156" s="18">
        <f>Tabelle58971121[[#This Row],[Mindestauslastung max]]*Tabelle58971121[[#This Row],[installierte Leistung MW max]]</f>
        <v>0</v>
      </c>
      <c r="BW156" s="8">
        <v>0</v>
      </c>
      <c r="BX156" s="8">
        <v>0</v>
      </c>
      <c r="BY156" s="8">
        <v>0</v>
      </c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41">
        <v>0.95</v>
      </c>
      <c r="DC156" s="41">
        <v>0.92</v>
      </c>
      <c r="DD156" s="41">
        <v>0.98</v>
      </c>
      <c r="DE156" s="10">
        <f>Tabelle58971121[[#This Row],[Durchschnittsauslastung min]]*Tabelle58971121[[#This Row],[installierte Leistung MW min]]</f>
        <v>783.18</v>
      </c>
      <c r="DF156" s="10">
        <f>Tabelle58971121[[#This Row],[Durchschnittsauslastung durch]]*Tabelle58971121[[#This Row],[installierte Leistung MW durch]]</f>
        <v>776.6640000000001</v>
      </c>
      <c r="DG156" s="48">
        <f>Tabelle58971121[[#This Row],[Durchschnittsauslastung max]]*Tabelle58971121[[#This Row],[installierte Leistung MW max]]</f>
        <v>846.72</v>
      </c>
      <c r="DH156" s="87">
        <f>Tabelle58971121[[#This Row],[Maximalauslastung durch]]*Tabelle58971121[[#This Row],[installierte Leistung MW min]]</f>
        <v>816.15599999999995</v>
      </c>
      <c r="DI156" s="48">
        <f>Tabelle58971121[[#This Row],[Maximalauslastung durch]]*Tabelle58971121[[#This Row],[installierte Leistung MW durch]]</f>
        <v>835.75800000000004</v>
      </c>
      <c r="DJ156" s="10">
        <f>Tabelle58971121[[#This Row],[Maximalauslastung max]]*Tabelle58971121[[#This Row],[installierte Leistung MW durch]]</f>
        <v>841.66740000000004</v>
      </c>
      <c r="DK156" s="8">
        <v>0.99</v>
      </c>
      <c r="DL156" s="8">
        <v>0.98299999999999998</v>
      </c>
      <c r="DM156" s="8">
        <v>0.997</v>
      </c>
      <c r="DN156" s="10">
        <v>844.2</v>
      </c>
      <c r="DO156" s="10">
        <v>824.4</v>
      </c>
      <c r="DP156" s="10">
        <v>864</v>
      </c>
      <c r="DQ156" s="1">
        <v>1.7902777777777778E-3</v>
      </c>
      <c r="DR156" s="1">
        <v>0</v>
      </c>
      <c r="DS156" s="53">
        <v>8.3333333333333332E-3</v>
      </c>
      <c r="DT156" s="1">
        <v>0.23408333333333334</v>
      </c>
      <c r="DU156" s="1">
        <v>2.7777777777777778E-4</v>
      </c>
      <c r="DV156" s="53">
        <v>0.5</v>
      </c>
      <c r="DW156" s="1">
        <v>2.1</v>
      </c>
      <c r="DX156" s="1">
        <v>1.9000000000000001</v>
      </c>
      <c r="DY156" s="53">
        <v>2.3000000000000003</v>
      </c>
      <c r="DZ156" s="1">
        <v>4</v>
      </c>
      <c r="EA156" s="1">
        <v>3.6</v>
      </c>
      <c r="EB156" s="53">
        <v>4.4000000000000004</v>
      </c>
      <c r="EC156" s="1">
        <v>6.1</v>
      </c>
      <c r="ED156" s="1">
        <v>6.1</v>
      </c>
      <c r="EE156" s="53">
        <v>6.1</v>
      </c>
      <c r="EF156" s="1">
        <v>4.2</v>
      </c>
      <c r="EG156" s="1">
        <v>3.7</v>
      </c>
      <c r="EH156" s="53">
        <v>4.7</v>
      </c>
      <c r="EJ156" s="1" t="s">
        <v>641</v>
      </c>
      <c r="EL156" s="1">
        <v>350</v>
      </c>
      <c r="EM156" s="1">
        <v>335</v>
      </c>
      <c r="EN156" s="1">
        <v>365</v>
      </c>
      <c r="EO156" s="1">
        <v>100</v>
      </c>
      <c r="EP156" s="1">
        <v>80</v>
      </c>
      <c r="EQ156" s="1">
        <v>120</v>
      </c>
      <c r="ER156" s="1">
        <v>730</v>
      </c>
      <c r="ES156" s="1">
        <v>680</v>
      </c>
      <c r="ET156" s="1">
        <v>780</v>
      </c>
      <c r="EU156" s="1">
        <v>0</v>
      </c>
      <c r="EV156" s="18">
        <v>0</v>
      </c>
      <c r="EW156" s="18">
        <v>0</v>
      </c>
      <c r="EX156" s="18">
        <v>117.02941176470587</v>
      </c>
      <c r="EY156" s="7">
        <v>81.411764705882348</v>
      </c>
      <c r="EZ156" s="7">
        <v>152.64705882352939</v>
      </c>
      <c r="FA156" s="7">
        <v>479.3117647058823</v>
      </c>
      <c r="FB156" s="7">
        <v>363.29999999999995</v>
      </c>
      <c r="FC156" s="7">
        <v>595.32352941176464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2.0352941176470587</v>
      </c>
      <c r="FK156" s="7">
        <v>0</v>
      </c>
      <c r="FL156" s="7">
        <v>4.0705882352941174</v>
      </c>
      <c r="FO156" s="1">
        <v>220</v>
      </c>
      <c r="FP156" s="1">
        <v>220</v>
      </c>
      <c r="FR156" s="12" t="s">
        <v>638</v>
      </c>
      <c r="FS156" s="1" t="s">
        <v>638</v>
      </c>
      <c r="FT156" s="12">
        <v>182</v>
      </c>
      <c r="FU156" s="12"/>
      <c r="FV156" s="12">
        <v>182</v>
      </c>
      <c r="FW156" s="12">
        <v>182</v>
      </c>
      <c r="FX156" s="1">
        <v>182</v>
      </c>
      <c r="FY156" s="12" t="s">
        <v>637</v>
      </c>
      <c r="FZ156" s="12" t="s">
        <v>636</v>
      </c>
      <c r="GA156" s="1">
        <v>202</v>
      </c>
      <c r="GB156" s="1">
        <v>202</v>
      </c>
      <c r="GD156" s="1" t="s">
        <v>640</v>
      </c>
      <c r="GE156" s="1">
        <v>211</v>
      </c>
      <c r="GF156" s="1">
        <v>214</v>
      </c>
      <c r="GG156" s="1">
        <v>220</v>
      </c>
      <c r="GH156" s="1">
        <v>214</v>
      </c>
      <c r="GK156" s="1" t="s">
        <v>639</v>
      </c>
    </row>
    <row r="157" spans="1:193" ht="12.75" customHeight="1" x14ac:dyDescent="0.2">
      <c r="A157" s="1" t="s">
        <v>54</v>
      </c>
      <c r="D157" s="1" t="s">
        <v>573</v>
      </c>
      <c r="E157" s="1" t="s">
        <v>129</v>
      </c>
      <c r="F157" s="1">
        <v>1</v>
      </c>
      <c r="G157" s="1">
        <v>2030</v>
      </c>
      <c r="H157" s="1">
        <v>1</v>
      </c>
      <c r="I157" s="1">
        <v>1</v>
      </c>
      <c r="J157" s="1">
        <v>0</v>
      </c>
      <c r="K157" s="10">
        <v>766.26</v>
      </c>
      <c r="L157" s="10">
        <v>724.12</v>
      </c>
      <c r="M157" s="10">
        <v>808.4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8"/>
      <c r="BQ157" s="10">
        <v>34.4</v>
      </c>
      <c r="BR157" s="10">
        <v>25.8</v>
      </c>
      <c r="BS157" s="10">
        <v>43</v>
      </c>
      <c r="BT157" s="10">
        <f>Tabelle58971121[[#This Row],[Mindestauslastung durch]]*Tabelle58971121[[#This Row],[installierte Leistung MW durch]]</f>
        <v>0</v>
      </c>
      <c r="BU157" s="10">
        <f>Tabelle58971121[[#This Row],[Mindestauslastung min]]*Tabelle58971121[[#This Row],[installierte Leistung MW min]]</f>
        <v>0</v>
      </c>
      <c r="BV157" s="18">
        <f>Tabelle58971121[[#This Row],[Mindestauslastung max]]*Tabelle58971121[[#This Row],[installierte Leistung MW max]]</f>
        <v>0</v>
      </c>
      <c r="BW157" s="8">
        <v>0</v>
      </c>
      <c r="BX157" s="8">
        <v>0</v>
      </c>
      <c r="BY157" s="8">
        <v>0</v>
      </c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41">
        <v>0.95</v>
      </c>
      <c r="DC157" s="41">
        <v>0.92</v>
      </c>
      <c r="DD157" s="41">
        <v>0.98</v>
      </c>
      <c r="DE157" s="10">
        <f>Tabelle58971121[[#This Row],[Durchschnittsauslastung min]]*Tabelle58971121[[#This Row],[installierte Leistung MW min]]</f>
        <v>748.37199999999996</v>
      </c>
      <c r="DF157" s="10">
        <f>Tabelle58971121[[#This Row],[Durchschnittsauslastung durch]]*Tabelle58971121[[#This Row],[installierte Leistung MW durch]]</f>
        <v>742.14559999999994</v>
      </c>
      <c r="DG157" s="48">
        <f>Tabelle58971121[[#This Row],[Durchschnittsauslastung max]]*Tabelle58971121[[#This Row],[installierte Leistung MW max]]</f>
        <v>809.08799999999997</v>
      </c>
      <c r="DH157" s="87">
        <f>Tabelle58971121[[#This Row],[Maximalauslastung durch]]*Tabelle58971121[[#This Row],[installierte Leistung MW min]]</f>
        <v>779.88239999999996</v>
      </c>
      <c r="DI157" s="48">
        <f>Tabelle58971121[[#This Row],[Maximalauslastung durch]]*Tabelle58971121[[#This Row],[installierte Leistung MW durch]]</f>
        <v>798.61319999999989</v>
      </c>
      <c r="DJ157" s="10">
        <f>Tabelle58971121[[#This Row],[Maximalauslastung max]]*Tabelle58971121[[#This Row],[installierte Leistung MW durch]]</f>
        <v>804.25995999999998</v>
      </c>
      <c r="DK157" s="8">
        <v>0.99</v>
      </c>
      <c r="DL157" s="8">
        <v>0.98299999999999998</v>
      </c>
      <c r="DM157" s="8">
        <v>0.997</v>
      </c>
      <c r="DN157" s="10">
        <v>806.68</v>
      </c>
      <c r="DO157" s="10">
        <v>787.76</v>
      </c>
      <c r="DP157" s="10">
        <v>825.6</v>
      </c>
      <c r="DQ157" s="1">
        <v>1.7902777777777778E-3</v>
      </c>
      <c r="DR157" s="1">
        <v>0</v>
      </c>
      <c r="DS157" s="53">
        <v>8.3333333333333332E-3</v>
      </c>
      <c r="DT157" s="1">
        <v>0.23408333333333334</v>
      </c>
      <c r="DU157" s="1">
        <v>2.7777777777777778E-4</v>
      </c>
      <c r="DV157" s="53">
        <v>0.5</v>
      </c>
      <c r="DW157" s="1">
        <v>2.1</v>
      </c>
      <c r="DX157" s="1">
        <v>1.9000000000000001</v>
      </c>
      <c r="DY157" s="53">
        <v>2.3000000000000003</v>
      </c>
      <c r="DZ157" s="1">
        <v>4</v>
      </c>
      <c r="EA157" s="1">
        <v>3.6</v>
      </c>
      <c r="EB157" s="53">
        <v>4.4000000000000004</v>
      </c>
      <c r="EC157" s="1">
        <v>6.1</v>
      </c>
      <c r="ED157" s="1">
        <v>6.1</v>
      </c>
      <c r="EE157" s="53">
        <v>6.1</v>
      </c>
      <c r="EF157" s="1">
        <v>4.2</v>
      </c>
      <c r="EG157" s="1">
        <v>3.7</v>
      </c>
      <c r="EH157" s="53">
        <v>4.7</v>
      </c>
      <c r="EJ157" s="1" t="s">
        <v>641</v>
      </c>
      <c r="EL157" s="1">
        <v>350</v>
      </c>
      <c r="EM157" s="1">
        <v>335</v>
      </c>
      <c r="EN157" s="1">
        <v>365</v>
      </c>
      <c r="EO157" s="1">
        <v>100</v>
      </c>
      <c r="EP157" s="1">
        <v>80</v>
      </c>
      <c r="EQ157" s="1">
        <v>120</v>
      </c>
      <c r="ER157" s="1">
        <v>730</v>
      </c>
      <c r="ES157" s="1">
        <v>680</v>
      </c>
      <c r="ET157" s="1">
        <v>780</v>
      </c>
      <c r="EU157" s="1">
        <v>0</v>
      </c>
      <c r="EV157" s="18">
        <v>0</v>
      </c>
      <c r="EW157" s="18">
        <v>0</v>
      </c>
      <c r="EX157" s="18">
        <v>117.02941176470587</v>
      </c>
      <c r="EY157" s="7">
        <v>81.411764705882348</v>
      </c>
      <c r="EZ157" s="7">
        <v>152.64705882352939</v>
      </c>
      <c r="FA157" s="7">
        <v>479.3117647058823</v>
      </c>
      <c r="FB157" s="7">
        <v>363.29999999999995</v>
      </c>
      <c r="FC157" s="7">
        <v>595.32352941176464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2.0352941176470587</v>
      </c>
      <c r="FK157" s="7">
        <v>0</v>
      </c>
      <c r="FL157" s="7">
        <v>4.0705882352941174</v>
      </c>
      <c r="FO157" s="1">
        <v>220</v>
      </c>
      <c r="FP157" s="1">
        <v>220</v>
      </c>
      <c r="FR157" s="12" t="s">
        <v>638</v>
      </c>
      <c r="FS157" s="1" t="s">
        <v>638</v>
      </c>
      <c r="FT157" s="12">
        <v>182</v>
      </c>
      <c r="FU157" s="12"/>
      <c r="FV157" s="12">
        <v>182</v>
      </c>
      <c r="FW157" s="12">
        <v>182</v>
      </c>
      <c r="FX157" s="1">
        <v>182</v>
      </c>
      <c r="FY157" s="12" t="s">
        <v>637</v>
      </c>
      <c r="FZ157" s="12" t="s">
        <v>636</v>
      </c>
      <c r="GA157" s="1">
        <v>202</v>
      </c>
      <c r="GB157" s="1">
        <v>202</v>
      </c>
      <c r="GD157" s="1" t="s">
        <v>640</v>
      </c>
      <c r="GE157" s="1">
        <v>211</v>
      </c>
      <c r="GF157" s="1">
        <v>214</v>
      </c>
      <c r="GG157" s="1">
        <v>220</v>
      </c>
      <c r="GH157" s="1">
        <v>214</v>
      </c>
      <c r="GK157" s="1" t="s">
        <v>639</v>
      </c>
    </row>
    <row r="158" spans="1:193" ht="12.75" customHeight="1" x14ac:dyDescent="0.2">
      <c r="A158" s="1" t="s">
        <v>54</v>
      </c>
      <c r="D158" s="1" t="s">
        <v>573</v>
      </c>
      <c r="E158" s="1" t="s">
        <v>129</v>
      </c>
      <c r="F158" s="1">
        <v>1</v>
      </c>
      <c r="G158" s="1">
        <v>2035</v>
      </c>
      <c r="H158" s="1">
        <v>1</v>
      </c>
      <c r="I158" s="1">
        <v>1</v>
      </c>
      <c r="J158" s="1">
        <v>0</v>
      </c>
      <c r="K158" s="10">
        <v>730.62</v>
      </c>
      <c r="L158" s="10">
        <v>690.43999999999994</v>
      </c>
      <c r="M158" s="10">
        <v>770.8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8"/>
      <c r="BQ158" s="10">
        <v>32.799999999999997</v>
      </c>
      <c r="BR158" s="10">
        <v>24.599999999999998</v>
      </c>
      <c r="BS158" s="10">
        <v>41</v>
      </c>
      <c r="BT158" s="10">
        <f>Tabelle58971121[[#This Row],[Mindestauslastung durch]]*Tabelle58971121[[#This Row],[installierte Leistung MW durch]]</f>
        <v>0</v>
      </c>
      <c r="BU158" s="10">
        <f>Tabelle58971121[[#This Row],[Mindestauslastung min]]*Tabelle58971121[[#This Row],[installierte Leistung MW min]]</f>
        <v>0</v>
      </c>
      <c r="BV158" s="18">
        <f>Tabelle58971121[[#This Row],[Mindestauslastung max]]*Tabelle58971121[[#This Row],[installierte Leistung MW max]]</f>
        <v>0</v>
      </c>
      <c r="BW158" s="8">
        <v>0</v>
      </c>
      <c r="BX158" s="8">
        <v>0</v>
      </c>
      <c r="BY158" s="8">
        <v>0</v>
      </c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41">
        <v>0.95</v>
      </c>
      <c r="DC158" s="41">
        <v>0.92</v>
      </c>
      <c r="DD158" s="41">
        <v>0.98</v>
      </c>
      <c r="DE158" s="10">
        <f>Tabelle58971121[[#This Row],[Durchschnittsauslastung min]]*Tabelle58971121[[#This Row],[installierte Leistung MW min]]</f>
        <v>713.56399999999996</v>
      </c>
      <c r="DF158" s="10">
        <f>Tabelle58971121[[#This Row],[Durchschnittsauslastung durch]]*Tabelle58971121[[#This Row],[installierte Leistung MW durch]]</f>
        <v>707.62720000000002</v>
      </c>
      <c r="DG158" s="48">
        <f>Tabelle58971121[[#This Row],[Durchschnittsauslastung max]]*Tabelle58971121[[#This Row],[installierte Leistung MW max]]</f>
        <v>771.4559999999999</v>
      </c>
      <c r="DH158" s="87">
        <f>Tabelle58971121[[#This Row],[Maximalauslastung durch]]*Tabelle58971121[[#This Row],[installierte Leistung MW min]]</f>
        <v>743.60879999999997</v>
      </c>
      <c r="DI158" s="48">
        <f>Tabelle58971121[[#This Row],[Maximalauslastung durch]]*Tabelle58971121[[#This Row],[installierte Leistung MW durch]]</f>
        <v>761.46839999999997</v>
      </c>
      <c r="DJ158" s="10">
        <f>Tabelle58971121[[#This Row],[Maximalauslastung max]]*Tabelle58971121[[#This Row],[installierte Leistung MW durch]]</f>
        <v>766.85251999999991</v>
      </c>
      <c r="DK158" s="8">
        <v>0.99</v>
      </c>
      <c r="DL158" s="8">
        <v>0.98299999999999998</v>
      </c>
      <c r="DM158" s="8">
        <v>0.997</v>
      </c>
      <c r="DN158" s="10">
        <v>769.16</v>
      </c>
      <c r="DO158" s="10">
        <v>751.12</v>
      </c>
      <c r="DP158" s="10">
        <v>787.19999999999993</v>
      </c>
      <c r="DQ158" s="1">
        <v>1.7902777777777778E-3</v>
      </c>
      <c r="DR158" s="1">
        <v>0</v>
      </c>
      <c r="DS158" s="53">
        <v>8.3333333333333332E-3</v>
      </c>
      <c r="DT158" s="1">
        <v>0.23408333333333334</v>
      </c>
      <c r="DU158" s="1">
        <v>2.7777777777777778E-4</v>
      </c>
      <c r="DV158" s="53">
        <v>0.5</v>
      </c>
      <c r="DW158" s="1">
        <v>2.1</v>
      </c>
      <c r="DX158" s="1">
        <v>1.9000000000000001</v>
      </c>
      <c r="DY158" s="53">
        <v>2.3000000000000003</v>
      </c>
      <c r="DZ158" s="1">
        <v>4</v>
      </c>
      <c r="EA158" s="1">
        <v>3.6</v>
      </c>
      <c r="EB158" s="53">
        <v>4.4000000000000004</v>
      </c>
      <c r="EC158" s="1">
        <v>6.1</v>
      </c>
      <c r="ED158" s="1">
        <v>6.1</v>
      </c>
      <c r="EE158" s="53">
        <v>6.1</v>
      </c>
      <c r="EF158" s="1">
        <v>4.2</v>
      </c>
      <c r="EG158" s="1">
        <v>3.7</v>
      </c>
      <c r="EH158" s="53">
        <v>4.7</v>
      </c>
      <c r="EJ158" s="1" t="s">
        <v>641</v>
      </c>
      <c r="EL158" s="1">
        <v>350</v>
      </c>
      <c r="EM158" s="1">
        <v>335</v>
      </c>
      <c r="EN158" s="1">
        <v>365</v>
      </c>
      <c r="EO158" s="1">
        <v>100</v>
      </c>
      <c r="EP158" s="1">
        <v>80</v>
      </c>
      <c r="EQ158" s="1">
        <v>120</v>
      </c>
      <c r="ER158" s="1">
        <v>730</v>
      </c>
      <c r="ES158" s="1">
        <v>680</v>
      </c>
      <c r="ET158" s="1">
        <v>780</v>
      </c>
      <c r="EU158" s="1">
        <v>0</v>
      </c>
      <c r="EV158" s="18">
        <v>0</v>
      </c>
      <c r="EW158" s="18">
        <v>0</v>
      </c>
      <c r="EX158" s="18">
        <v>117.02941176470587</v>
      </c>
      <c r="EY158" s="7">
        <v>81.411764705882348</v>
      </c>
      <c r="EZ158" s="7">
        <v>152.64705882352939</v>
      </c>
      <c r="FA158" s="7">
        <v>479.3117647058823</v>
      </c>
      <c r="FB158" s="7">
        <v>363.29999999999995</v>
      </c>
      <c r="FC158" s="7">
        <v>595.32352941176464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2.0352941176470587</v>
      </c>
      <c r="FK158" s="7">
        <v>0</v>
      </c>
      <c r="FL158" s="7">
        <v>4.0705882352941174</v>
      </c>
      <c r="FO158" s="1">
        <v>220</v>
      </c>
      <c r="FP158" s="1">
        <v>220</v>
      </c>
      <c r="FR158" s="12" t="s">
        <v>638</v>
      </c>
      <c r="FS158" s="1" t="s">
        <v>638</v>
      </c>
      <c r="FT158" s="12">
        <v>182</v>
      </c>
      <c r="FU158" s="12"/>
      <c r="FV158" s="12">
        <v>182</v>
      </c>
      <c r="FW158" s="12">
        <v>182</v>
      </c>
      <c r="FX158" s="1">
        <v>182</v>
      </c>
      <c r="FY158" s="12" t="s">
        <v>637</v>
      </c>
      <c r="FZ158" s="12" t="s">
        <v>636</v>
      </c>
      <c r="GA158" s="1">
        <v>202</v>
      </c>
      <c r="GB158" s="1">
        <v>202</v>
      </c>
      <c r="GD158" s="1" t="s">
        <v>640</v>
      </c>
      <c r="GE158" s="1">
        <v>211</v>
      </c>
      <c r="GF158" s="1">
        <v>214</v>
      </c>
      <c r="GG158" s="1">
        <v>220</v>
      </c>
      <c r="GH158" s="1">
        <v>214</v>
      </c>
      <c r="GK158" s="1" t="s">
        <v>639</v>
      </c>
    </row>
    <row r="159" spans="1:193" ht="12.75" customHeight="1" x14ac:dyDescent="0.2">
      <c r="A159" s="1" t="s">
        <v>54</v>
      </c>
      <c r="D159" s="1" t="s">
        <v>573</v>
      </c>
      <c r="E159" s="1" t="s">
        <v>129</v>
      </c>
      <c r="F159" s="1">
        <v>1</v>
      </c>
      <c r="G159" s="1">
        <v>2040</v>
      </c>
      <c r="H159" s="1">
        <v>1</v>
      </c>
      <c r="I159" s="1">
        <v>1</v>
      </c>
      <c r="J159" s="1">
        <v>0</v>
      </c>
      <c r="K159" s="10">
        <v>694.98</v>
      </c>
      <c r="L159" s="10">
        <v>656.76</v>
      </c>
      <c r="M159" s="10">
        <v>733.2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8"/>
      <c r="BQ159" s="10">
        <v>31.200000000000003</v>
      </c>
      <c r="BR159" s="10">
        <v>23.400000000000002</v>
      </c>
      <c r="BS159" s="10">
        <v>39</v>
      </c>
      <c r="BT159" s="10">
        <f>Tabelle58971121[[#This Row],[Mindestauslastung durch]]*Tabelle58971121[[#This Row],[installierte Leistung MW durch]]</f>
        <v>0</v>
      </c>
      <c r="BU159" s="10">
        <f>Tabelle58971121[[#This Row],[Mindestauslastung min]]*Tabelle58971121[[#This Row],[installierte Leistung MW min]]</f>
        <v>0</v>
      </c>
      <c r="BV159" s="18">
        <f>Tabelle58971121[[#This Row],[Mindestauslastung max]]*Tabelle58971121[[#This Row],[installierte Leistung MW max]]</f>
        <v>0</v>
      </c>
      <c r="BW159" s="8">
        <v>0</v>
      </c>
      <c r="BX159" s="8">
        <v>0</v>
      </c>
      <c r="BY159" s="8">
        <v>0</v>
      </c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41">
        <v>0.95</v>
      </c>
      <c r="DC159" s="41">
        <v>0.92</v>
      </c>
      <c r="DD159" s="41">
        <v>0.98</v>
      </c>
      <c r="DE159" s="10">
        <f>Tabelle58971121[[#This Row],[Durchschnittsauslastung min]]*Tabelle58971121[[#This Row],[installierte Leistung MW min]]</f>
        <v>678.75599999999997</v>
      </c>
      <c r="DF159" s="10">
        <f>Tabelle58971121[[#This Row],[Durchschnittsauslastung durch]]*Tabelle58971121[[#This Row],[installierte Leistung MW durch]]</f>
        <v>673.10879999999997</v>
      </c>
      <c r="DG159" s="48">
        <f>Tabelle58971121[[#This Row],[Durchschnittsauslastung max]]*Tabelle58971121[[#This Row],[installierte Leistung MW max]]</f>
        <v>733.82400000000007</v>
      </c>
      <c r="DH159" s="87">
        <f>Tabelle58971121[[#This Row],[Maximalauslastung durch]]*Tabelle58971121[[#This Row],[installierte Leistung MW min]]</f>
        <v>707.33519999999999</v>
      </c>
      <c r="DI159" s="48">
        <f>Tabelle58971121[[#This Row],[Maximalauslastung durch]]*Tabelle58971121[[#This Row],[installierte Leistung MW durch]]</f>
        <v>724.32359999999994</v>
      </c>
      <c r="DJ159" s="10">
        <f>Tabelle58971121[[#This Row],[Maximalauslastung max]]*Tabelle58971121[[#This Row],[installierte Leistung MW durch]]</f>
        <v>729.44507999999996</v>
      </c>
      <c r="DK159" s="8">
        <v>0.99</v>
      </c>
      <c r="DL159" s="8">
        <v>0.98299999999999998</v>
      </c>
      <c r="DM159" s="8">
        <v>0.997</v>
      </c>
      <c r="DN159" s="10">
        <v>731.64</v>
      </c>
      <c r="DO159" s="10">
        <v>714.48</v>
      </c>
      <c r="DP159" s="10">
        <v>748.80000000000007</v>
      </c>
      <c r="DQ159" s="1">
        <v>1.7902777777777778E-3</v>
      </c>
      <c r="DR159" s="1">
        <v>0</v>
      </c>
      <c r="DS159" s="53">
        <v>8.3333333333333332E-3</v>
      </c>
      <c r="DT159" s="1">
        <v>0.23408333333333334</v>
      </c>
      <c r="DU159" s="1">
        <v>2.7777777777777778E-4</v>
      </c>
      <c r="DV159" s="53">
        <v>0.5</v>
      </c>
      <c r="DW159" s="1">
        <v>2.1</v>
      </c>
      <c r="DX159" s="1">
        <v>1.9000000000000001</v>
      </c>
      <c r="DY159" s="53">
        <v>2.3000000000000003</v>
      </c>
      <c r="DZ159" s="1">
        <v>4</v>
      </c>
      <c r="EA159" s="1">
        <v>3.6</v>
      </c>
      <c r="EB159" s="53">
        <v>4.4000000000000004</v>
      </c>
      <c r="EC159" s="1">
        <v>6.1</v>
      </c>
      <c r="ED159" s="1">
        <v>6.1</v>
      </c>
      <c r="EE159" s="53">
        <v>6.1</v>
      </c>
      <c r="EF159" s="1">
        <v>4.2</v>
      </c>
      <c r="EG159" s="1">
        <v>3.7</v>
      </c>
      <c r="EH159" s="53">
        <v>4.7</v>
      </c>
      <c r="EJ159" s="1" t="s">
        <v>641</v>
      </c>
      <c r="EL159" s="1">
        <v>350</v>
      </c>
      <c r="EM159" s="1">
        <v>335</v>
      </c>
      <c r="EN159" s="1">
        <v>365</v>
      </c>
      <c r="EO159" s="1">
        <v>100</v>
      </c>
      <c r="EP159" s="1">
        <v>80</v>
      </c>
      <c r="EQ159" s="1">
        <v>120</v>
      </c>
      <c r="ER159" s="1">
        <v>730</v>
      </c>
      <c r="ES159" s="1">
        <v>680</v>
      </c>
      <c r="ET159" s="1">
        <v>780</v>
      </c>
      <c r="EU159" s="1">
        <v>0</v>
      </c>
      <c r="EV159" s="18">
        <v>0</v>
      </c>
      <c r="EW159" s="18">
        <v>0</v>
      </c>
      <c r="EX159" s="18">
        <v>117.02941176470587</v>
      </c>
      <c r="EY159" s="7">
        <v>81.411764705882348</v>
      </c>
      <c r="EZ159" s="7">
        <v>152.64705882352939</v>
      </c>
      <c r="FA159" s="7">
        <v>479.3117647058823</v>
      </c>
      <c r="FB159" s="7">
        <v>363.29999999999995</v>
      </c>
      <c r="FC159" s="7">
        <v>595.32352941176464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2.0352941176470587</v>
      </c>
      <c r="FK159" s="7">
        <v>0</v>
      </c>
      <c r="FL159" s="7">
        <v>4.0705882352941174</v>
      </c>
      <c r="FO159" s="1">
        <v>220</v>
      </c>
      <c r="FP159" s="1">
        <v>220</v>
      </c>
      <c r="FR159" s="12" t="s">
        <v>638</v>
      </c>
      <c r="FS159" s="1" t="s">
        <v>638</v>
      </c>
      <c r="FT159" s="12">
        <v>182</v>
      </c>
      <c r="FU159" s="12"/>
      <c r="FV159" s="12">
        <v>182</v>
      </c>
      <c r="FW159" s="12">
        <v>182</v>
      </c>
      <c r="FX159" s="1">
        <v>182</v>
      </c>
      <c r="FY159" s="12" t="s">
        <v>637</v>
      </c>
      <c r="FZ159" s="12" t="s">
        <v>636</v>
      </c>
      <c r="GA159" s="1">
        <v>202</v>
      </c>
      <c r="GB159" s="1">
        <v>202</v>
      </c>
      <c r="GD159" s="1" t="s">
        <v>640</v>
      </c>
      <c r="GE159" s="1">
        <v>211</v>
      </c>
      <c r="GF159" s="1">
        <v>214</v>
      </c>
      <c r="GG159" s="1">
        <v>220</v>
      </c>
      <c r="GH159" s="1">
        <v>214</v>
      </c>
      <c r="GK159" s="1" t="s">
        <v>639</v>
      </c>
    </row>
    <row r="160" spans="1:193" ht="12.75" customHeight="1" x14ac:dyDescent="0.2">
      <c r="A160" s="1" t="s">
        <v>54</v>
      </c>
      <c r="D160" s="1" t="s">
        <v>573</v>
      </c>
      <c r="E160" s="1" t="s">
        <v>129</v>
      </c>
      <c r="F160" s="1">
        <v>1</v>
      </c>
      <c r="G160" s="1">
        <v>2045</v>
      </c>
      <c r="H160" s="1">
        <v>1</v>
      </c>
      <c r="I160" s="1">
        <v>1</v>
      </c>
      <c r="J160" s="1">
        <v>0</v>
      </c>
      <c r="K160" s="10">
        <v>659.34</v>
      </c>
      <c r="L160" s="10">
        <v>623.08000000000004</v>
      </c>
      <c r="M160" s="10">
        <v>695.6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8"/>
      <c r="BQ160" s="10">
        <v>29.6</v>
      </c>
      <c r="BR160" s="10">
        <v>22.2</v>
      </c>
      <c r="BS160" s="10">
        <v>37</v>
      </c>
      <c r="BT160" s="10">
        <f>Tabelle58971121[[#This Row],[Mindestauslastung durch]]*Tabelle58971121[[#This Row],[installierte Leistung MW durch]]</f>
        <v>0</v>
      </c>
      <c r="BU160" s="10">
        <f>Tabelle58971121[[#This Row],[Mindestauslastung min]]*Tabelle58971121[[#This Row],[installierte Leistung MW min]]</f>
        <v>0</v>
      </c>
      <c r="BV160" s="18">
        <f>Tabelle58971121[[#This Row],[Mindestauslastung max]]*Tabelle58971121[[#This Row],[installierte Leistung MW max]]</f>
        <v>0</v>
      </c>
      <c r="BW160" s="8">
        <v>0</v>
      </c>
      <c r="BX160" s="8">
        <v>0</v>
      </c>
      <c r="BY160" s="8">
        <v>0</v>
      </c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41">
        <v>0.95</v>
      </c>
      <c r="DC160" s="41">
        <v>0.92</v>
      </c>
      <c r="DD160" s="41">
        <v>0.98</v>
      </c>
      <c r="DE160" s="10">
        <f>Tabelle58971121[[#This Row],[Durchschnittsauslastung min]]*Tabelle58971121[[#This Row],[installierte Leistung MW min]]</f>
        <v>643.94799999999998</v>
      </c>
      <c r="DF160" s="10">
        <f>Tabelle58971121[[#This Row],[Durchschnittsauslastung durch]]*Tabelle58971121[[#This Row],[installierte Leistung MW durch]]</f>
        <v>638.59040000000005</v>
      </c>
      <c r="DG160" s="48">
        <f>Tabelle58971121[[#This Row],[Durchschnittsauslastung max]]*Tabelle58971121[[#This Row],[installierte Leistung MW max]]</f>
        <v>696.19200000000001</v>
      </c>
      <c r="DH160" s="87">
        <f>Tabelle58971121[[#This Row],[Maximalauslastung durch]]*Tabelle58971121[[#This Row],[installierte Leistung MW min]]</f>
        <v>671.0616</v>
      </c>
      <c r="DI160" s="48">
        <f>Tabelle58971121[[#This Row],[Maximalauslastung durch]]*Tabelle58971121[[#This Row],[installierte Leistung MW durch]]</f>
        <v>687.17880000000002</v>
      </c>
      <c r="DJ160" s="10">
        <f>Tabelle58971121[[#This Row],[Maximalauslastung max]]*Tabelle58971121[[#This Row],[installierte Leistung MW durch]]</f>
        <v>692.03764000000001</v>
      </c>
      <c r="DK160" s="8">
        <v>0.99</v>
      </c>
      <c r="DL160" s="8">
        <v>0.98299999999999998</v>
      </c>
      <c r="DM160" s="8">
        <v>0.997</v>
      </c>
      <c r="DN160" s="10">
        <v>694.12</v>
      </c>
      <c r="DO160" s="10">
        <v>677.84</v>
      </c>
      <c r="DP160" s="10">
        <v>710.4</v>
      </c>
      <c r="DQ160" s="1">
        <v>1.7902777777777778E-3</v>
      </c>
      <c r="DR160" s="1">
        <v>0</v>
      </c>
      <c r="DS160" s="53">
        <v>8.3333333333333332E-3</v>
      </c>
      <c r="DT160" s="1">
        <v>0.23408333333333334</v>
      </c>
      <c r="DU160" s="1">
        <v>2.7777777777777778E-4</v>
      </c>
      <c r="DV160" s="53">
        <v>0.5</v>
      </c>
      <c r="DW160" s="1">
        <v>2.1</v>
      </c>
      <c r="DX160" s="1">
        <v>1.9000000000000001</v>
      </c>
      <c r="DY160" s="53">
        <v>2.3000000000000003</v>
      </c>
      <c r="DZ160" s="1">
        <v>4</v>
      </c>
      <c r="EA160" s="1">
        <v>3.6</v>
      </c>
      <c r="EB160" s="53">
        <v>4.4000000000000004</v>
      </c>
      <c r="EC160" s="1">
        <v>6.1</v>
      </c>
      <c r="ED160" s="1">
        <v>6.1</v>
      </c>
      <c r="EE160" s="53">
        <v>6.1</v>
      </c>
      <c r="EF160" s="1">
        <v>4.2</v>
      </c>
      <c r="EG160" s="1">
        <v>3.7</v>
      </c>
      <c r="EH160" s="53">
        <v>4.7</v>
      </c>
      <c r="EJ160" s="1" t="s">
        <v>641</v>
      </c>
      <c r="EL160" s="1">
        <v>350</v>
      </c>
      <c r="EM160" s="1">
        <v>335</v>
      </c>
      <c r="EN160" s="1">
        <v>365</v>
      </c>
      <c r="EO160" s="1">
        <v>100</v>
      </c>
      <c r="EP160" s="1">
        <v>80</v>
      </c>
      <c r="EQ160" s="1">
        <v>120</v>
      </c>
      <c r="ER160" s="1">
        <v>730</v>
      </c>
      <c r="ES160" s="1">
        <v>680</v>
      </c>
      <c r="ET160" s="1">
        <v>780</v>
      </c>
      <c r="EU160" s="1">
        <v>0</v>
      </c>
      <c r="EV160" s="18">
        <v>0</v>
      </c>
      <c r="EW160" s="18">
        <v>0</v>
      </c>
      <c r="EX160" s="18">
        <v>117.02941176470587</v>
      </c>
      <c r="EY160" s="7">
        <v>81.411764705882348</v>
      </c>
      <c r="EZ160" s="7">
        <v>152.64705882352939</v>
      </c>
      <c r="FA160" s="7">
        <v>479.3117647058823</v>
      </c>
      <c r="FB160" s="7">
        <v>363.29999999999995</v>
      </c>
      <c r="FC160" s="7">
        <v>595.32352941176464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2.0352941176470587</v>
      </c>
      <c r="FK160" s="7">
        <v>0</v>
      </c>
      <c r="FL160" s="7">
        <v>4.0705882352941174</v>
      </c>
      <c r="FO160" s="1">
        <v>220</v>
      </c>
      <c r="FP160" s="1">
        <v>220</v>
      </c>
      <c r="FR160" s="12" t="s">
        <v>638</v>
      </c>
      <c r="FS160" s="1" t="s">
        <v>638</v>
      </c>
      <c r="FT160" s="12">
        <v>182</v>
      </c>
      <c r="FU160" s="12"/>
      <c r="FV160" s="12">
        <v>182</v>
      </c>
      <c r="FW160" s="12">
        <v>182</v>
      </c>
      <c r="FX160" s="1">
        <v>182</v>
      </c>
      <c r="FY160" s="12" t="s">
        <v>637</v>
      </c>
      <c r="FZ160" s="12" t="s">
        <v>636</v>
      </c>
      <c r="GA160" s="1">
        <v>202</v>
      </c>
      <c r="GB160" s="1">
        <v>202</v>
      </c>
      <c r="GD160" s="1" t="s">
        <v>640</v>
      </c>
      <c r="GE160" s="1">
        <v>211</v>
      </c>
      <c r="GF160" s="1">
        <v>214</v>
      </c>
      <c r="GG160" s="1">
        <v>220</v>
      </c>
      <c r="GH160" s="1">
        <v>214</v>
      </c>
      <c r="GK160" s="1" t="s">
        <v>639</v>
      </c>
    </row>
    <row r="161" spans="1:193" ht="12.75" customHeight="1" x14ac:dyDescent="0.2">
      <c r="A161" s="1" t="s">
        <v>54</v>
      </c>
      <c r="D161" s="1" t="s">
        <v>573</v>
      </c>
      <c r="E161" s="1" t="s">
        <v>129</v>
      </c>
      <c r="F161" s="1">
        <v>1</v>
      </c>
      <c r="G161" s="1">
        <v>2050</v>
      </c>
      <c r="H161" s="1">
        <v>1</v>
      </c>
      <c r="I161" s="1">
        <v>1</v>
      </c>
      <c r="J161" s="1">
        <v>0</v>
      </c>
      <c r="K161" s="10">
        <v>623.69999999999993</v>
      </c>
      <c r="L161" s="10">
        <v>589.4</v>
      </c>
      <c r="M161" s="10">
        <v>658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8"/>
      <c r="BQ161" s="10">
        <v>28</v>
      </c>
      <c r="BR161" s="10">
        <v>21</v>
      </c>
      <c r="BS161" s="10">
        <v>35</v>
      </c>
      <c r="BT161" s="10">
        <f>Tabelle58971121[[#This Row],[Mindestauslastung durch]]*Tabelle58971121[[#This Row],[installierte Leistung MW durch]]</f>
        <v>0</v>
      </c>
      <c r="BU161" s="10">
        <f>Tabelle58971121[[#This Row],[Mindestauslastung min]]*Tabelle58971121[[#This Row],[installierte Leistung MW min]]</f>
        <v>0</v>
      </c>
      <c r="BV161" s="18">
        <f>Tabelle58971121[[#This Row],[Mindestauslastung max]]*Tabelle58971121[[#This Row],[installierte Leistung MW max]]</f>
        <v>0</v>
      </c>
      <c r="BW161" s="8">
        <v>0</v>
      </c>
      <c r="BX161" s="8">
        <v>0</v>
      </c>
      <c r="BY161" s="8">
        <v>0</v>
      </c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41">
        <v>0.95</v>
      </c>
      <c r="DC161" s="41">
        <v>0.92</v>
      </c>
      <c r="DD161" s="41">
        <v>0.98</v>
      </c>
      <c r="DE161" s="10">
        <f>Tabelle58971121[[#This Row],[Durchschnittsauslastung min]]*Tabelle58971121[[#This Row],[installierte Leistung MW min]]</f>
        <v>609.13999999999987</v>
      </c>
      <c r="DF161" s="10">
        <f>Tabelle58971121[[#This Row],[Durchschnittsauslastung durch]]*Tabelle58971121[[#This Row],[installierte Leistung MW durch]]</f>
        <v>604.07199999999989</v>
      </c>
      <c r="DG161" s="48">
        <f>Tabelle58971121[[#This Row],[Durchschnittsauslastung max]]*Tabelle58971121[[#This Row],[installierte Leistung MW max]]</f>
        <v>658.56</v>
      </c>
      <c r="DH161" s="87">
        <f>Tabelle58971121[[#This Row],[Maximalauslastung durch]]*Tabelle58971121[[#This Row],[installierte Leistung MW min]]</f>
        <v>634.7879999999999</v>
      </c>
      <c r="DI161" s="48">
        <f>Tabelle58971121[[#This Row],[Maximalauslastung durch]]*Tabelle58971121[[#This Row],[installierte Leistung MW durch]]</f>
        <v>650.03399999999988</v>
      </c>
      <c r="DJ161" s="10">
        <f>Tabelle58971121[[#This Row],[Maximalauslastung max]]*Tabelle58971121[[#This Row],[installierte Leistung MW durch]]</f>
        <v>654.63019999999995</v>
      </c>
      <c r="DK161" s="8">
        <v>0.99</v>
      </c>
      <c r="DL161" s="8">
        <v>0.98299999999999998</v>
      </c>
      <c r="DM161" s="8">
        <v>0.997</v>
      </c>
      <c r="DN161" s="10">
        <v>656.59999999999991</v>
      </c>
      <c r="DO161" s="10">
        <v>641.19999999999993</v>
      </c>
      <c r="DP161" s="10">
        <v>672</v>
      </c>
      <c r="DQ161" s="1">
        <v>1.7902777777777778E-3</v>
      </c>
      <c r="DR161" s="1">
        <v>0</v>
      </c>
      <c r="DS161" s="53">
        <v>8.3333333333333332E-3</v>
      </c>
      <c r="DT161" s="1">
        <v>0.23408333333333334</v>
      </c>
      <c r="DU161" s="1">
        <v>2.7777777777777778E-4</v>
      </c>
      <c r="DV161" s="53">
        <v>0.5</v>
      </c>
      <c r="DW161" s="1">
        <v>2.1</v>
      </c>
      <c r="DX161" s="1">
        <v>1.9000000000000001</v>
      </c>
      <c r="DY161" s="53">
        <v>2.3000000000000003</v>
      </c>
      <c r="DZ161" s="1">
        <v>4</v>
      </c>
      <c r="EA161" s="1">
        <v>3.6</v>
      </c>
      <c r="EB161" s="53">
        <v>4.4000000000000004</v>
      </c>
      <c r="EC161" s="1">
        <v>6.1</v>
      </c>
      <c r="ED161" s="1">
        <v>6.1</v>
      </c>
      <c r="EE161" s="53">
        <v>6.1</v>
      </c>
      <c r="EF161" s="1">
        <v>4.2</v>
      </c>
      <c r="EG161" s="1">
        <v>3.7</v>
      </c>
      <c r="EH161" s="53">
        <v>4.7</v>
      </c>
      <c r="EJ161" s="1" t="s">
        <v>641</v>
      </c>
      <c r="EL161" s="1">
        <v>350</v>
      </c>
      <c r="EM161" s="1">
        <v>335</v>
      </c>
      <c r="EN161" s="1">
        <v>365</v>
      </c>
      <c r="EO161" s="1">
        <v>100</v>
      </c>
      <c r="EP161" s="1">
        <v>80</v>
      </c>
      <c r="EQ161" s="1">
        <v>120</v>
      </c>
      <c r="ER161" s="1">
        <v>730</v>
      </c>
      <c r="ES161" s="1">
        <v>680</v>
      </c>
      <c r="ET161" s="1">
        <v>780</v>
      </c>
      <c r="EU161" s="1">
        <v>0</v>
      </c>
      <c r="EV161" s="18">
        <v>0</v>
      </c>
      <c r="EW161" s="18">
        <v>0</v>
      </c>
      <c r="EX161" s="18">
        <v>117.02941176470587</v>
      </c>
      <c r="EY161" s="7">
        <v>81.411764705882348</v>
      </c>
      <c r="EZ161" s="7">
        <v>152.64705882352939</v>
      </c>
      <c r="FA161" s="7">
        <v>479.3117647058823</v>
      </c>
      <c r="FB161" s="7">
        <v>363.29999999999995</v>
      </c>
      <c r="FC161" s="7">
        <v>595.32352941176464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2.0352941176470587</v>
      </c>
      <c r="FK161" s="7">
        <v>0</v>
      </c>
      <c r="FL161" s="7">
        <v>4.0705882352941174</v>
      </c>
      <c r="FO161" s="1">
        <v>220</v>
      </c>
      <c r="FP161" s="1">
        <v>220</v>
      </c>
      <c r="FR161" s="12" t="s">
        <v>638</v>
      </c>
      <c r="FS161" s="1" t="s">
        <v>638</v>
      </c>
      <c r="FT161" s="12">
        <v>182</v>
      </c>
      <c r="FU161" s="12"/>
      <c r="FV161" s="12">
        <v>182</v>
      </c>
      <c r="FW161" s="12">
        <v>182</v>
      </c>
      <c r="FX161" s="1">
        <v>182</v>
      </c>
      <c r="FY161" s="12" t="s">
        <v>637</v>
      </c>
      <c r="FZ161" s="12" t="s">
        <v>636</v>
      </c>
      <c r="GA161" s="1">
        <v>202</v>
      </c>
      <c r="GB161" s="1">
        <v>202</v>
      </c>
      <c r="GD161" s="1" t="s">
        <v>640</v>
      </c>
      <c r="GE161" s="1">
        <v>211</v>
      </c>
      <c r="GF161" s="1">
        <v>214</v>
      </c>
      <c r="GG161" s="1">
        <v>220</v>
      </c>
      <c r="GH161" s="1">
        <v>214</v>
      </c>
      <c r="GK161" s="1" t="s">
        <v>639</v>
      </c>
    </row>
    <row r="162" spans="1:193" ht="12.75" customHeight="1" x14ac:dyDescent="0.2">
      <c r="A162" s="1" t="s">
        <v>373</v>
      </c>
      <c r="D162" s="1" t="s">
        <v>579</v>
      </c>
      <c r="E162" s="1" t="s">
        <v>129</v>
      </c>
      <c r="F162" s="1">
        <v>1</v>
      </c>
      <c r="G162" s="1">
        <v>2015</v>
      </c>
      <c r="H162" s="1">
        <v>1</v>
      </c>
      <c r="I162" s="1">
        <v>1</v>
      </c>
      <c r="J162" s="1">
        <v>0</v>
      </c>
      <c r="K162" s="10">
        <v>63</v>
      </c>
      <c r="L162" s="10">
        <v>39</v>
      </c>
      <c r="M162" s="10">
        <v>87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8"/>
      <c r="BQ162" s="10">
        <v>12</v>
      </c>
      <c r="BR162" s="10">
        <v>3</v>
      </c>
      <c r="BS162" s="10">
        <v>21</v>
      </c>
      <c r="BT162" s="10">
        <f>Tabelle58971121[[#This Row],[Mindestauslastung durch]]*Tabelle58971121[[#This Row],[installierte Leistung MW durch]]</f>
        <v>0</v>
      </c>
      <c r="BU162" s="10">
        <f>Tabelle58971121[[#This Row],[Mindestauslastung min]]*Tabelle58971121[[#This Row],[installierte Leistung MW min]]</f>
        <v>0</v>
      </c>
      <c r="BV162" s="18">
        <f>Tabelle58971121[[#This Row],[Mindestauslastung max]]*Tabelle58971121[[#This Row],[installierte Leistung MW max]]</f>
        <v>0</v>
      </c>
      <c r="BW162" s="8">
        <v>0</v>
      </c>
      <c r="BX162" s="8">
        <v>0</v>
      </c>
      <c r="BY162" s="8">
        <v>0</v>
      </c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41">
        <v>0.8</v>
      </c>
      <c r="DC162" s="41">
        <v>0.72</v>
      </c>
      <c r="DD162" s="41">
        <v>0.88</v>
      </c>
      <c r="DE162" s="10">
        <f>Tabelle58971121[[#This Row],[Durchschnittsauslastung min]]*Tabelle58971121[[#This Row],[installierte Leistung MW min]]</f>
        <v>44.800000000000004</v>
      </c>
      <c r="DF162" s="10">
        <f>Tabelle58971121[[#This Row],[Durchschnittsauslastung durch]]*Tabelle58971121[[#This Row],[installierte Leistung MW durch]]</f>
        <v>56.16</v>
      </c>
      <c r="DG162" s="48">
        <f>Tabelle58971121[[#This Row],[Durchschnittsauslastung max]]*Tabelle58971121[[#This Row],[installierte Leistung MW max]]</f>
        <v>88</v>
      </c>
      <c r="DH162" s="87">
        <f>Tabelle58971121[[#This Row],[Maximalauslastung durch]]*Tabelle58971121[[#This Row],[installierte Leistung MW min]]</f>
        <v>53.199999999999996</v>
      </c>
      <c r="DI162" s="48">
        <f>Tabelle58971121[[#This Row],[Maximalauslastung durch]]*Tabelle58971121[[#This Row],[installierte Leistung MW durch]]</f>
        <v>74.099999999999994</v>
      </c>
      <c r="DJ162" s="10">
        <f>Tabelle58971121[[#This Row],[Maximalauslastung max]]*Tabelle58971121[[#This Row],[installierte Leistung MW durch]]</f>
        <v>74.88</v>
      </c>
      <c r="DK162" s="8">
        <v>0.95</v>
      </c>
      <c r="DL162" s="8">
        <v>0.94</v>
      </c>
      <c r="DM162" s="8">
        <v>0.96</v>
      </c>
      <c r="DN162" s="10">
        <v>78</v>
      </c>
      <c r="DO162" s="10">
        <v>56</v>
      </c>
      <c r="DP162" s="10">
        <v>100</v>
      </c>
      <c r="DQ162" s="1">
        <v>0.16666666666666663</v>
      </c>
      <c r="DR162" s="1">
        <v>8.3333333333333329E-2</v>
      </c>
      <c r="DS162" s="53">
        <v>0.25</v>
      </c>
      <c r="DT162" s="1">
        <v>0.16666666666666663</v>
      </c>
      <c r="DU162" s="1">
        <v>8.3333333333333329E-2</v>
      </c>
      <c r="DV162" s="53">
        <v>0.25</v>
      </c>
      <c r="DW162" s="1">
        <v>2</v>
      </c>
      <c r="DX162" s="1">
        <v>1.6</v>
      </c>
      <c r="DY162" s="53">
        <v>2.4</v>
      </c>
      <c r="DZ162" s="1">
        <v>4</v>
      </c>
      <c r="EA162" s="1">
        <v>3.2</v>
      </c>
      <c r="EB162" s="53">
        <v>4.8</v>
      </c>
      <c r="EC162" s="1">
        <v>6</v>
      </c>
      <c r="ED162" s="1">
        <v>6</v>
      </c>
      <c r="EE162" s="53">
        <v>6</v>
      </c>
      <c r="EF162" s="1">
        <v>4.8</v>
      </c>
      <c r="EG162" s="1">
        <v>3.4</v>
      </c>
      <c r="EH162" s="53">
        <v>6.1999999999999993</v>
      </c>
      <c r="EJ162" s="1" t="s">
        <v>641</v>
      </c>
      <c r="EL162" s="1">
        <v>50</v>
      </c>
      <c r="EM162" s="1">
        <v>20</v>
      </c>
      <c r="EN162" s="1">
        <v>80</v>
      </c>
      <c r="EO162" s="1">
        <v>0</v>
      </c>
      <c r="EP162" s="1">
        <v>0</v>
      </c>
      <c r="EQ162" s="1">
        <v>0</v>
      </c>
      <c r="ER162" s="1">
        <v>50</v>
      </c>
      <c r="ES162" s="1">
        <v>20</v>
      </c>
      <c r="ET162" s="1">
        <v>80</v>
      </c>
      <c r="EU162" s="1">
        <v>8.1411764705882348</v>
      </c>
      <c r="EV162" s="18">
        <v>3.052941176470588</v>
      </c>
      <c r="EW162" s="18">
        <v>13.229411764705882</v>
      </c>
      <c r="EX162" s="18">
        <v>484.4</v>
      </c>
      <c r="EY162" s="7">
        <v>269.6764705882353</v>
      </c>
      <c r="EZ162" s="7">
        <v>699.12352941176471</v>
      </c>
      <c r="FA162" s="7">
        <v>1136.7117647058824</v>
      </c>
      <c r="FB162" s="7">
        <v>1041.0529411764705</v>
      </c>
      <c r="FC162" s="7">
        <v>1232.370588235294</v>
      </c>
      <c r="FD162" s="7">
        <v>30.52941176470588</v>
      </c>
      <c r="FE162" s="7">
        <v>0</v>
      </c>
      <c r="FF162" s="7">
        <v>61.058823529411761</v>
      </c>
      <c r="FG162" s="7">
        <v>101.76470588235293</v>
      </c>
      <c r="FH162" s="7">
        <v>50.882352941176464</v>
      </c>
      <c r="FI162" s="7">
        <v>152.64705882352939</v>
      </c>
      <c r="FJ162" s="7">
        <v>20.352941176470587</v>
      </c>
      <c r="FK162" s="7">
        <v>10.176470588235293</v>
      </c>
      <c r="FL162" s="7">
        <v>30.52941176470588</v>
      </c>
      <c r="FO162" s="1">
        <v>220</v>
      </c>
      <c r="FP162" s="1">
        <v>220</v>
      </c>
      <c r="FR162" s="12" t="s">
        <v>638</v>
      </c>
      <c r="FS162" s="1" t="s">
        <v>638</v>
      </c>
      <c r="FT162" s="12">
        <v>182</v>
      </c>
      <c r="FU162" s="12"/>
      <c r="FV162" s="12">
        <v>182</v>
      </c>
      <c r="FW162" s="12">
        <v>182</v>
      </c>
      <c r="FX162" s="1">
        <v>182</v>
      </c>
      <c r="FY162" s="12" t="s">
        <v>637</v>
      </c>
      <c r="FZ162" s="12" t="s">
        <v>636</v>
      </c>
      <c r="GA162" s="1">
        <v>202</v>
      </c>
      <c r="GB162" s="1">
        <v>202</v>
      </c>
      <c r="GD162" s="1" t="s">
        <v>640</v>
      </c>
      <c r="GE162" s="1">
        <v>211</v>
      </c>
      <c r="GF162" s="1">
        <v>214</v>
      </c>
      <c r="GG162" s="1">
        <v>220</v>
      </c>
      <c r="GH162" s="1">
        <v>214</v>
      </c>
      <c r="GK162" s="1" t="s">
        <v>639</v>
      </c>
    </row>
    <row r="163" spans="1:193" ht="12.75" customHeight="1" x14ac:dyDescent="0.2">
      <c r="A163" s="1" t="s">
        <v>373</v>
      </c>
      <c r="D163" s="1" t="s">
        <v>579</v>
      </c>
      <c r="E163" s="1" t="s">
        <v>129</v>
      </c>
      <c r="F163" s="1">
        <v>1</v>
      </c>
      <c r="G163" s="1">
        <v>2020</v>
      </c>
      <c r="H163" s="1">
        <v>1</v>
      </c>
      <c r="I163" s="1">
        <v>1</v>
      </c>
      <c r="J163" s="1">
        <v>0</v>
      </c>
      <c r="K163" s="10">
        <v>59.22</v>
      </c>
      <c r="L163" s="10">
        <v>36.660000000000004</v>
      </c>
      <c r="M163" s="10">
        <v>81.78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8"/>
      <c r="BQ163" s="10">
        <v>11.28</v>
      </c>
      <c r="BR163" s="10">
        <v>2.8200000000000003</v>
      </c>
      <c r="BS163" s="10">
        <v>19.739999999999998</v>
      </c>
      <c r="BT163" s="10">
        <f>Tabelle58971121[[#This Row],[Mindestauslastung durch]]*Tabelle58971121[[#This Row],[installierte Leistung MW durch]]</f>
        <v>0</v>
      </c>
      <c r="BU163" s="10">
        <f>Tabelle58971121[[#This Row],[Mindestauslastung min]]*Tabelle58971121[[#This Row],[installierte Leistung MW min]]</f>
        <v>0</v>
      </c>
      <c r="BV163" s="18">
        <f>Tabelle58971121[[#This Row],[Mindestauslastung max]]*Tabelle58971121[[#This Row],[installierte Leistung MW max]]</f>
        <v>0</v>
      </c>
      <c r="BW163" s="8">
        <v>0</v>
      </c>
      <c r="BX163" s="8">
        <v>0</v>
      </c>
      <c r="BY163" s="8">
        <v>0</v>
      </c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41">
        <v>0.8</v>
      </c>
      <c r="DC163" s="41">
        <v>0.72</v>
      </c>
      <c r="DD163" s="41">
        <v>0.88</v>
      </c>
      <c r="DE163" s="10">
        <f>Tabelle58971121[[#This Row],[Durchschnittsauslastung min]]*Tabelle58971121[[#This Row],[installierte Leistung MW min]]</f>
        <v>42.112000000000002</v>
      </c>
      <c r="DF163" s="10">
        <f>Tabelle58971121[[#This Row],[Durchschnittsauslastung durch]]*Tabelle58971121[[#This Row],[installierte Leistung MW durch]]</f>
        <v>52.790399999999991</v>
      </c>
      <c r="DG163" s="48">
        <f>Tabelle58971121[[#This Row],[Durchschnittsauslastung max]]*Tabelle58971121[[#This Row],[installierte Leistung MW max]]</f>
        <v>82.72</v>
      </c>
      <c r="DH163" s="87">
        <f>Tabelle58971121[[#This Row],[Maximalauslastung durch]]*Tabelle58971121[[#This Row],[installierte Leistung MW min]]</f>
        <v>50.007999999999996</v>
      </c>
      <c r="DI163" s="48">
        <f>Tabelle58971121[[#This Row],[Maximalauslastung durch]]*Tabelle58971121[[#This Row],[installierte Leistung MW durch]]</f>
        <v>69.653999999999996</v>
      </c>
      <c r="DJ163" s="10">
        <f>Tabelle58971121[[#This Row],[Maximalauslastung max]]*Tabelle58971121[[#This Row],[installierte Leistung MW durch]]</f>
        <v>70.387199999999993</v>
      </c>
      <c r="DK163" s="8">
        <v>0.95</v>
      </c>
      <c r="DL163" s="8">
        <v>0.94</v>
      </c>
      <c r="DM163" s="8">
        <v>0.96</v>
      </c>
      <c r="DN163" s="10">
        <v>73.319999999999993</v>
      </c>
      <c r="DO163" s="10">
        <v>52.64</v>
      </c>
      <c r="DP163" s="10">
        <v>94</v>
      </c>
      <c r="DQ163" s="1">
        <v>0.16666666666666663</v>
      </c>
      <c r="DR163" s="1">
        <v>8.3333333333333329E-2</v>
      </c>
      <c r="DS163" s="53">
        <v>0.25</v>
      </c>
      <c r="DT163" s="1">
        <v>0.16666666666666663</v>
      </c>
      <c r="DU163" s="1">
        <v>8.3333333333333329E-2</v>
      </c>
      <c r="DV163" s="53">
        <v>0.25</v>
      </c>
      <c r="DW163" s="1">
        <v>2</v>
      </c>
      <c r="DX163" s="1">
        <v>1.6</v>
      </c>
      <c r="DY163" s="53">
        <v>2.4</v>
      </c>
      <c r="DZ163" s="1">
        <v>4</v>
      </c>
      <c r="EA163" s="1">
        <v>3.2</v>
      </c>
      <c r="EB163" s="53">
        <v>4.8</v>
      </c>
      <c r="EC163" s="1">
        <v>6</v>
      </c>
      <c r="ED163" s="1">
        <v>6</v>
      </c>
      <c r="EE163" s="53">
        <v>6</v>
      </c>
      <c r="EF163" s="1">
        <v>4.8</v>
      </c>
      <c r="EG163" s="1">
        <v>3.4</v>
      </c>
      <c r="EH163" s="53">
        <v>6.1999999999999993</v>
      </c>
      <c r="EJ163" s="1" t="s">
        <v>641</v>
      </c>
      <c r="EL163" s="1">
        <v>50</v>
      </c>
      <c r="EM163" s="1">
        <v>20</v>
      </c>
      <c r="EN163" s="1">
        <v>80</v>
      </c>
      <c r="EO163" s="1">
        <v>0</v>
      </c>
      <c r="EP163" s="1">
        <v>0</v>
      </c>
      <c r="EQ163" s="1">
        <v>0</v>
      </c>
      <c r="ER163" s="1">
        <v>50</v>
      </c>
      <c r="ES163" s="1">
        <v>20</v>
      </c>
      <c r="ET163" s="1">
        <v>80</v>
      </c>
      <c r="EU163" s="1">
        <v>8.1411764705882348</v>
      </c>
      <c r="EV163" s="18">
        <v>3.052941176470588</v>
      </c>
      <c r="EW163" s="18">
        <v>13.229411764705882</v>
      </c>
      <c r="EX163" s="18">
        <v>484.4</v>
      </c>
      <c r="EY163" s="7">
        <v>269.6764705882353</v>
      </c>
      <c r="EZ163" s="7">
        <v>699.12352941176471</v>
      </c>
      <c r="FA163" s="7">
        <v>1136.7117647058824</v>
      </c>
      <c r="FB163" s="7">
        <v>1041.0529411764705</v>
      </c>
      <c r="FC163" s="7">
        <v>1232.370588235294</v>
      </c>
      <c r="FD163" s="7">
        <v>30.52941176470588</v>
      </c>
      <c r="FE163" s="7">
        <v>0</v>
      </c>
      <c r="FF163" s="7">
        <v>61.058823529411761</v>
      </c>
      <c r="FG163" s="7">
        <v>101.76470588235293</v>
      </c>
      <c r="FH163" s="7">
        <v>50.882352941176464</v>
      </c>
      <c r="FI163" s="7">
        <v>152.64705882352939</v>
      </c>
      <c r="FJ163" s="7">
        <v>20.352941176470587</v>
      </c>
      <c r="FK163" s="7">
        <v>10.176470588235293</v>
      </c>
      <c r="FL163" s="7">
        <v>30.52941176470588</v>
      </c>
      <c r="FO163" s="1">
        <v>220</v>
      </c>
      <c r="FP163" s="1">
        <v>220</v>
      </c>
      <c r="FR163" s="12" t="s">
        <v>638</v>
      </c>
      <c r="FS163" s="1" t="s">
        <v>638</v>
      </c>
      <c r="FT163" s="12">
        <v>182</v>
      </c>
      <c r="FU163" s="12"/>
      <c r="FV163" s="12">
        <v>182</v>
      </c>
      <c r="FW163" s="12">
        <v>182</v>
      </c>
      <c r="FX163" s="1">
        <v>182</v>
      </c>
      <c r="FY163" s="12" t="s">
        <v>637</v>
      </c>
      <c r="FZ163" s="12" t="s">
        <v>636</v>
      </c>
      <c r="GA163" s="1">
        <v>202</v>
      </c>
      <c r="GB163" s="1">
        <v>202</v>
      </c>
      <c r="GD163" s="1" t="s">
        <v>640</v>
      </c>
      <c r="GE163" s="1">
        <v>211</v>
      </c>
      <c r="GF163" s="1">
        <v>214</v>
      </c>
      <c r="GG163" s="1">
        <v>220</v>
      </c>
      <c r="GH163" s="1">
        <v>214</v>
      </c>
      <c r="GK163" s="1" t="s">
        <v>639</v>
      </c>
    </row>
    <row r="164" spans="1:193" ht="12.75" customHeight="1" x14ac:dyDescent="0.2">
      <c r="A164" s="1" t="s">
        <v>373</v>
      </c>
      <c r="D164" s="1" t="s">
        <v>579</v>
      </c>
      <c r="E164" s="1" t="s">
        <v>129</v>
      </c>
      <c r="F164" s="1">
        <v>1</v>
      </c>
      <c r="G164" s="1">
        <v>2025</v>
      </c>
      <c r="H164" s="1">
        <v>1</v>
      </c>
      <c r="I164" s="1">
        <v>1</v>
      </c>
      <c r="J164" s="1">
        <v>0</v>
      </c>
      <c r="K164" s="10">
        <v>55.44</v>
      </c>
      <c r="L164" s="10">
        <v>34.32</v>
      </c>
      <c r="M164" s="10">
        <v>76.56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8"/>
      <c r="BQ164" s="10">
        <v>10.56</v>
      </c>
      <c r="BR164" s="10">
        <v>2.64</v>
      </c>
      <c r="BS164" s="10">
        <v>18.48</v>
      </c>
      <c r="BT164" s="10">
        <f>Tabelle58971121[[#This Row],[Mindestauslastung durch]]*Tabelle58971121[[#This Row],[installierte Leistung MW durch]]</f>
        <v>0</v>
      </c>
      <c r="BU164" s="10">
        <f>Tabelle58971121[[#This Row],[Mindestauslastung min]]*Tabelle58971121[[#This Row],[installierte Leistung MW min]]</f>
        <v>0</v>
      </c>
      <c r="BV164" s="18">
        <f>Tabelle58971121[[#This Row],[Mindestauslastung max]]*Tabelle58971121[[#This Row],[installierte Leistung MW max]]</f>
        <v>0</v>
      </c>
      <c r="BW164" s="8">
        <v>0</v>
      </c>
      <c r="BX164" s="8">
        <v>0</v>
      </c>
      <c r="BY164" s="8">
        <v>0</v>
      </c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41">
        <v>0.8</v>
      </c>
      <c r="DC164" s="41">
        <v>0.72</v>
      </c>
      <c r="DD164" s="41">
        <v>0.88</v>
      </c>
      <c r="DE164" s="10">
        <f>Tabelle58971121[[#This Row],[Durchschnittsauslastung min]]*Tabelle58971121[[#This Row],[installierte Leistung MW min]]</f>
        <v>39.424000000000007</v>
      </c>
      <c r="DF164" s="10">
        <f>Tabelle58971121[[#This Row],[Durchschnittsauslastung durch]]*Tabelle58971121[[#This Row],[installierte Leistung MW durch]]</f>
        <v>49.4208</v>
      </c>
      <c r="DG164" s="48">
        <f>Tabelle58971121[[#This Row],[Durchschnittsauslastung max]]*Tabelle58971121[[#This Row],[installierte Leistung MW max]]</f>
        <v>77.44</v>
      </c>
      <c r="DH164" s="87">
        <f>Tabelle58971121[[#This Row],[Maximalauslastung durch]]*Tabelle58971121[[#This Row],[installierte Leistung MW min]]</f>
        <v>46.815999999999995</v>
      </c>
      <c r="DI164" s="48">
        <f>Tabelle58971121[[#This Row],[Maximalauslastung durch]]*Tabelle58971121[[#This Row],[installierte Leistung MW durch]]</f>
        <v>65.207999999999998</v>
      </c>
      <c r="DJ164" s="10">
        <f>Tabelle58971121[[#This Row],[Maximalauslastung max]]*Tabelle58971121[[#This Row],[installierte Leistung MW durch]]</f>
        <v>65.894400000000005</v>
      </c>
      <c r="DK164" s="8">
        <v>0.95</v>
      </c>
      <c r="DL164" s="8">
        <v>0.94</v>
      </c>
      <c r="DM164" s="8">
        <v>0.96</v>
      </c>
      <c r="DN164" s="10">
        <v>68.64</v>
      </c>
      <c r="DO164" s="10">
        <v>49.28</v>
      </c>
      <c r="DP164" s="10">
        <v>88</v>
      </c>
      <c r="DQ164" s="1">
        <v>0.16666666666666663</v>
      </c>
      <c r="DR164" s="1">
        <v>8.3333333333333329E-2</v>
      </c>
      <c r="DS164" s="53">
        <v>0.25</v>
      </c>
      <c r="DT164" s="1">
        <v>0.16666666666666663</v>
      </c>
      <c r="DU164" s="1">
        <v>8.3333333333333329E-2</v>
      </c>
      <c r="DV164" s="53">
        <v>0.25</v>
      </c>
      <c r="DW164" s="1">
        <v>2</v>
      </c>
      <c r="DX164" s="1">
        <v>1.6</v>
      </c>
      <c r="DY164" s="53">
        <v>2.4</v>
      </c>
      <c r="DZ164" s="1">
        <v>4</v>
      </c>
      <c r="EA164" s="1">
        <v>3.2</v>
      </c>
      <c r="EB164" s="53">
        <v>4.8</v>
      </c>
      <c r="EC164" s="1">
        <v>6</v>
      </c>
      <c r="ED164" s="1">
        <v>6</v>
      </c>
      <c r="EE164" s="53">
        <v>6</v>
      </c>
      <c r="EF164" s="1">
        <v>4.8</v>
      </c>
      <c r="EG164" s="1">
        <v>3.4</v>
      </c>
      <c r="EH164" s="53">
        <v>6.1999999999999993</v>
      </c>
      <c r="EJ164" s="1" t="s">
        <v>641</v>
      </c>
      <c r="EL164" s="1">
        <v>50</v>
      </c>
      <c r="EM164" s="1">
        <v>20</v>
      </c>
      <c r="EN164" s="1">
        <v>80</v>
      </c>
      <c r="EO164" s="1">
        <v>0</v>
      </c>
      <c r="EP164" s="1">
        <v>0</v>
      </c>
      <c r="EQ164" s="1">
        <v>0</v>
      </c>
      <c r="ER164" s="1">
        <v>50</v>
      </c>
      <c r="ES164" s="1">
        <v>20</v>
      </c>
      <c r="ET164" s="1">
        <v>80</v>
      </c>
      <c r="EU164" s="1">
        <v>8.1411764705882348</v>
      </c>
      <c r="EV164" s="18">
        <v>3.052941176470588</v>
      </c>
      <c r="EW164" s="18">
        <v>13.229411764705882</v>
      </c>
      <c r="EX164" s="18">
        <v>484.4</v>
      </c>
      <c r="EY164" s="7">
        <v>269.6764705882353</v>
      </c>
      <c r="EZ164" s="7">
        <v>699.12352941176471</v>
      </c>
      <c r="FA164" s="7">
        <v>1136.7117647058824</v>
      </c>
      <c r="FB164" s="7">
        <v>1041.0529411764705</v>
      </c>
      <c r="FC164" s="7">
        <v>1232.370588235294</v>
      </c>
      <c r="FD164" s="7">
        <v>30.52941176470588</v>
      </c>
      <c r="FE164" s="7">
        <v>0</v>
      </c>
      <c r="FF164" s="7">
        <v>61.058823529411761</v>
      </c>
      <c r="FG164" s="7">
        <v>101.76470588235293</v>
      </c>
      <c r="FH164" s="7">
        <v>50.882352941176464</v>
      </c>
      <c r="FI164" s="7">
        <v>152.64705882352939</v>
      </c>
      <c r="FJ164" s="7">
        <v>20.352941176470587</v>
      </c>
      <c r="FK164" s="7">
        <v>10.176470588235293</v>
      </c>
      <c r="FL164" s="7">
        <v>30.52941176470588</v>
      </c>
      <c r="FO164" s="1">
        <v>220</v>
      </c>
      <c r="FP164" s="1">
        <v>220</v>
      </c>
      <c r="FR164" s="12" t="s">
        <v>638</v>
      </c>
      <c r="FS164" s="1" t="s">
        <v>638</v>
      </c>
      <c r="FT164" s="12">
        <v>182</v>
      </c>
      <c r="FU164" s="12"/>
      <c r="FV164" s="12">
        <v>182</v>
      </c>
      <c r="FW164" s="12">
        <v>182</v>
      </c>
      <c r="FX164" s="1">
        <v>182</v>
      </c>
      <c r="FY164" s="12" t="s">
        <v>637</v>
      </c>
      <c r="FZ164" s="12" t="s">
        <v>636</v>
      </c>
      <c r="GA164" s="1">
        <v>202</v>
      </c>
      <c r="GB164" s="1">
        <v>202</v>
      </c>
      <c r="GD164" s="1" t="s">
        <v>640</v>
      </c>
      <c r="GE164" s="1">
        <v>211</v>
      </c>
      <c r="GF164" s="1">
        <v>214</v>
      </c>
      <c r="GG164" s="1">
        <v>220</v>
      </c>
      <c r="GH164" s="1">
        <v>214</v>
      </c>
      <c r="GK164" s="1" t="s">
        <v>639</v>
      </c>
    </row>
    <row r="165" spans="1:193" ht="12.75" customHeight="1" x14ac:dyDescent="0.2">
      <c r="A165" s="1" t="s">
        <v>373</v>
      </c>
      <c r="D165" s="1" t="s">
        <v>579</v>
      </c>
      <c r="E165" s="1" t="s">
        <v>129</v>
      </c>
      <c r="F165" s="1">
        <v>1</v>
      </c>
      <c r="G165" s="1">
        <v>2030</v>
      </c>
      <c r="H165" s="1">
        <v>1</v>
      </c>
      <c r="I165" s="1">
        <v>1</v>
      </c>
      <c r="J165" s="1">
        <v>0</v>
      </c>
      <c r="K165" s="10">
        <v>51.66</v>
      </c>
      <c r="L165" s="10">
        <v>31.979999999999997</v>
      </c>
      <c r="M165" s="10">
        <v>71.339999999999989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8"/>
      <c r="BQ165" s="10">
        <v>9.84</v>
      </c>
      <c r="BR165" s="10">
        <v>2.46</v>
      </c>
      <c r="BS165" s="10">
        <v>17.22</v>
      </c>
      <c r="BT165" s="10">
        <f>Tabelle58971121[[#This Row],[Mindestauslastung durch]]*Tabelle58971121[[#This Row],[installierte Leistung MW durch]]</f>
        <v>0</v>
      </c>
      <c r="BU165" s="10">
        <f>Tabelle58971121[[#This Row],[Mindestauslastung min]]*Tabelle58971121[[#This Row],[installierte Leistung MW min]]</f>
        <v>0</v>
      </c>
      <c r="BV165" s="18">
        <f>Tabelle58971121[[#This Row],[Mindestauslastung max]]*Tabelle58971121[[#This Row],[installierte Leistung MW max]]</f>
        <v>0</v>
      </c>
      <c r="BW165" s="8">
        <v>0</v>
      </c>
      <c r="BX165" s="8">
        <v>0</v>
      </c>
      <c r="BY165" s="8">
        <v>0</v>
      </c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41">
        <v>0.8</v>
      </c>
      <c r="DC165" s="41">
        <v>0.72</v>
      </c>
      <c r="DD165" s="41">
        <v>0.88</v>
      </c>
      <c r="DE165" s="10">
        <f>Tabelle58971121[[#This Row],[Durchschnittsauslastung min]]*Tabelle58971121[[#This Row],[installierte Leistung MW min]]</f>
        <v>36.735999999999997</v>
      </c>
      <c r="DF165" s="10">
        <f>Tabelle58971121[[#This Row],[Durchschnittsauslastung durch]]*Tabelle58971121[[#This Row],[installierte Leistung MW durch]]</f>
        <v>46.051199999999994</v>
      </c>
      <c r="DG165" s="48">
        <f>Tabelle58971121[[#This Row],[Durchschnittsauslastung max]]*Tabelle58971121[[#This Row],[installierte Leistung MW max]]</f>
        <v>72.16</v>
      </c>
      <c r="DH165" s="87">
        <f>Tabelle58971121[[#This Row],[Maximalauslastung durch]]*Tabelle58971121[[#This Row],[installierte Leistung MW min]]</f>
        <v>43.623999999999995</v>
      </c>
      <c r="DI165" s="48">
        <f>Tabelle58971121[[#This Row],[Maximalauslastung durch]]*Tabelle58971121[[#This Row],[installierte Leistung MW durch]]</f>
        <v>60.761999999999993</v>
      </c>
      <c r="DJ165" s="10">
        <f>Tabelle58971121[[#This Row],[Maximalauslastung max]]*Tabelle58971121[[#This Row],[installierte Leistung MW durch]]</f>
        <v>61.401599999999995</v>
      </c>
      <c r="DK165" s="8">
        <v>0.95</v>
      </c>
      <c r="DL165" s="8">
        <v>0.94</v>
      </c>
      <c r="DM165" s="8">
        <v>0.96</v>
      </c>
      <c r="DN165" s="10">
        <v>63.959999999999994</v>
      </c>
      <c r="DO165" s="10">
        <v>45.919999999999995</v>
      </c>
      <c r="DP165" s="10">
        <v>82</v>
      </c>
      <c r="DQ165" s="1">
        <v>0.16666666666666663</v>
      </c>
      <c r="DR165" s="1">
        <v>8.3333333333333329E-2</v>
      </c>
      <c r="DS165" s="53">
        <v>0.25</v>
      </c>
      <c r="DT165" s="1">
        <v>0.16666666666666663</v>
      </c>
      <c r="DU165" s="1">
        <v>8.3333333333333329E-2</v>
      </c>
      <c r="DV165" s="53">
        <v>0.25</v>
      </c>
      <c r="DW165" s="1">
        <v>2</v>
      </c>
      <c r="DX165" s="1">
        <v>1.6</v>
      </c>
      <c r="DY165" s="53">
        <v>2.4</v>
      </c>
      <c r="DZ165" s="1">
        <v>4</v>
      </c>
      <c r="EA165" s="1">
        <v>3.2</v>
      </c>
      <c r="EB165" s="53">
        <v>4.8</v>
      </c>
      <c r="EC165" s="1">
        <v>6</v>
      </c>
      <c r="ED165" s="1">
        <v>6</v>
      </c>
      <c r="EE165" s="53">
        <v>6</v>
      </c>
      <c r="EF165" s="1">
        <v>4.8</v>
      </c>
      <c r="EG165" s="1">
        <v>3.4</v>
      </c>
      <c r="EH165" s="53">
        <v>6.1999999999999993</v>
      </c>
      <c r="EJ165" s="1" t="s">
        <v>641</v>
      </c>
      <c r="EL165" s="1">
        <v>50</v>
      </c>
      <c r="EM165" s="1">
        <v>20</v>
      </c>
      <c r="EN165" s="1">
        <v>80</v>
      </c>
      <c r="EO165" s="1">
        <v>0</v>
      </c>
      <c r="EP165" s="1">
        <v>0</v>
      </c>
      <c r="EQ165" s="1">
        <v>0</v>
      </c>
      <c r="ER165" s="1">
        <v>50</v>
      </c>
      <c r="ES165" s="1">
        <v>20</v>
      </c>
      <c r="ET165" s="1">
        <v>80</v>
      </c>
      <c r="EU165" s="1">
        <v>8.1411764705882348</v>
      </c>
      <c r="EV165" s="18">
        <v>3.052941176470588</v>
      </c>
      <c r="EW165" s="18">
        <v>13.229411764705882</v>
      </c>
      <c r="EX165" s="18">
        <v>484.4</v>
      </c>
      <c r="EY165" s="7">
        <v>269.6764705882353</v>
      </c>
      <c r="EZ165" s="7">
        <v>699.12352941176471</v>
      </c>
      <c r="FA165" s="7">
        <v>1136.7117647058824</v>
      </c>
      <c r="FB165" s="7">
        <v>1041.0529411764705</v>
      </c>
      <c r="FC165" s="7">
        <v>1232.370588235294</v>
      </c>
      <c r="FD165" s="7">
        <v>30.52941176470588</v>
      </c>
      <c r="FE165" s="7">
        <v>0</v>
      </c>
      <c r="FF165" s="7">
        <v>61.058823529411761</v>
      </c>
      <c r="FG165" s="7">
        <v>101.76470588235293</v>
      </c>
      <c r="FH165" s="7">
        <v>50.882352941176464</v>
      </c>
      <c r="FI165" s="7">
        <v>152.64705882352939</v>
      </c>
      <c r="FJ165" s="7">
        <v>20.352941176470587</v>
      </c>
      <c r="FK165" s="7">
        <v>10.176470588235293</v>
      </c>
      <c r="FL165" s="7">
        <v>30.52941176470588</v>
      </c>
      <c r="FO165" s="1">
        <v>220</v>
      </c>
      <c r="FP165" s="1">
        <v>220</v>
      </c>
      <c r="FR165" s="12" t="s">
        <v>638</v>
      </c>
      <c r="FS165" s="1" t="s">
        <v>638</v>
      </c>
      <c r="FT165" s="12">
        <v>182</v>
      </c>
      <c r="FU165" s="12"/>
      <c r="FV165" s="12">
        <v>182</v>
      </c>
      <c r="FW165" s="12">
        <v>182</v>
      </c>
      <c r="FX165" s="1">
        <v>182</v>
      </c>
      <c r="FY165" s="12" t="s">
        <v>637</v>
      </c>
      <c r="FZ165" s="12" t="s">
        <v>636</v>
      </c>
      <c r="GA165" s="1">
        <v>202</v>
      </c>
      <c r="GB165" s="1">
        <v>202</v>
      </c>
      <c r="GD165" s="1" t="s">
        <v>640</v>
      </c>
      <c r="GE165" s="1">
        <v>211</v>
      </c>
      <c r="GF165" s="1">
        <v>214</v>
      </c>
      <c r="GG165" s="1">
        <v>220</v>
      </c>
      <c r="GH165" s="1">
        <v>214</v>
      </c>
      <c r="GK165" s="1" t="s">
        <v>639</v>
      </c>
    </row>
    <row r="166" spans="1:193" ht="12.75" customHeight="1" x14ac:dyDescent="0.2">
      <c r="A166" s="1" t="s">
        <v>373</v>
      </c>
      <c r="D166" s="1" t="s">
        <v>579</v>
      </c>
      <c r="E166" s="1" t="s">
        <v>129</v>
      </c>
      <c r="F166" s="1">
        <v>1</v>
      </c>
      <c r="G166" s="1">
        <v>2035</v>
      </c>
      <c r="H166" s="1">
        <v>1</v>
      </c>
      <c r="I166" s="1">
        <v>1</v>
      </c>
      <c r="J166" s="1">
        <v>0</v>
      </c>
      <c r="K166" s="10">
        <v>48.51</v>
      </c>
      <c r="L166" s="10">
        <v>30.030000000000005</v>
      </c>
      <c r="M166" s="10">
        <v>66.989999999999995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8"/>
      <c r="BQ166" s="10">
        <v>9.24</v>
      </c>
      <c r="BR166" s="10">
        <v>2.3100000000000005</v>
      </c>
      <c r="BS166" s="10">
        <v>16.170000000000002</v>
      </c>
      <c r="BT166" s="10">
        <f>Tabelle58971121[[#This Row],[Mindestauslastung durch]]*Tabelle58971121[[#This Row],[installierte Leistung MW durch]]</f>
        <v>0</v>
      </c>
      <c r="BU166" s="10">
        <f>Tabelle58971121[[#This Row],[Mindestauslastung min]]*Tabelle58971121[[#This Row],[installierte Leistung MW min]]</f>
        <v>0</v>
      </c>
      <c r="BV166" s="18">
        <f>Tabelle58971121[[#This Row],[Mindestauslastung max]]*Tabelle58971121[[#This Row],[installierte Leistung MW max]]</f>
        <v>0</v>
      </c>
      <c r="BW166" s="8">
        <v>0</v>
      </c>
      <c r="BX166" s="8">
        <v>0</v>
      </c>
      <c r="BY166" s="8">
        <v>0</v>
      </c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41">
        <v>0.8</v>
      </c>
      <c r="DC166" s="41">
        <v>0.72</v>
      </c>
      <c r="DD166" s="41">
        <v>0.88</v>
      </c>
      <c r="DE166" s="10">
        <f>Tabelle58971121[[#This Row],[Durchschnittsauslastung min]]*Tabelle58971121[[#This Row],[installierte Leistung MW min]]</f>
        <v>34.496000000000002</v>
      </c>
      <c r="DF166" s="10">
        <f>Tabelle58971121[[#This Row],[Durchschnittsauslastung durch]]*Tabelle58971121[[#This Row],[installierte Leistung MW durch]]</f>
        <v>43.243200000000002</v>
      </c>
      <c r="DG166" s="48">
        <f>Tabelle58971121[[#This Row],[Durchschnittsauslastung max]]*Tabelle58971121[[#This Row],[installierte Leistung MW max]]</f>
        <v>67.760000000000005</v>
      </c>
      <c r="DH166" s="87">
        <f>Tabelle58971121[[#This Row],[Maximalauslastung durch]]*Tabelle58971121[[#This Row],[installierte Leistung MW min]]</f>
        <v>40.964000000000006</v>
      </c>
      <c r="DI166" s="48">
        <f>Tabelle58971121[[#This Row],[Maximalauslastung durch]]*Tabelle58971121[[#This Row],[installierte Leistung MW durch]]</f>
        <v>57.057000000000002</v>
      </c>
      <c r="DJ166" s="10">
        <f>Tabelle58971121[[#This Row],[Maximalauslastung max]]*Tabelle58971121[[#This Row],[installierte Leistung MW durch]]</f>
        <v>57.657600000000002</v>
      </c>
      <c r="DK166" s="8">
        <v>0.95</v>
      </c>
      <c r="DL166" s="8">
        <v>0.94</v>
      </c>
      <c r="DM166" s="8">
        <v>0.96</v>
      </c>
      <c r="DN166" s="10">
        <v>60.06</v>
      </c>
      <c r="DO166" s="10">
        <v>43.120000000000005</v>
      </c>
      <c r="DP166" s="10">
        <v>77</v>
      </c>
      <c r="DQ166" s="1">
        <v>0.16666666666666663</v>
      </c>
      <c r="DR166" s="1">
        <v>8.3333333333333329E-2</v>
      </c>
      <c r="DS166" s="53">
        <v>0.25</v>
      </c>
      <c r="DT166" s="1">
        <v>0.16666666666666663</v>
      </c>
      <c r="DU166" s="1">
        <v>8.3333333333333329E-2</v>
      </c>
      <c r="DV166" s="53">
        <v>0.25</v>
      </c>
      <c r="DW166" s="1">
        <v>2</v>
      </c>
      <c r="DX166" s="1">
        <v>1.6</v>
      </c>
      <c r="DY166" s="53">
        <v>2.4</v>
      </c>
      <c r="DZ166" s="1">
        <v>4</v>
      </c>
      <c r="EA166" s="1">
        <v>3.2</v>
      </c>
      <c r="EB166" s="53">
        <v>4.8</v>
      </c>
      <c r="EC166" s="1">
        <v>6</v>
      </c>
      <c r="ED166" s="1">
        <v>6</v>
      </c>
      <c r="EE166" s="53">
        <v>6</v>
      </c>
      <c r="EF166" s="1">
        <v>4.8</v>
      </c>
      <c r="EG166" s="1">
        <v>3.4</v>
      </c>
      <c r="EH166" s="53">
        <v>6.1999999999999993</v>
      </c>
      <c r="EJ166" s="1" t="s">
        <v>641</v>
      </c>
      <c r="EL166" s="1">
        <v>50</v>
      </c>
      <c r="EM166" s="1">
        <v>20</v>
      </c>
      <c r="EN166" s="1">
        <v>80</v>
      </c>
      <c r="EO166" s="1">
        <v>0</v>
      </c>
      <c r="EP166" s="1">
        <v>0</v>
      </c>
      <c r="EQ166" s="1">
        <v>0</v>
      </c>
      <c r="ER166" s="1">
        <v>50</v>
      </c>
      <c r="ES166" s="1">
        <v>20</v>
      </c>
      <c r="ET166" s="1">
        <v>80</v>
      </c>
      <c r="EU166" s="1">
        <v>8.1411764705882348</v>
      </c>
      <c r="EV166" s="18">
        <v>3.052941176470588</v>
      </c>
      <c r="EW166" s="18">
        <v>13.229411764705882</v>
      </c>
      <c r="EX166" s="18">
        <v>484.4</v>
      </c>
      <c r="EY166" s="7">
        <v>269.6764705882353</v>
      </c>
      <c r="EZ166" s="7">
        <v>699.12352941176471</v>
      </c>
      <c r="FA166" s="7">
        <v>1136.7117647058824</v>
      </c>
      <c r="FB166" s="7">
        <v>1041.0529411764705</v>
      </c>
      <c r="FC166" s="7">
        <v>1232.370588235294</v>
      </c>
      <c r="FD166" s="7">
        <v>30.52941176470588</v>
      </c>
      <c r="FE166" s="7">
        <v>0</v>
      </c>
      <c r="FF166" s="7">
        <v>61.058823529411761</v>
      </c>
      <c r="FG166" s="7">
        <v>101.76470588235293</v>
      </c>
      <c r="FH166" s="7">
        <v>50.882352941176464</v>
      </c>
      <c r="FI166" s="7">
        <v>152.64705882352939</v>
      </c>
      <c r="FJ166" s="7">
        <v>20.352941176470587</v>
      </c>
      <c r="FK166" s="7">
        <v>10.176470588235293</v>
      </c>
      <c r="FL166" s="7">
        <v>30.52941176470588</v>
      </c>
      <c r="FO166" s="1">
        <v>220</v>
      </c>
      <c r="FP166" s="1">
        <v>220</v>
      </c>
      <c r="FR166" s="12" t="s">
        <v>638</v>
      </c>
      <c r="FS166" s="1" t="s">
        <v>638</v>
      </c>
      <c r="FT166" s="12">
        <v>182</v>
      </c>
      <c r="FU166" s="12"/>
      <c r="FV166" s="12">
        <v>182</v>
      </c>
      <c r="FW166" s="12">
        <v>182</v>
      </c>
      <c r="FX166" s="1">
        <v>182</v>
      </c>
      <c r="FY166" s="12" t="s">
        <v>637</v>
      </c>
      <c r="FZ166" s="12" t="s">
        <v>636</v>
      </c>
      <c r="GA166" s="1">
        <v>202</v>
      </c>
      <c r="GB166" s="1">
        <v>202</v>
      </c>
      <c r="GD166" s="1" t="s">
        <v>640</v>
      </c>
      <c r="GE166" s="1">
        <v>211</v>
      </c>
      <c r="GF166" s="1">
        <v>214</v>
      </c>
      <c r="GG166" s="1">
        <v>220</v>
      </c>
      <c r="GH166" s="1">
        <v>214</v>
      </c>
      <c r="GK166" s="1" t="s">
        <v>639</v>
      </c>
    </row>
    <row r="167" spans="1:193" ht="12.75" customHeight="1" x14ac:dyDescent="0.2">
      <c r="A167" s="1" t="s">
        <v>373</v>
      </c>
      <c r="D167" s="1" t="s">
        <v>579</v>
      </c>
      <c r="E167" s="1" t="s">
        <v>129</v>
      </c>
      <c r="F167" s="1">
        <v>1</v>
      </c>
      <c r="G167" s="1">
        <v>2040</v>
      </c>
      <c r="H167" s="1">
        <v>1</v>
      </c>
      <c r="I167" s="1">
        <v>1</v>
      </c>
      <c r="J167" s="1">
        <v>0</v>
      </c>
      <c r="K167" s="10">
        <v>45.99</v>
      </c>
      <c r="L167" s="10">
        <v>28.469999999999995</v>
      </c>
      <c r="M167" s="10">
        <v>63.51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8"/>
      <c r="BQ167" s="10">
        <v>8.76</v>
      </c>
      <c r="BR167" s="10">
        <v>2.1899999999999995</v>
      </c>
      <c r="BS167" s="10">
        <v>15.33</v>
      </c>
      <c r="BT167" s="10">
        <f>Tabelle58971121[[#This Row],[Mindestauslastung durch]]*Tabelle58971121[[#This Row],[installierte Leistung MW durch]]</f>
        <v>0</v>
      </c>
      <c r="BU167" s="10">
        <f>Tabelle58971121[[#This Row],[Mindestauslastung min]]*Tabelle58971121[[#This Row],[installierte Leistung MW min]]</f>
        <v>0</v>
      </c>
      <c r="BV167" s="18">
        <f>Tabelle58971121[[#This Row],[Mindestauslastung max]]*Tabelle58971121[[#This Row],[installierte Leistung MW max]]</f>
        <v>0</v>
      </c>
      <c r="BW167" s="8">
        <v>0</v>
      </c>
      <c r="BX167" s="8">
        <v>0</v>
      </c>
      <c r="BY167" s="8">
        <v>0</v>
      </c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41">
        <v>0.8</v>
      </c>
      <c r="DC167" s="41">
        <v>0.72</v>
      </c>
      <c r="DD167" s="41">
        <v>0.88</v>
      </c>
      <c r="DE167" s="10">
        <f>Tabelle58971121[[#This Row],[Durchschnittsauslastung min]]*Tabelle58971121[[#This Row],[installierte Leistung MW min]]</f>
        <v>32.704000000000001</v>
      </c>
      <c r="DF167" s="10">
        <f>Tabelle58971121[[#This Row],[Durchschnittsauslastung durch]]*Tabelle58971121[[#This Row],[installierte Leistung MW durch]]</f>
        <v>40.9968</v>
      </c>
      <c r="DG167" s="48">
        <f>Tabelle58971121[[#This Row],[Durchschnittsauslastung max]]*Tabelle58971121[[#This Row],[installierte Leistung MW max]]</f>
        <v>64.239999999999995</v>
      </c>
      <c r="DH167" s="87">
        <f>Tabelle58971121[[#This Row],[Maximalauslastung durch]]*Tabelle58971121[[#This Row],[installierte Leistung MW min]]</f>
        <v>38.835999999999991</v>
      </c>
      <c r="DI167" s="48">
        <f>Tabelle58971121[[#This Row],[Maximalauslastung durch]]*Tabelle58971121[[#This Row],[installierte Leistung MW durch]]</f>
        <v>54.092999999999996</v>
      </c>
      <c r="DJ167" s="10">
        <f>Tabelle58971121[[#This Row],[Maximalauslastung max]]*Tabelle58971121[[#This Row],[installierte Leistung MW durch]]</f>
        <v>54.662399999999998</v>
      </c>
      <c r="DK167" s="8">
        <v>0.95</v>
      </c>
      <c r="DL167" s="8">
        <v>0.94</v>
      </c>
      <c r="DM167" s="8">
        <v>0.96</v>
      </c>
      <c r="DN167" s="10">
        <v>56.94</v>
      </c>
      <c r="DO167" s="10">
        <v>40.879999999999995</v>
      </c>
      <c r="DP167" s="10">
        <v>73</v>
      </c>
      <c r="DQ167" s="1">
        <v>0.16666666666666663</v>
      </c>
      <c r="DR167" s="1">
        <v>8.3333333333333329E-2</v>
      </c>
      <c r="DS167" s="53">
        <v>0.25</v>
      </c>
      <c r="DT167" s="1">
        <v>0.16666666666666663</v>
      </c>
      <c r="DU167" s="1">
        <v>8.3333333333333329E-2</v>
      </c>
      <c r="DV167" s="53">
        <v>0.25</v>
      </c>
      <c r="DW167" s="1">
        <v>2</v>
      </c>
      <c r="DX167" s="1">
        <v>1.6</v>
      </c>
      <c r="DY167" s="53">
        <v>2.4</v>
      </c>
      <c r="DZ167" s="1">
        <v>4</v>
      </c>
      <c r="EA167" s="1">
        <v>3.2</v>
      </c>
      <c r="EB167" s="53">
        <v>4.8</v>
      </c>
      <c r="EC167" s="1">
        <v>6</v>
      </c>
      <c r="ED167" s="1">
        <v>6</v>
      </c>
      <c r="EE167" s="53">
        <v>6</v>
      </c>
      <c r="EF167" s="1">
        <v>4.8</v>
      </c>
      <c r="EG167" s="1">
        <v>3.4</v>
      </c>
      <c r="EH167" s="53">
        <v>6.1999999999999993</v>
      </c>
      <c r="EJ167" s="1" t="s">
        <v>641</v>
      </c>
      <c r="EL167" s="1">
        <v>50</v>
      </c>
      <c r="EM167" s="1">
        <v>20</v>
      </c>
      <c r="EN167" s="1">
        <v>80</v>
      </c>
      <c r="EO167" s="1">
        <v>0</v>
      </c>
      <c r="EP167" s="1">
        <v>0</v>
      </c>
      <c r="EQ167" s="1">
        <v>0</v>
      </c>
      <c r="ER167" s="1">
        <v>50</v>
      </c>
      <c r="ES167" s="1">
        <v>20</v>
      </c>
      <c r="ET167" s="1">
        <v>80</v>
      </c>
      <c r="EU167" s="1">
        <v>8.1411764705882348</v>
      </c>
      <c r="EV167" s="18">
        <v>3.052941176470588</v>
      </c>
      <c r="EW167" s="18">
        <v>13.229411764705882</v>
      </c>
      <c r="EX167" s="18">
        <v>484.4</v>
      </c>
      <c r="EY167" s="7">
        <v>269.6764705882353</v>
      </c>
      <c r="EZ167" s="7">
        <v>699.12352941176471</v>
      </c>
      <c r="FA167" s="7">
        <v>1136.7117647058824</v>
      </c>
      <c r="FB167" s="7">
        <v>1041.0529411764705</v>
      </c>
      <c r="FC167" s="7">
        <v>1232.370588235294</v>
      </c>
      <c r="FD167" s="7">
        <v>30.52941176470588</v>
      </c>
      <c r="FE167" s="7">
        <v>0</v>
      </c>
      <c r="FF167" s="7">
        <v>61.058823529411761</v>
      </c>
      <c r="FG167" s="7">
        <v>101.76470588235293</v>
      </c>
      <c r="FH167" s="7">
        <v>50.882352941176464</v>
      </c>
      <c r="FI167" s="7">
        <v>152.64705882352939</v>
      </c>
      <c r="FJ167" s="7">
        <v>20.352941176470587</v>
      </c>
      <c r="FK167" s="7">
        <v>10.176470588235293</v>
      </c>
      <c r="FL167" s="7">
        <v>30.52941176470588</v>
      </c>
      <c r="FO167" s="1">
        <v>220</v>
      </c>
      <c r="FP167" s="1">
        <v>220</v>
      </c>
      <c r="FR167" s="12" t="s">
        <v>638</v>
      </c>
      <c r="FS167" s="1" t="s">
        <v>638</v>
      </c>
      <c r="FT167" s="12">
        <v>182</v>
      </c>
      <c r="FU167" s="12"/>
      <c r="FV167" s="12">
        <v>182</v>
      </c>
      <c r="FW167" s="12">
        <v>182</v>
      </c>
      <c r="FX167" s="1">
        <v>182</v>
      </c>
      <c r="FY167" s="12" t="s">
        <v>637</v>
      </c>
      <c r="FZ167" s="12" t="s">
        <v>636</v>
      </c>
      <c r="GA167" s="1">
        <v>202</v>
      </c>
      <c r="GB167" s="1">
        <v>202</v>
      </c>
      <c r="GD167" s="1" t="s">
        <v>640</v>
      </c>
      <c r="GE167" s="1">
        <v>211</v>
      </c>
      <c r="GF167" s="1">
        <v>214</v>
      </c>
      <c r="GG167" s="1">
        <v>220</v>
      </c>
      <c r="GH167" s="1">
        <v>214</v>
      </c>
      <c r="GK167" s="1" t="s">
        <v>639</v>
      </c>
    </row>
    <row r="168" spans="1:193" ht="12.75" customHeight="1" x14ac:dyDescent="0.2">
      <c r="A168" s="1" t="s">
        <v>373</v>
      </c>
      <c r="D168" s="1" t="s">
        <v>579</v>
      </c>
      <c r="E168" s="1" t="s">
        <v>129</v>
      </c>
      <c r="F168" s="1">
        <v>1</v>
      </c>
      <c r="G168" s="1">
        <v>2045</v>
      </c>
      <c r="H168" s="1">
        <v>1</v>
      </c>
      <c r="I168" s="1">
        <v>1</v>
      </c>
      <c r="J168" s="1">
        <v>0</v>
      </c>
      <c r="K168" s="10">
        <v>42.84</v>
      </c>
      <c r="L168" s="10">
        <v>26.520000000000003</v>
      </c>
      <c r="M168" s="10">
        <v>59.160000000000004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8"/>
      <c r="BQ168" s="10">
        <v>8.16</v>
      </c>
      <c r="BR168" s="10">
        <v>2.04</v>
      </c>
      <c r="BS168" s="10">
        <v>14.280000000000001</v>
      </c>
      <c r="BT168" s="10">
        <f>Tabelle58971121[[#This Row],[Mindestauslastung durch]]*Tabelle58971121[[#This Row],[installierte Leistung MW durch]]</f>
        <v>0</v>
      </c>
      <c r="BU168" s="10">
        <f>Tabelle58971121[[#This Row],[Mindestauslastung min]]*Tabelle58971121[[#This Row],[installierte Leistung MW min]]</f>
        <v>0</v>
      </c>
      <c r="BV168" s="18">
        <f>Tabelle58971121[[#This Row],[Mindestauslastung max]]*Tabelle58971121[[#This Row],[installierte Leistung MW max]]</f>
        <v>0</v>
      </c>
      <c r="BW168" s="8">
        <v>0</v>
      </c>
      <c r="BX168" s="8">
        <v>0</v>
      </c>
      <c r="BY168" s="8">
        <v>0</v>
      </c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41">
        <v>0.8</v>
      </c>
      <c r="DC168" s="41">
        <v>0.72</v>
      </c>
      <c r="DD168" s="41">
        <v>0.88</v>
      </c>
      <c r="DE168" s="10">
        <f>Tabelle58971121[[#This Row],[Durchschnittsauslastung min]]*Tabelle58971121[[#This Row],[installierte Leistung MW min]]</f>
        <v>30.464000000000006</v>
      </c>
      <c r="DF168" s="10">
        <f>Tabelle58971121[[#This Row],[Durchschnittsauslastung durch]]*Tabelle58971121[[#This Row],[installierte Leistung MW durch]]</f>
        <v>38.188800000000001</v>
      </c>
      <c r="DG168" s="48">
        <f>Tabelle58971121[[#This Row],[Durchschnittsauslastung max]]*Tabelle58971121[[#This Row],[installierte Leistung MW max]]</f>
        <v>59.84</v>
      </c>
      <c r="DH168" s="87">
        <f>Tabelle58971121[[#This Row],[Maximalauslastung durch]]*Tabelle58971121[[#This Row],[installierte Leistung MW min]]</f>
        <v>36.176000000000002</v>
      </c>
      <c r="DI168" s="48">
        <f>Tabelle58971121[[#This Row],[Maximalauslastung durch]]*Tabelle58971121[[#This Row],[installierte Leistung MW durch]]</f>
        <v>50.388000000000005</v>
      </c>
      <c r="DJ168" s="10">
        <f>Tabelle58971121[[#This Row],[Maximalauslastung max]]*Tabelle58971121[[#This Row],[installierte Leistung MW durch]]</f>
        <v>50.918400000000005</v>
      </c>
      <c r="DK168" s="8">
        <v>0.95</v>
      </c>
      <c r="DL168" s="8">
        <v>0.94</v>
      </c>
      <c r="DM168" s="8">
        <v>0.96</v>
      </c>
      <c r="DN168" s="10">
        <v>53.040000000000006</v>
      </c>
      <c r="DO168" s="10">
        <v>38.080000000000005</v>
      </c>
      <c r="DP168" s="10">
        <v>68</v>
      </c>
      <c r="DQ168" s="1">
        <v>0.16666666666666663</v>
      </c>
      <c r="DR168" s="1">
        <v>8.3333333333333329E-2</v>
      </c>
      <c r="DS168" s="53">
        <v>0.25</v>
      </c>
      <c r="DT168" s="1">
        <v>0.16666666666666663</v>
      </c>
      <c r="DU168" s="1">
        <v>8.3333333333333329E-2</v>
      </c>
      <c r="DV168" s="53">
        <v>0.25</v>
      </c>
      <c r="DW168" s="1">
        <v>2</v>
      </c>
      <c r="DX168" s="1">
        <v>1.6</v>
      </c>
      <c r="DY168" s="53">
        <v>2.4</v>
      </c>
      <c r="DZ168" s="1">
        <v>4</v>
      </c>
      <c r="EA168" s="1">
        <v>3.2</v>
      </c>
      <c r="EB168" s="53">
        <v>4.8</v>
      </c>
      <c r="EC168" s="1">
        <v>6</v>
      </c>
      <c r="ED168" s="1">
        <v>6</v>
      </c>
      <c r="EE168" s="53">
        <v>6</v>
      </c>
      <c r="EF168" s="1">
        <v>4.8</v>
      </c>
      <c r="EG168" s="1">
        <v>3.4</v>
      </c>
      <c r="EH168" s="53">
        <v>6.1999999999999993</v>
      </c>
      <c r="EJ168" s="1" t="s">
        <v>641</v>
      </c>
      <c r="EL168" s="1">
        <v>50</v>
      </c>
      <c r="EM168" s="1">
        <v>20</v>
      </c>
      <c r="EN168" s="1">
        <v>80</v>
      </c>
      <c r="EO168" s="1">
        <v>0</v>
      </c>
      <c r="EP168" s="1">
        <v>0</v>
      </c>
      <c r="EQ168" s="1">
        <v>0</v>
      </c>
      <c r="ER168" s="1">
        <v>50</v>
      </c>
      <c r="ES168" s="1">
        <v>20</v>
      </c>
      <c r="ET168" s="1">
        <v>80</v>
      </c>
      <c r="EU168" s="1">
        <v>8.1411764705882348</v>
      </c>
      <c r="EV168" s="18">
        <v>3.052941176470588</v>
      </c>
      <c r="EW168" s="18">
        <v>13.229411764705882</v>
      </c>
      <c r="EX168" s="18">
        <v>484.4</v>
      </c>
      <c r="EY168" s="7">
        <v>269.6764705882353</v>
      </c>
      <c r="EZ168" s="7">
        <v>699.12352941176471</v>
      </c>
      <c r="FA168" s="7">
        <v>1136.7117647058824</v>
      </c>
      <c r="FB168" s="7">
        <v>1041.0529411764705</v>
      </c>
      <c r="FC168" s="7">
        <v>1232.370588235294</v>
      </c>
      <c r="FD168" s="7">
        <v>30.52941176470588</v>
      </c>
      <c r="FE168" s="7">
        <v>0</v>
      </c>
      <c r="FF168" s="7">
        <v>61.058823529411761</v>
      </c>
      <c r="FG168" s="7">
        <v>101.76470588235293</v>
      </c>
      <c r="FH168" s="7">
        <v>50.882352941176464</v>
      </c>
      <c r="FI168" s="7">
        <v>152.64705882352939</v>
      </c>
      <c r="FJ168" s="7">
        <v>20.352941176470587</v>
      </c>
      <c r="FK168" s="7">
        <v>10.176470588235293</v>
      </c>
      <c r="FL168" s="7">
        <v>30.52941176470588</v>
      </c>
      <c r="FO168" s="1">
        <v>220</v>
      </c>
      <c r="FP168" s="1">
        <v>220</v>
      </c>
      <c r="FR168" s="12" t="s">
        <v>638</v>
      </c>
      <c r="FS168" s="1" t="s">
        <v>638</v>
      </c>
      <c r="FT168" s="12">
        <v>182</v>
      </c>
      <c r="FU168" s="12"/>
      <c r="FV168" s="12">
        <v>182</v>
      </c>
      <c r="FW168" s="12">
        <v>182</v>
      </c>
      <c r="FX168" s="1">
        <v>182</v>
      </c>
      <c r="FY168" s="12" t="s">
        <v>637</v>
      </c>
      <c r="FZ168" s="12" t="s">
        <v>636</v>
      </c>
      <c r="GA168" s="1">
        <v>202</v>
      </c>
      <c r="GB168" s="1">
        <v>202</v>
      </c>
      <c r="GD168" s="1" t="s">
        <v>640</v>
      </c>
      <c r="GE168" s="1">
        <v>211</v>
      </c>
      <c r="GF168" s="1">
        <v>214</v>
      </c>
      <c r="GG168" s="1">
        <v>220</v>
      </c>
      <c r="GH168" s="1">
        <v>214</v>
      </c>
      <c r="GK168" s="1" t="s">
        <v>639</v>
      </c>
    </row>
    <row r="169" spans="1:193" ht="12.75" customHeight="1" x14ac:dyDescent="0.2">
      <c r="A169" s="1" t="s">
        <v>373</v>
      </c>
      <c r="D169" s="1" t="s">
        <v>579</v>
      </c>
      <c r="E169" s="1" t="s">
        <v>129</v>
      </c>
      <c r="F169" s="1">
        <v>1</v>
      </c>
      <c r="G169" s="1">
        <v>2050</v>
      </c>
      <c r="H169" s="1">
        <v>1</v>
      </c>
      <c r="I169" s="1">
        <v>1</v>
      </c>
      <c r="J169" s="1">
        <v>0</v>
      </c>
      <c r="K169" s="10">
        <v>40.32</v>
      </c>
      <c r="L169" s="10">
        <v>24.96</v>
      </c>
      <c r="M169" s="10">
        <v>55.68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8"/>
      <c r="BQ169" s="10">
        <v>7.68</v>
      </c>
      <c r="BR169" s="10">
        <v>1.92</v>
      </c>
      <c r="BS169" s="10">
        <v>13.44</v>
      </c>
      <c r="BT169" s="10">
        <f>Tabelle58971121[[#This Row],[Mindestauslastung durch]]*Tabelle58971121[[#This Row],[installierte Leistung MW durch]]</f>
        <v>0</v>
      </c>
      <c r="BU169" s="10">
        <f>Tabelle58971121[[#This Row],[Mindestauslastung min]]*Tabelle58971121[[#This Row],[installierte Leistung MW min]]</f>
        <v>0</v>
      </c>
      <c r="BV169" s="18">
        <f>Tabelle58971121[[#This Row],[Mindestauslastung max]]*Tabelle58971121[[#This Row],[installierte Leistung MW max]]</f>
        <v>0</v>
      </c>
      <c r="BW169" s="8">
        <v>0</v>
      </c>
      <c r="BX169" s="8">
        <v>0</v>
      </c>
      <c r="BY169" s="8">
        <v>0</v>
      </c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41">
        <v>0.8</v>
      </c>
      <c r="DC169" s="41">
        <v>0.72</v>
      </c>
      <c r="DD169" s="41">
        <v>0.88</v>
      </c>
      <c r="DE169" s="10">
        <f>Tabelle58971121[[#This Row],[Durchschnittsauslastung min]]*Tabelle58971121[[#This Row],[installierte Leistung MW min]]</f>
        <v>28.672000000000004</v>
      </c>
      <c r="DF169" s="10">
        <f>Tabelle58971121[[#This Row],[Durchschnittsauslastung durch]]*Tabelle58971121[[#This Row],[installierte Leistung MW durch]]</f>
        <v>35.942399999999999</v>
      </c>
      <c r="DG169" s="48">
        <f>Tabelle58971121[[#This Row],[Durchschnittsauslastung max]]*Tabelle58971121[[#This Row],[installierte Leistung MW max]]</f>
        <v>56.32</v>
      </c>
      <c r="DH169" s="87">
        <f>Tabelle58971121[[#This Row],[Maximalauslastung durch]]*Tabelle58971121[[#This Row],[installierte Leistung MW min]]</f>
        <v>34.048000000000002</v>
      </c>
      <c r="DI169" s="48">
        <f>Tabelle58971121[[#This Row],[Maximalauslastung durch]]*Tabelle58971121[[#This Row],[installierte Leistung MW durch]]</f>
        <v>47.423999999999999</v>
      </c>
      <c r="DJ169" s="10">
        <f>Tabelle58971121[[#This Row],[Maximalauslastung max]]*Tabelle58971121[[#This Row],[installierte Leistung MW durch]]</f>
        <v>47.923200000000001</v>
      </c>
      <c r="DK169" s="8">
        <v>0.95</v>
      </c>
      <c r="DL169" s="8">
        <v>0.94</v>
      </c>
      <c r="DM169" s="8">
        <v>0.96</v>
      </c>
      <c r="DN169" s="10">
        <v>49.92</v>
      </c>
      <c r="DO169" s="10">
        <v>35.840000000000003</v>
      </c>
      <c r="DP169" s="10">
        <v>64</v>
      </c>
      <c r="DQ169" s="1">
        <v>0.16666666666666663</v>
      </c>
      <c r="DR169" s="1">
        <v>8.3333333333333329E-2</v>
      </c>
      <c r="DS169" s="53">
        <v>0.25</v>
      </c>
      <c r="DT169" s="1">
        <v>0.16666666666666663</v>
      </c>
      <c r="DU169" s="1">
        <v>8.3333333333333329E-2</v>
      </c>
      <c r="DV169" s="53">
        <v>0.25</v>
      </c>
      <c r="DW169" s="1">
        <v>2</v>
      </c>
      <c r="DX169" s="1">
        <v>1.6</v>
      </c>
      <c r="DY169" s="53">
        <v>2.4</v>
      </c>
      <c r="DZ169" s="1">
        <v>4</v>
      </c>
      <c r="EA169" s="1">
        <v>3.2</v>
      </c>
      <c r="EB169" s="53">
        <v>4.8</v>
      </c>
      <c r="EC169" s="1">
        <v>6</v>
      </c>
      <c r="ED169" s="1">
        <v>6</v>
      </c>
      <c r="EE169" s="53">
        <v>6</v>
      </c>
      <c r="EF169" s="1">
        <v>4.8</v>
      </c>
      <c r="EG169" s="1">
        <v>3.4</v>
      </c>
      <c r="EH169" s="53">
        <v>6.1999999999999993</v>
      </c>
      <c r="EJ169" s="1" t="s">
        <v>641</v>
      </c>
      <c r="EL169" s="1">
        <v>50</v>
      </c>
      <c r="EM169" s="1">
        <v>20</v>
      </c>
      <c r="EN169" s="1">
        <v>80</v>
      </c>
      <c r="EO169" s="1">
        <v>0</v>
      </c>
      <c r="EP169" s="1">
        <v>0</v>
      </c>
      <c r="EQ169" s="1">
        <v>0</v>
      </c>
      <c r="ER169" s="1">
        <v>50</v>
      </c>
      <c r="ES169" s="1">
        <v>20</v>
      </c>
      <c r="ET169" s="1">
        <v>80</v>
      </c>
      <c r="EU169" s="1">
        <v>8.1411764705882348</v>
      </c>
      <c r="EV169" s="18">
        <v>3.052941176470588</v>
      </c>
      <c r="EW169" s="18">
        <v>13.229411764705882</v>
      </c>
      <c r="EX169" s="18">
        <v>484.4</v>
      </c>
      <c r="EY169" s="7">
        <v>269.6764705882353</v>
      </c>
      <c r="EZ169" s="7">
        <v>699.12352941176471</v>
      </c>
      <c r="FA169" s="7">
        <v>1136.7117647058824</v>
      </c>
      <c r="FB169" s="7">
        <v>1041.0529411764705</v>
      </c>
      <c r="FC169" s="7">
        <v>1232.370588235294</v>
      </c>
      <c r="FD169" s="7">
        <v>30.52941176470588</v>
      </c>
      <c r="FE169" s="7">
        <v>0</v>
      </c>
      <c r="FF169" s="7">
        <v>61.058823529411761</v>
      </c>
      <c r="FG169" s="7">
        <v>101.76470588235293</v>
      </c>
      <c r="FH169" s="7">
        <v>50.882352941176464</v>
      </c>
      <c r="FI169" s="7">
        <v>152.64705882352939</v>
      </c>
      <c r="FJ169" s="7">
        <v>20.352941176470587</v>
      </c>
      <c r="FK169" s="7">
        <v>10.176470588235293</v>
      </c>
      <c r="FL169" s="7">
        <v>30.52941176470588</v>
      </c>
      <c r="FO169" s="1">
        <v>220</v>
      </c>
      <c r="FP169" s="1">
        <v>220</v>
      </c>
      <c r="FR169" s="12" t="s">
        <v>638</v>
      </c>
      <c r="FS169" s="1" t="s">
        <v>638</v>
      </c>
      <c r="FT169" s="12">
        <v>182</v>
      </c>
      <c r="FU169" s="12"/>
      <c r="FV169" s="12">
        <v>182</v>
      </c>
      <c r="FW169" s="12">
        <v>182</v>
      </c>
      <c r="FX169" s="1">
        <v>182</v>
      </c>
      <c r="FY169" s="12" t="s">
        <v>637</v>
      </c>
      <c r="FZ169" s="12" t="s">
        <v>636</v>
      </c>
      <c r="GA169" s="1">
        <v>202</v>
      </c>
      <c r="GB169" s="1">
        <v>202</v>
      </c>
      <c r="GD169" s="1" t="s">
        <v>640</v>
      </c>
      <c r="GE169" s="1">
        <v>211</v>
      </c>
      <c r="GF169" s="1">
        <v>214</v>
      </c>
      <c r="GG169" s="1">
        <v>220</v>
      </c>
      <c r="GH169" s="1">
        <v>214</v>
      </c>
      <c r="GK169" s="1" t="s">
        <v>639</v>
      </c>
    </row>
    <row r="170" spans="1:193" ht="12.75" customHeight="1" x14ac:dyDescent="0.2">
      <c r="A170" s="1" t="s">
        <v>29</v>
      </c>
      <c r="D170" s="1" t="s">
        <v>29</v>
      </c>
      <c r="E170" s="1" t="s">
        <v>129</v>
      </c>
      <c r="F170" s="1">
        <v>1</v>
      </c>
      <c r="G170" s="1">
        <v>2015</v>
      </c>
      <c r="H170" s="1">
        <v>1</v>
      </c>
      <c r="I170" s="1">
        <v>1</v>
      </c>
      <c r="J170" s="1">
        <v>0</v>
      </c>
      <c r="K170" s="10">
        <v>813</v>
      </c>
      <c r="L170" s="10">
        <v>477</v>
      </c>
      <c r="M170" s="10">
        <v>1149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8"/>
      <c r="BQ170" s="10">
        <v>154</v>
      </c>
      <c r="BR170" s="10">
        <v>68</v>
      </c>
      <c r="BS170" s="10">
        <v>240</v>
      </c>
      <c r="BT170" s="10">
        <f>Tabelle58971121[[#This Row],[Mindestauslastung durch]]*Tabelle58971121[[#This Row],[installierte Leistung MW durch]]</f>
        <v>657.37069549970784</v>
      </c>
      <c r="BU170" s="10">
        <f>Tabelle58971121[[#This Row],[Mindestauslastung min]]*Tabelle58971121[[#This Row],[installierte Leistung MW min]]</f>
        <v>409.7437264480111</v>
      </c>
      <c r="BV170" s="18">
        <f>Tabelle58971121[[#This Row],[Mindestauslastung max]]*Tabelle58971121[[#This Row],[installierte Leistung MW max]]</f>
        <v>953.06393162393158</v>
      </c>
      <c r="BW170" s="8">
        <v>0.38465225014611343</v>
      </c>
      <c r="BX170" s="8">
        <v>0.28336357292393577</v>
      </c>
      <c r="BY170" s="8">
        <v>0.48329813976872799</v>
      </c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41">
        <v>0.86</v>
      </c>
      <c r="DC170" s="41">
        <v>0.83</v>
      </c>
      <c r="DD170" s="41">
        <v>0.89</v>
      </c>
      <c r="DE170" s="10">
        <f>Tabelle58971121[[#This Row],[Durchschnittsauslastung min]]*Tabelle58971121[[#This Row],[installierte Leistung MW min]]</f>
        <v>1243.56</v>
      </c>
      <c r="DF170" s="10">
        <f>Tabelle58971121[[#This Row],[Durchschnittsauslastung durch]]*Tabelle58971121[[#This Row],[installierte Leistung MW durch]]</f>
        <v>1418.47</v>
      </c>
      <c r="DG170" s="48">
        <f>Tabelle58971121[[#This Row],[Durchschnittsauslastung max]]*Tabelle58971121[[#This Row],[installierte Leistung MW max]]</f>
        <v>1755.08</v>
      </c>
      <c r="DH170" s="87">
        <f>Tabelle58971121[[#This Row],[Maximalauslastung durch]]*Tabelle58971121[[#This Row],[installierte Leistung MW min]]</f>
        <v>1373.7</v>
      </c>
      <c r="DI170" s="48">
        <f>Tabelle58971121[[#This Row],[Maximalauslastung durch]]*Tabelle58971121[[#This Row],[installierte Leistung MW durch]]</f>
        <v>1623.55</v>
      </c>
      <c r="DJ170" s="10">
        <f>Tabelle58971121[[#This Row],[Maximalauslastung max]]*Tabelle58971121[[#This Row],[installierte Leistung MW durch]]</f>
        <v>1640.6399999999999</v>
      </c>
      <c r="DK170" s="8">
        <v>0.95</v>
      </c>
      <c r="DL170" s="8">
        <v>0.94</v>
      </c>
      <c r="DM170" s="8">
        <v>0.96</v>
      </c>
      <c r="DN170" s="10">
        <v>1709</v>
      </c>
      <c r="DO170" s="10">
        <v>1446</v>
      </c>
      <c r="DP170" s="10">
        <v>1972</v>
      </c>
      <c r="DQ170" s="1">
        <v>0.19428645833333333</v>
      </c>
      <c r="DR170" s="1">
        <v>0</v>
      </c>
      <c r="DS170" s="53">
        <v>1</v>
      </c>
      <c r="DT170" s="1">
        <v>7.3143749999999993E-2</v>
      </c>
      <c r="DU170" s="1">
        <v>0</v>
      </c>
      <c r="DV170" s="53">
        <v>0.25</v>
      </c>
      <c r="DW170" s="1">
        <v>7</v>
      </c>
      <c r="DX170" s="1">
        <v>4.8</v>
      </c>
      <c r="DY170" s="53">
        <v>8.8000000000000007</v>
      </c>
      <c r="DZ170" s="1">
        <v>3.45</v>
      </c>
      <c r="EA170" s="1">
        <v>2.4</v>
      </c>
      <c r="EB170" s="53">
        <v>4.3</v>
      </c>
      <c r="EC170" s="1">
        <v>10.4</v>
      </c>
      <c r="ED170" s="1">
        <v>10.4</v>
      </c>
      <c r="EE170" s="53">
        <v>10.4</v>
      </c>
      <c r="EF170" s="1">
        <v>4.05</v>
      </c>
      <c r="EG170" s="1">
        <v>2.4</v>
      </c>
      <c r="EH170" s="53">
        <v>5.8</v>
      </c>
      <c r="EJ170" s="1" t="s">
        <v>641</v>
      </c>
      <c r="EL170" s="1">
        <v>47.5</v>
      </c>
      <c r="EM170" s="1">
        <v>35</v>
      </c>
      <c r="EN170" s="1">
        <v>60</v>
      </c>
      <c r="EO170" s="1">
        <v>0</v>
      </c>
      <c r="EP170" s="1">
        <v>0</v>
      </c>
      <c r="EQ170" s="1">
        <v>0</v>
      </c>
      <c r="ER170" s="1">
        <v>117.5</v>
      </c>
      <c r="ES170" s="1">
        <v>60</v>
      </c>
      <c r="ET170" s="1">
        <v>175</v>
      </c>
      <c r="EU170" s="1">
        <v>0.20352941176470588</v>
      </c>
      <c r="EV170" s="18">
        <v>0</v>
      </c>
      <c r="EW170" s="18">
        <v>0.40705882352941175</v>
      </c>
      <c r="EX170" s="18">
        <v>152.64705882352939</v>
      </c>
      <c r="EY170" s="7">
        <v>101.76470588235293</v>
      </c>
      <c r="EZ170" s="7">
        <v>203.52941176470586</v>
      </c>
      <c r="FA170" s="7">
        <v>260.51764705882351</v>
      </c>
      <c r="FB170" s="7">
        <v>227.95294117647057</v>
      </c>
      <c r="FC170" s="7">
        <v>293.08235294117645</v>
      </c>
      <c r="FD170" s="7">
        <v>25.441176470588232</v>
      </c>
      <c r="FE170" s="7">
        <v>15.26470588235294</v>
      </c>
      <c r="FF170" s="7">
        <v>35.617647058823529</v>
      </c>
      <c r="FG170" s="7">
        <v>485.41764705882349</v>
      </c>
      <c r="FH170" s="7">
        <v>281.88823529411764</v>
      </c>
      <c r="FI170" s="7">
        <v>688.94705882352935</v>
      </c>
      <c r="FJ170" s="7">
        <v>0.10176470588235294</v>
      </c>
      <c r="FK170" s="7">
        <v>0</v>
      </c>
      <c r="FL170" s="7">
        <v>0.30529411764705883</v>
      </c>
      <c r="FO170" s="1">
        <v>220</v>
      </c>
      <c r="FP170" s="1">
        <v>220</v>
      </c>
      <c r="FR170" s="12" t="s">
        <v>638</v>
      </c>
      <c r="FS170" s="1" t="s">
        <v>638</v>
      </c>
      <c r="FT170" s="12">
        <v>182</v>
      </c>
      <c r="FU170" s="12"/>
      <c r="FV170" s="12">
        <v>182</v>
      </c>
      <c r="FW170" s="12">
        <v>182</v>
      </c>
      <c r="FX170" s="1">
        <v>182</v>
      </c>
      <c r="FY170" s="12" t="s">
        <v>637</v>
      </c>
      <c r="FZ170" s="12" t="s">
        <v>636</v>
      </c>
      <c r="GA170" s="1">
        <v>202</v>
      </c>
      <c r="GB170" s="1">
        <v>202</v>
      </c>
      <c r="GD170" s="1" t="s">
        <v>640</v>
      </c>
      <c r="GE170" s="1">
        <v>211</v>
      </c>
      <c r="GF170" s="1">
        <v>214</v>
      </c>
      <c r="GG170" s="1">
        <v>220</v>
      </c>
      <c r="GH170" s="1">
        <v>214</v>
      </c>
      <c r="GK170" s="1" t="s">
        <v>639</v>
      </c>
    </row>
    <row r="171" spans="1:193" ht="12.75" customHeight="1" x14ac:dyDescent="0.2">
      <c r="A171" s="1" t="s">
        <v>29</v>
      </c>
      <c r="D171" s="1" t="s">
        <v>29</v>
      </c>
      <c r="E171" s="1" t="s">
        <v>129</v>
      </c>
      <c r="F171" s="1">
        <v>1</v>
      </c>
      <c r="G171" s="1">
        <v>2020</v>
      </c>
      <c r="H171" s="1">
        <v>1</v>
      </c>
      <c r="I171" s="1">
        <v>1</v>
      </c>
      <c r="J171" s="1">
        <v>0</v>
      </c>
      <c r="K171" s="10">
        <v>800.55781425610189</v>
      </c>
      <c r="L171" s="10">
        <v>469.69997220191954</v>
      </c>
      <c r="M171" s="10">
        <v>1131.4156563102842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8"/>
      <c r="BQ171" s="10">
        <v>151.64317760816689</v>
      </c>
      <c r="BR171" s="10">
        <v>66.959325177632138</v>
      </c>
      <c r="BS171" s="10">
        <v>236.32703003870165</v>
      </c>
      <c r="BT171" s="10">
        <f>Tabelle58971121[[#This Row],[Mindestauslastung durch]]*Tabelle58971121[[#This Row],[installierte Leistung MW durch]]</f>
        <v>645.23170146113375</v>
      </c>
      <c r="BU171" s="10">
        <f>Tabelle58971121[[#This Row],[Mindestauslastung min]]*Tabelle58971121[[#This Row],[installierte Leistung MW min]]</f>
        <v>404.62139333722968</v>
      </c>
      <c r="BV171" s="18">
        <f>Tabelle58971121[[#This Row],[Mindestauslastung max]]*Tabelle58971121[[#This Row],[installierte Leistung MW max]]</f>
        <v>937.24699661016939</v>
      </c>
      <c r="BW171" s="8">
        <v>0.38700847122539206</v>
      </c>
      <c r="BX171" s="8">
        <v>0.28683185755880131</v>
      </c>
      <c r="BY171" s="8">
        <v>0.48718508489198287</v>
      </c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41">
        <v>0.86</v>
      </c>
      <c r="DC171" s="41">
        <v>0.83</v>
      </c>
      <c r="DD171" s="41">
        <v>0.89</v>
      </c>
      <c r="DE171" s="10">
        <f>Tabelle58971121[[#This Row],[Durchschnittsauslastung min]]*Tabelle58971121[[#This Row],[installierte Leistung MW min]]</f>
        <v>1213.1650969023963</v>
      </c>
      <c r="DF171" s="10">
        <f>Tabelle58971121[[#This Row],[Durchschnittsauslastung durch]]*Tabelle58971121[[#This Row],[installierte Leistung MW durch]]</f>
        <v>1383.7999734658094</v>
      </c>
      <c r="DG171" s="48">
        <f>Tabelle58971121[[#This Row],[Durchschnittsauslastung max]]*Tabelle58971121[[#This Row],[installierte Leistung MW max]]</f>
        <v>1712.1826033898305</v>
      </c>
      <c r="DH171" s="87">
        <f>Tabelle58971121[[#This Row],[Maximalauslastung durch]]*Tabelle58971121[[#This Row],[installierte Leistung MW min]]</f>
        <v>1340.1242349503211</v>
      </c>
      <c r="DI171" s="48">
        <f>Tabelle58971121[[#This Row],[Maximalauslastung durch]]*Tabelle58971121[[#This Row],[installierte Leistung MW durch]]</f>
        <v>1583.8674395090588</v>
      </c>
      <c r="DJ171" s="10">
        <f>Tabelle58971121[[#This Row],[Maximalauslastung max]]*Tabelle58971121[[#This Row],[installierte Leistung MW durch]]</f>
        <v>1600.5397283459965</v>
      </c>
      <c r="DK171" s="8">
        <v>0.94999999999999984</v>
      </c>
      <c r="DL171" s="8">
        <v>0.94000000000000017</v>
      </c>
      <c r="DM171" s="8">
        <v>0.96</v>
      </c>
      <c r="DN171" s="10">
        <v>1667.2288836937464</v>
      </c>
      <c r="DO171" s="10">
        <v>1410.657089421391</v>
      </c>
      <c r="DP171" s="10">
        <v>1923.8006779661016</v>
      </c>
      <c r="DQ171" s="1">
        <v>0.2390560369962097</v>
      </c>
      <c r="DR171" s="1">
        <v>0</v>
      </c>
      <c r="DS171" s="53">
        <v>1</v>
      </c>
      <c r="DT171" s="1">
        <v>8.9386535304760414E-2</v>
      </c>
      <c r="DU171" s="1">
        <v>0</v>
      </c>
      <c r="DV171" s="53">
        <v>0.25</v>
      </c>
      <c r="DW171" s="1">
        <v>7.7072814196192141</v>
      </c>
      <c r="DX171" s="1">
        <v>4.8</v>
      </c>
      <c r="DY171" s="53">
        <v>8.8000000000000007</v>
      </c>
      <c r="DZ171" s="1">
        <v>3.7682766388286462</v>
      </c>
      <c r="EA171" s="1">
        <v>2.4</v>
      </c>
      <c r="EB171" s="53">
        <v>4.3</v>
      </c>
      <c r="EC171" s="1">
        <v>11.460922129428823</v>
      </c>
      <c r="ED171" s="1">
        <v>4.4830641602682899</v>
      </c>
      <c r="EE171" s="53">
        <v>4.4571409002180333</v>
      </c>
      <c r="EF171" s="1">
        <v>4.4694592554427919</v>
      </c>
      <c r="EG171" s="1">
        <v>2.4</v>
      </c>
      <c r="EH171" s="53">
        <v>5.8</v>
      </c>
      <c r="EJ171" s="1" t="s">
        <v>641</v>
      </c>
      <c r="EL171" s="1">
        <v>47.5</v>
      </c>
      <c r="EM171" s="1">
        <v>35</v>
      </c>
      <c r="EN171" s="1">
        <v>60</v>
      </c>
      <c r="EO171" s="1">
        <v>0</v>
      </c>
      <c r="EP171" s="1">
        <v>0</v>
      </c>
      <c r="EQ171" s="1">
        <v>0</v>
      </c>
      <c r="ER171" s="1">
        <v>117.5</v>
      </c>
      <c r="ES171" s="1">
        <v>60</v>
      </c>
      <c r="ET171" s="1">
        <v>175</v>
      </c>
      <c r="EU171" s="1">
        <v>0.20352941176470588</v>
      </c>
      <c r="EV171" s="18">
        <v>0</v>
      </c>
      <c r="EW171" s="18">
        <v>0.40705882352941175</v>
      </c>
      <c r="EX171" s="18">
        <v>152.64705882352939</v>
      </c>
      <c r="EY171" s="7">
        <v>101.76470588235293</v>
      </c>
      <c r="EZ171" s="7">
        <v>203.52941176470586</v>
      </c>
      <c r="FA171" s="7">
        <v>260.51764705882351</v>
      </c>
      <c r="FB171" s="7">
        <v>227.95294117647057</v>
      </c>
      <c r="FC171" s="7">
        <v>293.08235294117645</v>
      </c>
      <c r="FD171" s="7">
        <v>25.441176470588232</v>
      </c>
      <c r="FE171" s="7">
        <v>15.26470588235294</v>
      </c>
      <c r="FF171" s="7">
        <v>35.617647058823529</v>
      </c>
      <c r="FG171" s="7">
        <v>485.41764705882349</v>
      </c>
      <c r="FH171" s="7">
        <v>281.88823529411764</v>
      </c>
      <c r="FI171" s="7">
        <v>688.94705882352935</v>
      </c>
      <c r="FJ171" s="7">
        <v>0.10176470588235294</v>
      </c>
      <c r="FK171" s="7">
        <v>0</v>
      </c>
      <c r="FL171" s="7">
        <v>0.30529411764705883</v>
      </c>
      <c r="FO171" s="1">
        <v>220</v>
      </c>
      <c r="FP171" s="1">
        <v>220</v>
      </c>
      <c r="FR171" s="12" t="s">
        <v>638</v>
      </c>
      <c r="FS171" s="1" t="s">
        <v>638</v>
      </c>
      <c r="FT171" s="12">
        <v>182</v>
      </c>
      <c r="FU171" s="12"/>
      <c r="FV171" s="12">
        <v>182</v>
      </c>
      <c r="FW171" s="12">
        <v>182</v>
      </c>
      <c r="FX171" s="1">
        <v>182</v>
      </c>
      <c r="FY171" s="12" t="s">
        <v>637</v>
      </c>
      <c r="FZ171" s="12" t="s">
        <v>636</v>
      </c>
      <c r="GA171" s="1">
        <v>202</v>
      </c>
      <c r="GB171" s="1">
        <v>202</v>
      </c>
      <c r="GD171" s="1" t="s">
        <v>640</v>
      </c>
      <c r="GE171" s="1">
        <v>211</v>
      </c>
      <c r="GF171" s="1">
        <v>214</v>
      </c>
      <c r="GG171" s="1">
        <v>220</v>
      </c>
      <c r="GH171" s="1">
        <v>214</v>
      </c>
      <c r="GK171" s="1" t="s">
        <v>639</v>
      </c>
    </row>
    <row r="172" spans="1:193" ht="12.75" customHeight="1" x14ac:dyDescent="0.2">
      <c r="A172" s="1" t="s">
        <v>29</v>
      </c>
      <c r="D172" s="1" t="s">
        <v>29</v>
      </c>
      <c r="E172" s="1" t="s">
        <v>129</v>
      </c>
      <c r="F172" s="1">
        <v>1</v>
      </c>
      <c r="G172" s="1">
        <v>2025</v>
      </c>
      <c r="H172" s="1">
        <v>1</v>
      </c>
      <c r="I172" s="1">
        <v>1</v>
      </c>
      <c r="J172" s="1">
        <v>0</v>
      </c>
      <c r="K172" s="10">
        <v>776.74853987737629</v>
      </c>
      <c r="L172" s="10">
        <v>455.73069313838687</v>
      </c>
      <c r="M172" s="10">
        <v>1097.7663866163659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8"/>
      <c r="BQ172" s="10">
        <v>147.13317975537018</v>
      </c>
      <c r="BR172" s="10">
        <v>64.967897554319293</v>
      </c>
      <c r="BS172" s="10">
        <v>229.29846195642108</v>
      </c>
      <c r="BT172" s="10">
        <f>Tabelle58971121[[#This Row],[Mindestauslastung durch]]*Tabelle58971121[[#This Row],[installierte Leistung MW durch]]</f>
        <v>626.03197042665101</v>
      </c>
      <c r="BU172" s="10">
        <f>Tabelle58971121[[#This Row],[Mindestauslastung min]]*Tabelle58971121[[#This Row],[installierte Leistung MW min]]</f>
        <v>392.59618351841038</v>
      </c>
      <c r="BV172" s="18">
        <f>Tabelle58971121[[#This Row],[Mindestauslastung max]]*Tabelle58971121[[#This Row],[installierte Leistung MW max]]</f>
        <v>909.33772203389822</v>
      </c>
      <c r="BW172" s="8">
        <v>0.38698967022518038</v>
      </c>
      <c r="BX172" s="8">
        <v>0.28682876530479939</v>
      </c>
      <c r="BY172" s="8">
        <v>0.48715057514556148</v>
      </c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41">
        <v>0.85999999999999988</v>
      </c>
      <c r="DC172" s="41">
        <v>0.83</v>
      </c>
      <c r="DD172" s="41">
        <v>0.89</v>
      </c>
      <c r="DE172" s="10">
        <f>Tabelle58971121[[#This Row],[Durchschnittsauslastung min]]*Tabelle58971121[[#This Row],[installierte Leistung MW min]]</f>
        <v>1177.1229341905319</v>
      </c>
      <c r="DF172" s="10">
        <f>Tabelle58971121[[#This Row],[Durchschnittsauslastung durch]]*Tabelle58971121[[#This Row],[installierte Leistung MW durch]]</f>
        <v>1342.6883853302161</v>
      </c>
      <c r="DG172" s="48">
        <f>Tabelle58971121[[#This Row],[Durchschnittsauslastung max]]*Tabelle58971121[[#This Row],[installierte Leistung MW max]]</f>
        <v>1661.3150305084746</v>
      </c>
      <c r="DH172" s="87">
        <f>Tabelle58971121[[#This Row],[Maximalauslastung durch]]*Tabelle58971121[[#This Row],[installierte Leistung MW min]]</f>
        <v>1300.310218001169</v>
      </c>
      <c r="DI172" s="48">
        <f>Tabelle58971121[[#This Row],[Maximalauslastung durch]]*Tabelle58971121[[#This Row],[installierte Leistung MW durch]]</f>
        <v>1536.8120073056691</v>
      </c>
      <c r="DJ172" s="10">
        <f>Tabelle58971121[[#This Row],[Maximalauslastung max]]*Tabelle58971121[[#This Row],[installierte Leistung MW durch]]</f>
        <v>1552.9889758036236</v>
      </c>
      <c r="DK172" s="8">
        <v>0.95</v>
      </c>
      <c r="DL172" s="8">
        <v>0.94</v>
      </c>
      <c r="DM172" s="8">
        <v>0.96</v>
      </c>
      <c r="DN172" s="10">
        <v>1617.6968497954413</v>
      </c>
      <c r="DO172" s="10">
        <v>1368.7475978959674</v>
      </c>
      <c r="DP172" s="10">
        <v>1866.6461016949152</v>
      </c>
      <c r="DQ172" s="1">
        <v>0.23907335138316899</v>
      </c>
      <c r="DR172" s="1">
        <v>0</v>
      </c>
      <c r="DS172" s="53">
        <v>1</v>
      </c>
      <c r="DT172" s="1">
        <v>8.9392817112149775E-2</v>
      </c>
      <c r="DU172" s="1">
        <v>0</v>
      </c>
      <c r="DV172" s="53">
        <v>0.25</v>
      </c>
      <c r="DW172" s="1">
        <v>7.7072468958193134</v>
      </c>
      <c r="DX172" s="1">
        <v>4.8</v>
      </c>
      <c r="DY172" s="53">
        <v>8.8000000000000007</v>
      </c>
      <c r="DZ172" s="1">
        <v>3.7682611031186908</v>
      </c>
      <c r="EA172" s="1">
        <v>2.4</v>
      </c>
      <c r="EB172" s="53">
        <v>4.3</v>
      </c>
      <c r="EC172" s="1">
        <v>11.460870343728969</v>
      </c>
      <c r="ED172" s="1">
        <v>4.4830051389331036</v>
      </c>
      <c r="EE172" s="53">
        <v>4.4570746198417606</v>
      </c>
      <c r="EF172" s="1">
        <v>4.4693965756765603</v>
      </c>
      <c r="EG172" s="1">
        <v>2.4</v>
      </c>
      <c r="EH172" s="53">
        <v>5.8</v>
      </c>
      <c r="EJ172" s="1" t="s">
        <v>641</v>
      </c>
      <c r="EL172" s="1">
        <v>47.5</v>
      </c>
      <c r="EM172" s="1">
        <v>35</v>
      </c>
      <c r="EN172" s="1">
        <v>60</v>
      </c>
      <c r="EO172" s="1">
        <v>0</v>
      </c>
      <c r="EP172" s="1">
        <v>0</v>
      </c>
      <c r="EQ172" s="1">
        <v>0</v>
      </c>
      <c r="ER172" s="1">
        <v>117.5</v>
      </c>
      <c r="ES172" s="1">
        <v>60</v>
      </c>
      <c r="ET172" s="1">
        <v>175</v>
      </c>
      <c r="EU172" s="1">
        <v>0.20352941176470588</v>
      </c>
      <c r="EV172" s="18">
        <v>0</v>
      </c>
      <c r="EW172" s="18">
        <v>0.40705882352941175</v>
      </c>
      <c r="EX172" s="18">
        <v>152.64705882352939</v>
      </c>
      <c r="EY172" s="7">
        <v>101.76470588235293</v>
      </c>
      <c r="EZ172" s="7">
        <v>203.52941176470586</v>
      </c>
      <c r="FA172" s="7">
        <v>260.51764705882351</v>
      </c>
      <c r="FB172" s="7">
        <v>227.95294117647057</v>
      </c>
      <c r="FC172" s="7">
        <v>293.08235294117645</v>
      </c>
      <c r="FD172" s="7">
        <v>25.441176470588232</v>
      </c>
      <c r="FE172" s="7">
        <v>15.26470588235294</v>
      </c>
      <c r="FF172" s="7">
        <v>35.617647058823529</v>
      </c>
      <c r="FG172" s="7">
        <v>485.41764705882349</v>
      </c>
      <c r="FH172" s="7">
        <v>281.88823529411764</v>
      </c>
      <c r="FI172" s="7">
        <v>688.94705882352935</v>
      </c>
      <c r="FJ172" s="7">
        <v>0.10176470588235294</v>
      </c>
      <c r="FK172" s="7">
        <v>0</v>
      </c>
      <c r="FL172" s="7">
        <v>0.30529411764705883</v>
      </c>
      <c r="FO172" s="1">
        <v>220</v>
      </c>
      <c r="FP172" s="1">
        <v>220</v>
      </c>
      <c r="FR172" s="12" t="s">
        <v>638</v>
      </c>
      <c r="FS172" s="1" t="s">
        <v>638</v>
      </c>
      <c r="FT172" s="12">
        <v>182</v>
      </c>
      <c r="FU172" s="12"/>
      <c r="FV172" s="12">
        <v>182</v>
      </c>
      <c r="FW172" s="12">
        <v>182</v>
      </c>
      <c r="FX172" s="1">
        <v>182</v>
      </c>
      <c r="FY172" s="12" t="s">
        <v>637</v>
      </c>
      <c r="FZ172" s="12" t="s">
        <v>636</v>
      </c>
      <c r="GA172" s="1">
        <v>202</v>
      </c>
      <c r="GB172" s="1">
        <v>202</v>
      </c>
      <c r="GD172" s="1" t="s">
        <v>640</v>
      </c>
      <c r="GE172" s="1">
        <v>211</v>
      </c>
      <c r="GF172" s="1">
        <v>214</v>
      </c>
      <c r="GG172" s="1">
        <v>220</v>
      </c>
      <c r="GH172" s="1">
        <v>214</v>
      </c>
      <c r="GK172" s="1" t="s">
        <v>639</v>
      </c>
    </row>
    <row r="173" spans="1:193" ht="12.75" customHeight="1" x14ac:dyDescent="0.2">
      <c r="A173" s="1" t="s">
        <v>29</v>
      </c>
      <c r="D173" s="1" t="s">
        <v>29</v>
      </c>
      <c r="E173" s="1" t="s">
        <v>129</v>
      </c>
      <c r="F173" s="1">
        <v>1</v>
      </c>
      <c r="G173" s="1">
        <v>2030</v>
      </c>
      <c r="H173" s="1">
        <v>1</v>
      </c>
      <c r="I173" s="1">
        <v>1</v>
      </c>
      <c r="J173" s="1">
        <v>0</v>
      </c>
      <c r="K173" s="10">
        <v>744.88634912968723</v>
      </c>
      <c r="L173" s="10">
        <v>437.03664026428146</v>
      </c>
      <c r="M173" s="10">
        <v>1052.7360579950932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8"/>
      <c r="BQ173" s="10">
        <v>141.09778322997767</v>
      </c>
      <c r="BR173" s="10">
        <v>62.302917270379744</v>
      </c>
      <c r="BS173" s="10">
        <v>219.89264918957562</v>
      </c>
      <c r="BT173" s="10">
        <f>Tabelle58971121[[#This Row],[Mindestauslastung durch]]*Tabelle58971121[[#This Row],[installierte Leistung MW durch]]</f>
        <v>600.25853243717131</v>
      </c>
      <c r="BU173" s="10">
        <f>Tabelle58971121[[#This Row],[Mindestauslastung min]]*Tabelle58971121[[#This Row],[installierte Leistung MW min]]</f>
        <v>376.46453652834595</v>
      </c>
      <c r="BV173" s="18">
        <f>Tabelle58971121[[#This Row],[Mindestauslastung max]]*Tabelle58971121[[#This Row],[installierte Leistung MW max]]</f>
        <v>871.85796610169496</v>
      </c>
      <c r="BW173" s="8">
        <v>0.38699521537262782</v>
      </c>
      <c r="BX173" s="8">
        <v>0.28685676384032349</v>
      </c>
      <c r="BY173" s="8">
        <v>0.48713366690493215</v>
      </c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41">
        <v>0.86</v>
      </c>
      <c r="DC173" s="41">
        <v>0.83</v>
      </c>
      <c r="DD173" s="41">
        <v>0.89000000000000012</v>
      </c>
      <c r="DE173" s="10">
        <f>Tabelle58971121[[#This Row],[Durchschnittsauslastung min]]*Tabelle58971121[[#This Row],[installierte Leistung MW min]]</f>
        <v>1128.6451714786674</v>
      </c>
      <c r="DF173" s="10">
        <f>Tabelle58971121[[#This Row],[Durchschnittsauslastung durch]]*Tabelle58971121[[#This Row],[installierte Leistung MW durch]]</f>
        <v>1287.3920971946229</v>
      </c>
      <c r="DG173" s="48">
        <f>Tabelle58971121[[#This Row],[Durchschnittsauslastung max]]*Tabelle58971121[[#This Row],[installierte Leistung MW max]]</f>
        <v>1592.8966576271187</v>
      </c>
      <c r="DH173" s="87">
        <f>Tabelle58971121[[#This Row],[Maximalauslastung durch]]*Tabelle58971121[[#This Row],[installierte Leistung MW min]]</f>
        <v>1246.7592010520164</v>
      </c>
      <c r="DI173" s="48">
        <f>Tabelle58971121[[#This Row],[Maximalauslastung durch]]*Tabelle58971121[[#This Row],[installierte Leistung MW durch]]</f>
        <v>1473.5210751022794</v>
      </c>
      <c r="DJ173" s="10">
        <f>Tabelle58971121[[#This Row],[Maximalauslastung max]]*Tabelle58971121[[#This Row],[installierte Leistung MW durch]]</f>
        <v>1489.0318232612508</v>
      </c>
      <c r="DK173" s="8">
        <v>0.95</v>
      </c>
      <c r="DL173" s="8">
        <v>0.94</v>
      </c>
      <c r="DM173" s="8">
        <v>0.96</v>
      </c>
      <c r="DN173" s="10">
        <v>1551.0748158971362</v>
      </c>
      <c r="DO173" s="10">
        <v>1312.3781063705435</v>
      </c>
      <c r="DP173" s="10">
        <v>1789.7715254237287</v>
      </c>
      <c r="DQ173" s="1">
        <v>0.23909122408684597</v>
      </c>
      <c r="DR173" s="1">
        <v>0</v>
      </c>
      <c r="DS173" s="53">
        <v>1</v>
      </c>
      <c r="DT173" s="1">
        <v>8.9399301481610266E-2</v>
      </c>
      <c r="DU173" s="1">
        <v>0</v>
      </c>
      <c r="DV173" s="53">
        <v>0.25</v>
      </c>
      <c r="DW173" s="1">
        <v>7.7078350688071913</v>
      </c>
      <c r="DX173" s="1">
        <v>4.8</v>
      </c>
      <c r="DY173" s="53">
        <v>8.8000000000000007</v>
      </c>
      <c r="DZ173" s="1">
        <v>3.7685257809632366</v>
      </c>
      <c r="EA173" s="1">
        <v>2.4</v>
      </c>
      <c r="EB173" s="53">
        <v>4.3</v>
      </c>
      <c r="EC173" s="1">
        <v>11.461752603210787</v>
      </c>
      <c r="ED173" s="1">
        <v>4.4832923416739501</v>
      </c>
      <c r="EE173" s="53">
        <v>4.4574033511875175</v>
      </c>
      <c r="EF173" s="1">
        <v>4.4697061607712065</v>
      </c>
      <c r="EG173" s="1">
        <v>2.4</v>
      </c>
      <c r="EH173" s="53">
        <v>5.8</v>
      </c>
      <c r="EJ173" s="1" t="s">
        <v>641</v>
      </c>
      <c r="EL173" s="1">
        <v>47.5</v>
      </c>
      <c r="EM173" s="1">
        <v>35</v>
      </c>
      <c r="EN173" s="1">
        <v>60</v>
      </c>
      <c r="EO173" s="1">
        <v>0</v>
      </c>
      <c r="EP173" s="1">
        <v>0</v>
      </c>
      <c r="EQ173" s="1">
        <v>0</v>
      </c>
      <c r="ER173" s="1">
        <v>117.5</v>
      </c>
      <c r="ES173" s="1">
        <v>60</v>
      </c>
      <c r="ET173" s="1">
        <v>175</v>
      </c>
      <c r="EU173" s="1">
        <v>0.20352941176470588</v>
      </c>
      <c r="EV173" s="18">
        <v>0</v>
      </c>
      <c r="EW173" s="18">
        <v>0.40705882352941175</v>
      </c>
      <c r="EX173" s="18">
        <v>152.64705882352939</v>
      </c>
      <c r="EY173" s="7">
        <v>101.76470588235293</v>
      </c>
      <c r="EZ173" s="7">
        <v>203.52941176470586</v>
      </c>
      <c r="FA173" s="7">
        <v>260.51764705882351</v>
      </c>
      <c r="FB173" s="7">
        <v>227.95294117647057</v>
      </c>
      <c r="FC173" s="7">
        <v>293.08235294117645</v>
      </c>
      <c r="FD173" s="7">
        <v>25.441176470588232</v>
      </c>
      <c r="FE173" s="7">
        <v>15.26470588235294</v>
      </c>
      <c r="FF173" s="7">
        <v>35.617647058823529</v>
      </c>
      <c r="FG173" s="7">
        <v>485.41764705882349</v>
      </c>
      <c r="FH173" s="7">
        <v>281.88823529411764</v>
      </c>
      <c r="FI173" s="7">
        <v>688.94705882352935</v>
      </c>
      <c r="FJ173" s="7">
        <v>0.10176470588235294</v>
      </c>
      <c r="FK173" s="7">
        <v>0</v>
      </c>
      <c r="FL173" s="7">
        <v>0.30529411764705883</v>
      </c>
      <c r="FO173" s="1">
        <v>220</v>
      </c>
      <c r="FP173" s="1">
        <v>220</v>
      </c>
      <c r="FR173" s="12" t="s">
        <v>638</v>
      </c>
      <c r="FS173" s="1" t="s">
        <v>638</v>
      </c>
      <c r="FT173" s="12">
        <v>182</v>
      </c>
      <c r="FU173" s="12"/>
      <c r="FV173" s="12">
        <v>182</v>
      </c>
      <c r="FW173" s="12">
        <v>182</v>
      </c>
      <c r="FX173" s="1">
        <v>182</v>
      </c>
      <c r="FY173" s="12" t="s">
        <v>637</v>
      </c>
      <c r="FZ173" s="12" t="s">
        <v>636</v>
      </c>
      <c r="GA173" s="1">
        <v>202</v>
      </c>
      <c r="GB173" s="1">
        <v>202</v>
      </c>
      <c r="GD173" s="1" t="s">
        <v>640</v>
      </c>
      <c r="GE173" s="1">
        <v>211</v>
      </c>
      <c r="GF173" s="1">
        <v>214</v>
      </c>
      <c r="GG173" s="1">
        <v>220</v>
      </c>
      <c r="GH173" s="1">
        <v>214</v>
      </c>
      <c r="GK173" s="1" t="s">
        <v>639</v>
      </c>
    </row>
    <row r="174" spans="1:193" ht="12.75" customHeight="1" x14ac:dyDescent="0.2">
      <c r="A174" s="1" t="s">
        <v>29</v>
      </c>
      <c r="D174" s="1" t="s">
        <v>29</v>
      </c>
      <c r="E174" s="1" t="s">
        <v>129</v>
      </c>
      <c r="F174" s="1">
        <v>1</v>
      </c>
      <c r="G174" s="1">
        <v>2035</v>
      </c>
      <c r="H174" s="1">
        <v>1</v>
      </c>
      <c r="I174" s="1">
        <v>1</v>
      </c>
      <c r="J174" s="1">
        <v>0</v>
      </c>
      <c r="K174" s="10">
        <v>713.02609255882487</v>
      </c>
      <c r="L174" s="10">
        <v>418.34372220241022</v>
      </c>
      <c r="M174" s="10">
        <v>1007.7084629152399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8"/>
      <c r="BQ174" s="10">
        <v>135.06275308002341</v>
      </c>
      <c r="BR174" s="10">
        <v>59.638098762607747</v>
      </c>
      <c r="BS174" s="10">
        <v>210.48740739743914</v>
      </c>
      <c r="BT174" s="10">
        <f>Tabelle58971121[[#This Row],[Mindestauslastung durch]]*Tabelle58971121[[#This Row],[installierte Leistung MW durch]]</f>
        <v>574.48509444769138</v>
      </c>
      <c r="BU174" s="10">
        <f>Tabelle58971121[[#This Row],[Mindestauslastung min]]*Tabelle58971121[[#This Row],[installierte Leistung MW min]]</f>
        <v>360.33288953828168</v>
      </c>
      <c r="BV174" s="18">
        <f>Tabelle58971121[[#This Row],[Mindestauslastung max]]*Tabelle58971121[[#This Row],[installierte Leistung MW max]]</f>
        <v>834.37821016949147</v>
      </c>
      <c r="BW174" s="8">
        <v>0.38700125825096388</v>
      </c>
      <c r="BX174" s="8">
        <v>0.28688727551658944</v>
      </c>
      <c r="BY174" s="8">
        <v>0.48711524098533837</v>
      </c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41">
        <v>0.86</v>
      </c>
      <c r="DC174" s="41">
        <v>0.83</v>
      </c>
      <c r="DD174" s="41">
        <v>0.89</v>
      </c>
      <c r="DE174" s="10">
        <f>Tabelle58971121[[#This Row],[Durchschnittsauslastung min]]*Tabelle58971121[[#This Row],[installierte Leistung MW min]]</f>
        <v>1080.1674087668027</v>
      </c>
      <c r="DF174" s="10">
        <f>Tabelle58971121[[#This Row],[Durchschnittsauslastung durch]]*Tabelle58971121[[#This Row],[installierte Leistung MW durch]]</f>
        <v>1232.0958090590298</v>
      </c>
      <c r="DG174" s="48">
        <f>Tabelle58971121[[#This Row],[Durchschnittsauslastung max]]*Tabelle58971121[[#This Row],[installierte Leistung MW max]]</f>
        <v>1524.4782847457625</v>
      </c>
      <c r="DH174" s="87">
        <f>Tabelle58971121[[#This Row],[Maximalauslastung durch]]*Tabelle58971121[[#This Row],[installierte Leistung MW min]]</f>
        <v>1193.2081841028635</v>
      </c>
      <c r="DI174" s="48">
        <f>Tabelle58971121[[#This Row],[Maximalauslastung durch]]*Tabelle58971121[[#This Row],[installierte Leistung MW durch]]</f>
        <v>1410.2301428988894</v>
      </c>
      <c r="DJ174" s="10">
        <f>Tabelle58971121[[#This Row],[Maximalauslastung max]]*Tabelle58971121[[#This Row],[installierte Leistung MW durch]]</f>
        <v>1425.0746707188782</v>
      </c>
      <c r="DK174" s="8">
        <v>0.95</v>
      </c>
      <c r="DL174" s="8">
        <v>0.94000000000000028</v>
      </c>
      <c r="DM174" s="8">
        <v>0.96000000000000019</v>
      </c>
      <c r="DN174" s="10">
        <v>1484.4527819988311</v>
      </c>
      <c r="DO174" s="10">
        <v>1256.0086148451196</v>
      </c>
      <c r="DP174" s="10">
        <v>1712.8969491525422</v>
      </c>
      <c r="DQ174" s="1">
        <v>0.23911070103942145</v>
      </c>
      <c r="DR174" s="1">
        <v>0</v>
      </c>
      <c r="DS174" s="53">
        <v>1</v>
      </c>
      <c r="DT174" s="1">
        <v>8.9406367886265464E-2</v>
      </c>
      <c r="DU174" s="1">
        <v>0</v>
      </c>
      <c r="DV174" s="53">
        <v>0.25</v>
      </c>
      <c r="DW174" s="1">
        <v>7.7084760360384603</v>
      </c>
      <c r="DX174" s="1">
        <v>4.8</v>
      </c>
      <c r="DY174" s="53">
        <v>8.8000000000000007</v>
      </c>
      <c r="DZ174" s="1">
        <v>3.7688142162173071</v>
      </c>
      <c r="EA174" s="1">
        <v>2.4</v>
      </c>
      <c r="EB174" s="53">
        <v>4.3</v>
      </c>
      <c r="EC174" s="1">
        <v>11.46271405405769</v>
      </c>
      <c r="ED174" s="1">
        <v>4.4836052924061471</v>
      </c>
      <c r="EE174" s="53">
        <v>4.4577616217567755</v>
      </c>
      <c r="EF174" s="1">
        <v>4.4700435341376261</v>
      </c>
      <c r="EG174" s="1">
        <v>2.4</v>
      </c>
      <c r="EH174" s="53">
        <v>5.8</v>
      </c>
      <c r="EJ174" s="1" t="s">
        <v>641</v>
      </c>
      <c r="EL174" s="1">
        <v>47.5</v>
      </c>
      <c r="EM174" s="1">
        <v>35</v>
      </c>
      <c r="EN174" s="1">
        <v>60</v>
      </c>
      <c r="EO174" s="1">
        <v>0</v>
      </c>
      <c r="EP174" s="1">
        <v>0</v>
      </c>
      <c r="EQ174" s="1">
        <v>0</v>
      </c>
      <c r="ER174" s="1">
        <v>117.5</v>
      </c>
      <c r="ES174" s="1">
        <v>60</v>
      </c>
      <c r="ET174" s="1">
        <v>175</v>
      </c>
      <c r="EU174" s="1">
        <v>0.20352941176470588</v>
      </c>
      <c r="EV174" s="18">
        <v>0</v>
      </c>
      <c r="EW174" s="18">
        <v>0.40705882352941175</v>
      </c>
      <c r="EX174" s="18">
        <v>152.64705882352939</v>
      </c>
      <c r="EY174" s="7">
        <v>101.76470588235293</v>
      </c>
      <c r="EZ174" s="7">
        <v>203.52941176470586</v>
      </c>
      <c r="FA174" s="7">
        <v>260.51764705882351</v>
      </c>
      <c r="FB174" s="7">
        <v>227.95294117647057</v>
      </c>
      <c r="FC174" s="7">
        <v>293.08235294117645</v>
      </c>
      <c r="FD174" s="7">
        <v>25.441176470588232</v>
      </c>
      <c r="FE174" s="7">
        <v>15.26470588235294</v>
      </c>
      <c r="FF174" s="7">
        <v>35.617647058823529</v>
      </c>
      <c r="FG174" s="7">
        <v>485.41764705882349</v>
      </c>
      <c r="FH174" s="7">
        <v>281.88823529411764</v>
      </c>
      <c r="FI174" s="7">
        <v>688.94705882352935</v>
      </c>
      <c r="FJ174" s="7">
        <v>0.10176470588235294</v>
      </c>
      <c r="FK174" s="7">
        <v>0</v>
      </c>
      <c r="FL174" s="7">
        <v>0.30529411764705883</v>
      </c>
      <c r="FO174" s="1">
        <v>220</v>
      </c>
      <c r="FP174" s="1">
        <v>220</v>
      </c>
      <c r="FR174" s="12" t="s">
        <v>638</v>
      </c>
      <c r="FS174" s="1" t="s">
        <v>638</v>
      </c>
      <c r="FT174" s="12">
        <v>182</v>
      </c>
      <c r="FU174" s="12"/>
      <c r="FV174" s="12">
        <v>182</v>
      </c>
      <c r="FW174" s="12">
        <v>182</v>
      </c>
      <c r="FX174" s="1">
        <v>182</v>
      </c>
      <c r="FY174" s="12" t="s">
        <v>637</v>
      </c>
      <c r="FZ174" s="12" t="s">
        <v>636</v>
      </c>
      <c r="GA174" s="1">
        <v>202</v>
      </c>
      <c r="GB174" s="1">
        <v>202</v>
      </c>
      <c r="GD174" s="1" t="s">
        <v>640</v>
      </c>
      <c r="GE174" s="1">
        <v>211</v>
      </c>
      <c r="GF174" s="1">
        <v>214</v>
      </c>
      <c r="GG174" s="1">
        <v>220</v>
      </c>
      <c r="GH174" s="1">
        <v>214</v>
      </c>
      <c r="GK174" s="1" t="s">
        <v>639</v>
      </c>
    </row>
    <row r="175" spans="1:193" ht="12.75" customHeight="1" x14ac:dyDescent="0.2">
      <c r="A175" s="1" t="s">
        <v>29</v>
      </c>
      <c r="D175" s="1" t="s">
        <v>29</v>
      </c>
      <c r="E175" s="1" t="s">
        <v>129</v>
      </c>
      <c r="F175" s="1">
        <v>1</v>
      </c>
      <c r="G175" s="1">
        <v>2040</v>
      </c>
      <c r="H175" s="1">
        <v>1</v>
      </c>
      <c r="I175" s="1">
        <v>1</v>
      </c>
      <c r="J175" s="1">
        <v>0</v>
      </c>
      <c r="K175" s="10">
        <v>681.16804281819509</v>
      </c>
      <c r="L175" s="10">
        <v>399.65209892285253</v>
      </c>
      <c r="M175" s="10">
        <v>962.68398671353771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8"/>
      <c r="BQ175" s="10">
        <v>129.02814095203203</v>
      </c>
      <c r="BR175" s="10">
        <v>56.973464835962204</v>
      </c>
      <c r="BS175" s="10">
        <v>201.08281706810189</v>
      </c>
      <c r="BT175" s="10">
        <f>Tabelle58971121[[#This Row],[Mindestauslastung durch]]*Tabelle58971121[[#This Row],[installierte Leistung MW durch]]</f>
        <v>548.71165645821156</v>
      </c>
      <c r="BU175" s="10">
        <f>Tabelle58971121[[#This Row],[Mindestauslastung min]]*Tabelle58971121[[#This Row],[installierte Leistung MW min]]</f>
        <v>344.20124254821735</v>
      </c>
      <c r="BV175" s="18">
        <f>Tabelle58971121[[#This Row],[Mindestauslastung max]]*Tabelle58971121[[#This Row],[installierte Leistung MW max]]</f>
        <v>796.89845423728809</v>
      </c>
      <c r="BW175" s="8">
        <v>0.38700786902338163</v>
      </c>
      <c r="BX175" s="8">
        <v>0.2869206546013004</v>
      </c>
      <c r="BY175" s="8">
        <v>0.48709508344546282</v>
      </c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41">
        <v>0.85999999999999988</v>
      </c>
      <c r="DC175" s="41">
        <v>0.82999999999999985</v>
      </c>
      <c r="DD175" s="41">
        <v>0.89</v>
      </c>
      <c r="DE175" s="10">
        <f>Tabelle58971121[[#This Row],[Durchschnittsauslastung min]]*Tabelle58971121[[#This Row],[installierte Leistung MW min]]</f>
        <v>1031.6896460549385</v>
      </c>
      <c r="DF175" s="10">
        <f>Tabelle58971121[[#This Row],[Durchschnittsauslastung durch]]*Tabelle58971121[[#This Row],[installierte Leistung MW durch]]</f>
        <v>1176.7995209234364</v>
      </c>
      <c r="DG175" s="48">
        <f>Tabelle58971121[[#This Row],[Durchschnittsauslastung max]]*Tabelle58971121[[#This Row],[installierte Leistung MW max]]</f>
        <v>1456.0599118644066</v>
      </c>
      <c r="DH175" s="87">
        <f>Tabelle58971121[[#This Row],[Maximalauslastung durch]]*Tabelle58971121[[#This Row],[installierte Leistung MW min]]</f>
        <v>1139.6571671537113</v>
      </c>
      <c r="DI175" s="48">
        <f>Tabelle58971121[[#This Row],[Maximalauslastung durch]]*Tabelle58971121[[#This Row],[installierte Leistung MW durch]]</f>
        <v>1346.9392106954995</v>
      </c>
      <c r="DJ175" s="10">
        <f>Tabelle58971121[[#This Row],[Maximalauslastung max]]*Tabelle58971121[[#This Row],[installierte Leistung MW durch]]</f>
        <v>1361.117518176505</v>
      </c>
      <c r="DK175" s="8">
        <v>0.94999999999999984</v>
      </c>
      <c r="DL175" s="8">
        <v>0.94</v>
      </c>
      <c r="DM175" s="8">
        <v>0.96</v>
      </c>
      <c r="DN175" s="10">
        <v>1417.8307481005261</v>
      </c>
      <c r="DO175" s="10">
        <v>1199.6391233196962</v>
      </c>
      <c r="DP175" s="10">
        <v>1636.0223728813557</v>
      </c>
      <c r="DQ175" s="1">
        <v>0.23913200838564083</v>
      </c>
      <c r="DR175" s="1">
        <v>0</v>
      </c>
      <c r="DS175" s="53">
        <v>1</v>
      </c>
      <c r="DT175" s="1">
        <v>8.9414098373359438E-2</v>
      </c>
      <c r="DU175" s="1">
        <v>0</v>
      </c>
      <c r="DV175" s="53">
        <v>0.25</v>
      </c>
      <c r="DW175" s="1">
        <v>7.7091772397128544</v>
      </c>
      <c r="DX175" s="1">
        <v>4.8</v>
      </c>
      <c r="DY175" s="53">
        <v>8.8000000000000007</v>
      </c>
      <c r="DZ175" s="1">
        <v>3.7691297578707843</v>
      </c>
      <c r="EA175" s="1">
        <v>2.4</v>
      </c>
      <c r="EB175" s="53">
        <v>4.3</v>
      </c>
      <c r="EC175" s="1">
        <v>11.46376585956928</v>
      </c>
      <c r="ED175" s="1">
        <v>4.4839476161183454</v>
      </c>
      <c r="EE175" s="53">
        <v>4.4581536003651712</v>
      </c>
      <c r="EF175" s="1">
        <v>4.4704126129807182</v>
      </c>
      <c r="EG175" s="1">
        <v>2.4</v>
      </c>
      <c r="EH175" s="53">
        <v>5.8</v>
      </c>
      <c r="EJ175" s="1" t="s">
        <v>641</v>
      </c>
      <c r="EL175" s="1">
        <v>47.5</v>
      </c>
      <c r="EM175" s="1">
        <v>35</v>
      </c>
      <c r="EN175" s="1">
        <v>60</v>
      </c>
      <c r="EO175" s="1">
        <v>0</v>
      </c>
      <c r="EP175" s="1">
        <v>0</v>
      </c>
      <c r="EQ175" s="1">
        <v>0</v>
      </c>
      <c r="ER175" s="1">
        <v>117.5</v>
      </c>
      <c r="ES175" s="1">
        <v>60</v>
      </c>
      <c r="ET175" s="1">
        <v>175</v>
      </c>
      <c r="EU175" s="1">
        <v>0.20352941176470588</v>
      </c>
      <c r="EV175" s="18">
        <v>0</v>
      </c>
      <c r="EW175" s="18">
        <v>0.40705882352941175</v>
      </c>
      <c r="EX175" s="18">
        <v>152.64705882352939</v>
      </c>
      <c r="EY175" s="7">
        <v>101.76470588235293</v>
      </c>
      <c r="EZ175" s="7">
        <v>203.52941176470586</v>
      </c>
      <c r="FA175" s="7">
        <v>260.51764705882351</v>
      </c>
      <c r="FB175" s="7">
        <v>227.95294117647057</v>
      </c>
      <c r="FC175" s="7">
        <v>293.08235294117645</v>
      </c>
      <c r="FD175" s="7">
        <v>25.441176470588232</v>
      </c>
      <c r="FE175" s="7">
        <v>15.26470588235294</v>
      </c>
      <c r="FF175" s="7">
        <v>35.617647058823529</v>
      </c>
      <c r="FG175" s="7">
        <v>485.41764705882349</v>
      </c>
      <c r="FH175" s="7">
        <v>281.88823529411764</v>
      </c>
      <c r="FI175" s="7">
        <v>688.94705882352935</v>
      </c>
      <c r="FJ175" s="7">
        <v>0.10176470588235294</v>
      </c>
      <c r="FK175" s="7">
        <v>0</v>
      </c>
      <c r="FL175" s="7">
        <v>0.30529411764705883</v>
      </c>
      <c r="FO175" s="1">
        <v>220</v>
      </c>
      <c r="FP175" s="1">
        <v>220</v>
      </c>
      <c r="FR175" s="12" t="s">
        <v>638</v>
      </c>
      <c r="FS175" s="1" t="s">
        <v>638</v>
      </c>
      <c r="FT175" s="12">
        <v>182</v>
      </c>
      <c r="FU175" s="12"/>
      <c r="FV175" s="12">
        <v>182</v>
      </c>
      <c r="FW175" s="12">
        <v>182</v>
      </c>
      <c r="FX175" s="1">
        <v>182</v>
      </c>
      <c r="FY175" s="12" t="s">
        <v>637</v>
      </c>
      <c r="FZ175" s="12" t="s">
        <v>636</v>
      </c>
      <c r="GA175" s="1">
        <v>202</v>
      </c>
      <c r="GB175" s="1">
        <v>202</v>
      </c>
      <c r="GD175" s="1" t="s">
        <v>640</v>
      </c>
      <c r="GE175" s="1">
        <v>211</v>
      </c>
      <c r="GF175" s="1">
        <v>214</v>
      </c>
      <c r="GG175" s="1">
        <v>220</v>
      </c>
      <c r="GH175" s="1">
        <v>214</v>
      </c>
      <c r="GK175" s="1" t="s">
        <v>639</v>
      </c>
    </row>
    <row r="176" spans="1:193" ht="12.75" customHeight="1" x14ac:dyDescent="0.2">
      <c r="A176" s="1" t="s">
        <v>29</v>
      </c>
      <c r="D176" s="1" t="s">
        <v>29</v>
      </c>
      <c r="E176" s="1" t="s">
        <v>129</v>
      </c>
      <c r="F176" s="1">
        <v>1</v>
      </c>
      <c r="G176" s="1">
        <v>2045</v>
      </c>
      <c r="H176" s="1">
        <v>1</v>
      </c>
      <c r="I176" s="1">
        <v>1</v>
      </c>
      <c r="J176" s="1">
        <v>0</v>
      </c>
      <c r="K176" s="10">
        <v>652.06580029714189</v>
      </c>
      <c r="L176" s="10">
        <v>382.57735146585077</v>
      </c>
      <c r="M176" s="10">
        <v>921.55424912843307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8"/>
      <c r="BQ176" s="10">
        <v>123.51553904767511</v>
      </c>
      <c r="BR176" s="10">
        <v>54.539328930142247</v>
      </c>
      <c r="BS176" s="10">
        <v>192.49174916520795</v>
      </c>
      <c r="BT176" s="10">
        <f>Tabelle58971121[[#This Row],[Mindestauslastung durch]]*Tabelle58971121[[#This Row],[installierte Leistung MW durch]]</f>
        <v>525.61009164231439</v>
      </c>
      <c r="BU176" s="10">
        <f>Tabelle58971121[[#This Row],[Mindestauslastung min]]*Tabelle58971121[[#This Row],[installierte Leistung MW min]]</f>
        <v>329.56968322618354</v>
      </c>
      <c r="BV176" s="18">
        <f>Tabelle58971121[[#This Row],[Mindestauslastung max]]*Tabelle58971121[[#This Row],[installierte Leistung MW max]]</f>
        <v>763.53903728813555</v>
      </c>
      <c r="BW176" s="8">
        <v>0.38703843721039705</v>
      </c>
      <c r="BX176" s="8">
        <v>0.28682131772112796</v>
      </c>
      <c r="BY176" s="8">
        <v>0.48725555669966603</v>
      </c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41">
        <v>0.86</v>
      </c>
      <c r="DC176" s="41">
        <v>0.83</v>
      </c>
      <c r="DD176" s="41">
        <v>0.89</v>
      </c>
      <c r="DE176" s="10">
        <f>Tabelle58971121[[#This Row],[Durchschnittsauslastung min]]*Tabelle58971121[[#This Row],[installierte Leistung MW min]]</f>
        <v>988.17594810052606</v>
      </c>
      <c r="DF176" s="10">
        <f>Tabelle58971121[[#This Row],[Durchschnittsauslastung durch]]*Tabelle58971121[[#This Row],[installierte Leistung MW durch]]</f>
        <v>1127.1655063705434</v>
      </c>
      <c r="DG176" s="48">
        <f>Tabelle58971121[[#This Row],[Durchschnittsauslastung max]]*Tabelle58971121[[#This Row],[installierte Leistung MW max]]</f>
        <v>1394.6474983050848</v>
      </c>
      <c r="DH176" s="87">
        <f>Tabelle58971121[[#This Row],[Maximalauslastung durch]]*Tabelle58971121[[#This Row],[installierte Leistung MW min]]</f>
        <v>1091.5897101110463</v>
      </c>
      <c r="DI176" s="48">
        <f>Tabelle58971121[[#This Row],[Maximalauslastung durch]]*Tabelle58971121[[#This Row],[installierte Leistung MW durch]]</f>
        <v>1290.129194038574</v>
      </c>
      <c r="DJ176" s="10">
        <f>Tabelle58971121[[#This Row],[Maximalauslastung max]]*Tabelle58971121[[#This Row],[installierte Leistung MW durch]]</f>
        <v>1303.7095013442429</v>
      </c>
      <c r="DK176" s="8">
        <v>0.95000000000000018</v>
      </c>
      <c r="DL176" s="8">
        <v>0.93999999999999984</v>
      </c>
      <c r="DM176" s="8">
        <v>0.96</v>
      </c>
      <c r="DN176" s="10">
        <v>1358.0307305669198</v>
      </c>
      <c r="DO176" s="10">
        <v>1149.0418001168907</v>
      </c>
      <c r="DP176" s="10">
        <v>1567.0196610169492</v>
      </c>
      <c r="DQ176" s="1">
        <v>0.23901531749475757</v>
      </c>
      <c r="DR176" s="1">
        <v>0</v>
      </c>
      <c r="DS176" s="53">
        <v>1</v>
      </c>
      <c r="DT176" s="1">
        <v>8.9371761922040299E-2</v>
      </c>
      <c r="DU176" s="1">
        <v>0</v>
      </c>
      <c r="DV176" s="53">
        <v>0.25</v>
      </c>
      <c r="DW176" s="1">
        <v>7.7070063694267521</v>
      </c>
      <c r="DX176" s="1">
        <v>4.8</v>
      </c>
      <c r="DY176" s="53">
        <v>8.8000000000000007</v>
      </c>
      <c r="DZ176" s="1">
        <v>3.7681528662420374</v>
      </c>
      <c r="EA176" s="1">
        <v>2.4</v>
      </c>
      <c r="EB176" s="53">
        <v>4.3</v>
      </c>
      <c r="EC176" s="1">
        <v>11.460509554140128</v>
      </c>
      <c r="ED176" s="1">
        <v>4.4830041483499468</v>
      </c>
      <c r="EE176" s="53">
        <v>4.4570699851453242</v>
      </c>
      <c r="EF176" s="1">
        <v>4.4693929186096115</v>
      </c>
      <c r="EG176" s="1">
        <v>2.4</v>
      </c>
      <c r="EH176" s="53">
        <v>5.8</v>
      </c>
      <c r="EJ176" s="1" t="s">
        <v>641</v>
      </c>
      <c r="EL176" s="1">
        <v>47.5</v>
      </c>
      <c r="EM176" s="1">
        <v>35</v>
      </c>
      <c r="EN176" s="1">
        <v>60</v>
      </c>
      <c r="EO176" s="1">
        <v>0</v>
      </c>
      <c r="EP176" s="1">
        <v>0</v>
      </c>
      <c r="EQ176" s="1">
        <v>0</v>
      </c>
      <c r="ER176" s="1">
        <v>117.5</v>
      </c>
      <c r="ES176" s="1">
        <v>60</v>
      </c>
      <c r="ET176" s="1">
        <v>175</v>
      </c>
      <c r="EU176" s="1">
        <v>0.20352941176470588</v>
      </c>
      <c r="EV176" s="18">
        <v>0</v>
      </c>
      <c r="EW176" s="18">
        <v>0.40705882352941175</v>
      </c>
      <c r="EX176" s="18">
        <v>152.64705882352939</v>
      </c>
      <c r="EY176" s="7">
        <v>101.76470588235293</v>
      </c>
      <c r="EZ176" s="7">
        <v>203.52941176470586</v>
      </c>
      <c r="FA176" s="7">
        <v>260.51764705882351</v>
      </c>
      <c r="FB176" s="7">
        <v>227.95294117647057</v>
      </c>
      <c r="FC176" s="7">
        <v>293.08235294117645</v>
      </c>
      <c r="FD176" s="7">
        <v>25.441176470588232</v>
      </c>
      <c r="FE176" s="7">
        <v>15.26470588235294</v>
      </c>
      <c r="FF176" s="7">
        <v>35.617647058823529</v>
      </c>
      <c r="FG176" s="7">
        <v>485.41764705882349</v>
      </c>
      <c r="FH176" s="7">
        <v>281.88823529411764</v>
      </c>
      <c r="FI176" s="7">
        <v>688.94705882352935</v>
      </c>
      <c r="FJ176" s="7">
        <v>0.10176470588235294</v>
      </c>
      <c r="FK176" s="7">
        <v>0</v>
      </c>
      <c r="FL176" s="7">
        <v>0.30529411764705883</v>
      </c>
      <c r="FO176" s="1">
        <v>220</v>
      </c>
      <c r="FP176" s="1">
        <v>220</v>
      </c>
      <c r="FR176" s="12" t="s">
        <v>638</v>
      </c>
      <c r="FS176" s="1" t="s">
        <v>638</v>
      </c>
      <c r="FT176" s="12">
        <v>182</v>
      </c>
      <c r="FU176" s="12"/>
      <c r="FV176" s="12">
        <v>182</v>
      </c>
      <c r="FW176" s="12">
        <v>182</v>
      </c>
      <c r="FX176" s="1">
        <v>182</v>
      </c>
      <c r="FY176" s="12" t="s">
        <v>637</v>
      </c>
      <c r="FZ176" s="12" t="s">
        <v>636</v>
      </c>
      <c r="GA176" s="1">
        <v>202</v>
      </c>
      <c r="GB176" s="1">
        <v>202</v>
      </c>
      <c r="GD176" s="1" t="s">
        <v>640</v>
      </c>
      <c r="GE176" s="1">
        <v>211</v>
      </c>
      <c r="GF176" s="1">
        <v>214</v>
      </c>
      <c r="GG176" s="1">
        <v>220</v>
      </c>
      <c r="GH176" s="1">
        <v>214</v>
      </c>
      <c r="GK176" s="1" t="s">
        <v>639</v>
      </c>
    </row>
    <row r="177" spans="1:193" ht="12.75" customHeight="1" x14ac:dyDescent="0.2">
      <c r="A177" s="1" t="s">
        <v>29</v>
      </c>
      <c r="D177" s="1" t="s">
        <v>29</v>
      </c>
      <c r="E177" s="1" t="s">
        <v>129</v>
      </c>
      <c r="F177" s="1">
        <v>1</v>
      </c>
      <c r="G177" s="1">
        <v>2050</v>
      </c>
      <c r="H177" s="1">
        <v>1</v>
      </c>
      <c r="I177" s="1">
        <v>1</v>
      </c>
      <c r="J177" s="1">
        <v>0</v>
      </c>
      <c r="K177" s="10">
        <v>625.85399650558657</v>
      </c>
      <c r="L177" s="10">
        <v>367.19847027449543</v>
      </c>
      <c r="M177" s="10">
        <v>884.5095227366777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8"/>
      <c r="BQ177" s="10">
        <v>118.55044952258343</v>
      </c>
      <c r="BR177" s="10">
        <v>52.34695173724463</v>
      </c>
      <c r="BS177" s="10">
        <v>184.75394730792223</v>
      </c>
      <c r="BT177" s="10">
        <f>Tabelle58971121[[#This Row],[Mindestauslastung durch]]*Tabelle58971121[[#This Row],[installierte Leistung MW durch]]</f>
        <v>504.25987726475751</v>
      </c>
      <c r="BU177" s="10">
        <f>Tabelle58971121[[#This Row],[Mindestauslastung min]]*Tabelle58971121[[#This Row],[installierte Leistung MW min]]</f>
        <v>316.33848743424898</v>
      </c>
      <c r="BV177" s="18">
        <f>Tabelle58971121[[#This Row],[Mindestauslastung max]]*Tabelle58971121[[#This Row],[installierte Leistung MW max]]</f>
        <v>732.31159322033898</v>
      </c>
      <c r="BW177" s="8">
        <v>0.38687602495133883</v>
      </c>
      <c r="BX177" s="8">
        <v>0.28684230692598894</v>
      </c>
      <c r="BY177" s="8">
        <v>0.4869097429766886</v>
      </c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41">
        <v>0.86</v>
      </c>
      <c r="DC177" s="41">
        <v>0.83</v>
      </c>
      <c r="DD177" s="41">
        <v>0.89000000000000012</v>
      </c>
      <c r="DE177" s="10">
        <f>Tabelle58971121[[#This Row],[Durchschnittsauslastung min]]*Tabelle58971121[[#This Row],[installierte Leistung MW min]]</f>
        <v>948.43435791934542</v>
      </c>
      <c r="DF177" s="10">
        <f>Tabelle58971121[[#This Row],[Durchschnittsauslastung durch]]*Tabelle58971121[[#This Row],[installierte Leistung MW durch]]</f>
        <v>1081.8341565166568</v>
      </c>
      <c r="DG177" s="48">
        <f>Tabelle58971121[[#This Row],[Durchschnittsauslastung max]]*Tabelle58971121[[#This Row],[installierte Leistung MW max]]</f>
        <v>1338.5587932203391</v>
      </c>
      <c r="DH177" s="87">
        <f>Tabelle58971121[[#This Row],[Maximalauslastung durch]]*Tabelle58971121[[#This Row],[installierte Leistung MW min]]</f>
        <v>1047.6891163062539</v>
      </c>
      <c r="DI177" s="48">
        <f>Tabelle58971121[[#This Row],[Maximalauslastung durch]]*Tabelle58971121[[#This Row],[installierte Leistung MW durch]]</f>
        <v>1238.2439140853305</v>
      </c>
      <c r="DJ177" s="10">
        <f>Tabelle58971121[[#This Row],[Maximalauslastung max]]*Tabelle58971121[[#This Row],[installierte Leistung MW durch]]</f>
        <v>1251.2780605493863</v>
      </c>
      <c r="DK177" s="8">
        <v>0.95000000000000018</v>
      </c>
      <c r="DL177" s="8">
        <v>0.94</v>
      </c>
      <c r="DM177" s="8">
        <v>0.96</v>
      </c>
      <c r="DN177" s="10">
        <v>1303.4146464056107</v>
      </c>
      <c r="DO177" s="10">
        <v>1102.8306487434249</v>
      </c>
      <c r="DP177" s="10">
        <v>1503.9986440677965</v>
      </c>
      <c r="DQ177" s="1">
        <v>0.23920535629139186</v>
      </c>
      <c r="DR177" s="1">
        <v>0</v>
      </c>
      <c r="DS177" s="53">
        <v>1</v>
      </c>
      <c r="DT177" s="1">
        <v>8.9440709619684519E-2</v>
      </c>
      <c r="DU177" s="1">
        <v>0</v>
      </c>
      <c r="DV177" s="53">
        <v>0.25</v>
      </c>
      <c r="DW177" s="1">
        <v>7.7077260257176583</v>
      </c>
      <c r="DX177" s="1">
        <v>4.8</v>
      </c>
      <c r="DY177" s="53">
        <v>8.8000000000000007</v>
      </c>
      <c r="DZ177" s="1">
        <v>3.7684767115729461</v>
      </c>
      <c r="EA177" s="1">
        <v>2.4</v>
      </c>
      <c r="EB177" s="53">
        <v>4.3</v>
      </c>
      <c r="EC177" s="1">
        <v>11.461589038576488</v>
      </c>
      <c r="ED177" s="1">
        <v>4.4829694604792154</v>
      </c>
      <c r="EE177" s="53">
        <v>4.4570418832875749</v>
      </c>
      <c r="EF177" s="1">
        <v>4.4693641086946529</v>
      </c>
      <c r="EG177" s="1">
        <v>2.4</v>
      </c>
      <c r="EH177" s="53">
        <v>5.8</v>
      </c>
      <c r="EJ177" s="1" t="s">
        <v>641</v>
      </c>
      <c r="EL177" s="1">
        <v>47.5</v>
      </c>
      <c r="EM177" s="1">
        <v>35</v>
      </c>
      <c r="EN177" s="1">
        <v>60</v>
      </c>
      <c r="EO177" s="1">
        <v>0</v>
      </c>
      <c r="EP177" s="1">
        <v>0</v>
      </c>
      <c r="EQ177" s="1">
        <v>0</v>
      </c>
      <c r="ER177" s="1">
        <v>117.5</v>
      </c>
      <c r="ES177" s="1">
        <v>60</v>
      </c>
      <c r="ET177" s="1">
        <v>175</v>
      </c>
      <c r="EU177" s="1">
        <v>0.20352941176470588</v>
      </c>
      <c r="EV177" s="18">
        <v>0</v>
      </c>
      <c r="EW177" s="18">
        <v>0.40705882352941175</v>
      </c>
      <c r="EX177" s="18">
        <v>152.64705882352939</v>
      </c>
      <c r="EY177" s="7">
        <v>101.76470588235293</v>
      </c>
      <c r="EZ177" s="7">
        <v>203.52941176470586</v>
      </c>
      <c r="FA177" s="7">
        <v>260.51764705882351</v>
      </c>
      <c r="FB177" s="7">
        <v>227.95294117647057</v>
      </c>
      <c r="FC177" s="7">
        <v>293.08235294117645</v>
      </c>
      <c r="FD177" s="7">
        <v>25.441176470588232</v>
      </c>
      <c r="FE177" s="7">
        <v>15.26470588235294</v>
      </c>
      <c r="FF177" s="7">
        <v>35.617647058823529</v>
      </c>
      <c r="FG177" s="7">
        <v>485.41764705882349</v>
      </c>
      <c r="FH177" s="7">
        <v>281.88823529411764</v>
      </c>
      <c r="FI177" s="7">
        <v>688.94705882352935</v>
      </c>
      <c r="FJ177" s="7">
        <v>0.10176470588235294</v>
      </c>
      <c r="FK177" s="7">
        <v>0</v>
      </c>
      <c r="FL177" s="7">
        <v>0.30529411764705883</v>
      </c>
      <c r="FO177" s="1">
        <v>220</v>
      </c>
      <c r="FP177" s="1">
        <v>220</v>
      </c>
      <c r="FR177" s="12" t="s">
        <v>638</v>
      </c>
      <c r="FS177" s="1" t="s">
        <v>638</v>
      </c>
      <c r="FT177" s="12">
        <v>182</v>
      </c>
      <c r="FU177" s="12"/>
      <c r="FV177" s="12">
        <v>182</v>
      </c>
      <c r="FW177" s="12">
        <v>182</v>
      </c>
      <c r="FX177" s="1">
        <v>182</v>
      </c>
      <c r="FY177" s="12" t="s">
        <v>637</v>
      </c>
      <c r="FZ177" s="12" t="s">
        <v>636</v>
      </c>
      <c r="GA177" s="1">
        <v>202</v>
      </c>
      <c r="GB177" s="1">
        <v>202</v>
      </c>
      <c r="GD177" s="1" t="s">
        <v>640</v>
      </c>
      <c r="GE177" s="1">
        <v>211</v>
      </c>
      <c r="GF177" s="1">
        <v>214</v>
      </c>
      <c r="GG177" s="1">
        <v>220</v>
      </c>
      <c r="GH177" s="1">
        <v>214</v>
      </c>
      <c r="GK177" s="1" t="s">
        <v>639</v>
      </c>
    </row>
    <row r="178" spans="1:193" ht="12.75" customHeight="1" x14ac:dyDescent="0.2">
      <c r="A178" s="1" t="s">
        <v>84</v>
      </c>
      <c r="D178" s="1" t="s">
        <v>575</v>
      </c>
      <c r="E178" s="1" t="s">
        <v>129</v>
      </c>
      <c r="F178" s="1">
        <v>1</v>
      </c>
      <c r="G178" s="1">
        <v>2050</v>
      </c>
      <c r="H178" s="1">
        <v>1</v>
      </c>
      <c r="I178" s="1">
        <v>1</v>
      </c>
      <c r="J178" s="1">
        <v>0</v>
      </c>
      <c r="K178" s="10">
        <v>1102</v>
      </c>
      <c r="L178" s="10">
        <v>1038</v>
      </c>
      <c r="M178" s="10">
        <v>1166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8"/>
      <c r="BQ178" s="10">
        <v>127</v>
      </c>
      <c r="BR178" s="10">
        <v>0</v>
      </c>
      <c r="BS178" s="10">
        <v>254</v>
      </c>
      <c r="BT178" s="10">
        <f>Tabelle58971121[[#This Row],[Mindestauslastung durch]]*Tabelle58971121[[#This Row],[installierte Leistung MW durch]]</f>
        <v>0</v>
      </c>
      <c r="BU178" s="10">
        <f>Tabelle58971121[[#This Row],[Mindestauslastung min]]*Tabelle58971121[[#This Row],[installierte Leistung MW min]]</f>
        <v>0</v>
      </c>
      <c r="BV178" s="18">
        <f>Tabelle58971121[[#This Row],[Mindestauslastung max]]*Tabelle58971121[[#This Row],[installierte Leistung MW max]]</f>
        <v>0</v>
      </c>
      <c r="BW178" s="8">
        <v>0</v>
      </c>
      <c r="BX178" s="8">
        <v>0</v>
      </c>
      <c r="BY178" s="8">
        <v>0</v>
      </c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41">
        <v>0.52</v>
      </c>
      <c r="DC178" s="41">
        <v>0.49</v>
      </c>
      <c r="DD178" s="41">
        <v>0.55000000000000004</v>
      </c>
      <c r="DE178" s="10">
        <f>Tabelle58971121[[#This Row],[Durchschnittsauslastung min]]*Tabelle58971121[[#This Row],[installierte Leistung MW min]]</f>
        <v>1102.4000000000001</v>
      </c>
      <c r="DF178" s="10">
        <f>Tabelle58971121[[#This Row],[Durchschnittsauslastung durch]]*Tabelle58971121[[#This Row],[installierte Leistung MW durch]]</f>
        <v>1038.8</v>
      </c>
      <c r="DG178" s="48">
        <f>Tabelle58971121[[#This Row],[Durchschnittsauslastung max]]*Tabelle58971121[[#This Row],[installierte Leistung MW max]]</f>
        <v>1166</v>
      </c>
      <c r="DH178" s="87">
        <f>Tabelle58971121[[#This Row],[Maximalauslastung durch]]*Tabelle58971121[[#This Row],[installierte Leistung MW min]]</f>
        <v>1229.5999999999999</v>
      </c>
      <c r="DI178" s="48">
        <f>Tabelle58971121[[#This Row],[Maximalauslastung durch]]*Tabelle58971121[[#This Row],[installierte Leistung MW durch]]</f>
        <v>1229.5999999999999</v>
      </c>
      <c r="DJ178" s="10">
        <f>Tabelle58971121[[#This Row],[Maximalauslastung max]]*Tabelle58971121[[#This Row],[installierte Leistung MW durch]]</f>
        <v>1293.2</v>
      </c>
      <c r="DK178" s="8">
        <v>0.57999999999999996</v>
      </c>
      <c r="DL178" s="8">
        <v>0.55000000000000004</v>
      </c>
      <c r="DM178" s="8">
        <v>0.61</v>
      </c>
      <c r="DN178" s="10">
        <v>2120</v>
      </c>
      <c r="DO178" s="10">
        <v>2120</v>
      </c>
      <c r="DP178" s="10">
        <v>2120</v>
      </c>
      <c r="DQ178" s="1">
        <v>0.762625</v>
      </c>
      <c r="DR178" s="1">
        <v>2.7777777777777778E-4</v>
      </c>
      <c r="DS178" s="53">
        <v>3</v>
      </c>
      <c r="DT178" s="1">
        <v>1.3888888888888889E-4</v>
      </c>
      <c r="DU178" s="1">
        <v>0</v>
      </c>
      <c r="DV178" s="53">
        <v>2.7777777777777778E-4</v>
      </c>
      <c r="DW178" s="1">
        <v>3.7</v>
      </c>
      <c r="DX178" s="1">
        <v>3.3000000000000003</v>
      </c>
      <c r="DY178" s="53">
        <v>4.1000000000000005</v>
      </c>
      <c r="DZ178" s="1">
        <v>1</v>
      </c>
      <c r="EA178" s="1">
        <v>0.9</v>
      </c>
      <c r="EB178" s="53">
        <v>1.1000000000000001</v>
      </c>
      <c r="EC178" s="1">
        <v>4.7</v>
      </c>
      <c r="ED178" s="1">
        <v>4.7</v>
      </c>
      <c r="EE178" s="53">
        <v>4.7</v>
      </c>
      <c r="EF178" s="1">
        <v>1.1000000000000001</v>
      </c>
      <c r="EG178" s="1">
        <v>0.90000000000000013</v>
      </c>
      <c r="EH178" s="53">
        <v>1.3</v>
      </c>
      <c r="EJ178" s="1" t="s">
        <v>641</v>
      </c>
      <c r="EL178" s="1">
        <v>50</v>
      </c>
      <c r="EM178" s="1">
        <v>20</v>
      </c>
      <c r="EN178" s="1">
        <v>80</v>
      </c>
      <c r="EO178" s="1">
        <v>0</v>
      </c>
      <c r="EP178" s="1">
        <v>0</v>
      </c>
      <c r="EQ178" s="1">
        <v>0</v>
      </c>
      <c r="ER178" s="1">
        <v>4000</v>
      </c>
      <c r="ES178" s="1">
        <v>3800</v>
      </c>
      <c r="ET178" s="1">
        <v>4200</v>
      </c>
      <c r="EU178" s="1">
        <v>0.61058823529411754</v>
      </c>
      <c r="EV178" s="18">
        <v>0.10176470588235291</v>
      </c>
      <c r="EW178" s="18">
        <v>1.1194117647058823</v>
      </c>
      <c r="EX178" s="18">
        <v>274.76470588235293</v>
      </c>
      <c r="EY178" s="7">
        <v>183.17647058823528</v>
      </c>
      <c r="EZ178" s="7">
        <v>366.35294117647055</v>
      </c>
      <c r="FA178" s="7">
        <v>573.95294117647052</v>
      </c>
      <c r="FB178" s="7">
        <v>534.26470588235293</v>
      </c>
      <c r="FC178" s="7">
        <v>613.64117647058822</v>
      </c>
      <c r="FD178" s="7">
        <v>33.582352941176467</v>
      </c>
      <c r="FE178" s="7">
        <v>33.582352941176467</v>
      </c>
      <c r="FF178" s="7">
        <v>33.582352941176467</v>
      </c>
      <c r="FG178" s="7">
        <v>101.76470588235293</v>
      </c>
      <c r="FH178" s="7">
        <v>50.882352941176464</v>
      </c>
      <c r="FI178" s="7">
        <v>152.64705882352939</v>
      </c>
      <c r="FJ178" s="7">
        <v>2.8494117647058821</v>
      </c>
      <c r="FK178" s="7">
        <v>1.1194117647058821</v>
      </c>
      <c r="FL178" s="7">
        <v>4.5794117647058821</v>
      </c>
      <c r="FO178" s="1">
        <v>220</v>
      </c>
      <c r="FP178" s="1">
        <v>220</v>
      </c>
      <c r="FR178" s="12" t="s">
        <v>638</v>
      </c>
      <c r="FS178" s="1" t="s">
        <v>638</v>
      </c>
      <c r="FT178" s="12">
        <v>182</v>
      </c>
      <c r="FU178" s="12"/>
      <c r="FV178" s="12">
        <v>182</v>
      </c>
      <c r="FW178" s="12">
        <v>182</v>
      </c>
      <c r="FX178" s="1">
        <v>182</v>
      </c>
      <c r="FY178" s="12" t="s">
        <v>637</v>
      </c>
      <c r="FZ178" s="12" t="s">
        <v>636</v>
      </c>
      <c r="GA178" s="1">
        <v>202</v>
      </c>
      <c r="GB178" s="1">
        <v>202</v>
      </c>
      <c r="GD178" s="1" t="s">
        <v>640</v>
      </c>
      <c r="GE178" s="1">
        <v>211</v>
      </c>
      <c r="GF178" s="1">
        <v>214</v>
      </c>
      <c r="GG178" s="1">
        <v>220</v>
      </c>
      <c r="GH178" s="1">
        <v>214</v>
      </c>
      <c r="GK178" s="1" t="s">
        <v>639</v>
      </c>
    </row>
    <row r="179" spans="1:193" ht="12.75" customHeight="1" x14ac:dyDescent="0.2">
      <c r="A179" s="1" t="s">
        <v>84</v>
      </c>
      <c r="D179" s="1" t="s">
        <v>575</v>
      </c>
      <c r="E179" s="1" t="s">
        <v>129</v>
      </c>
      <c r="F179" s="1">
        <v>1</v>
      </c>
      <c r="G179" s="1">
        <v>2015</v>
      </c>
      <c r="H179" s="1">
        <v>1</v>
      </c>
      <c r="I179" s="1">
        <v>1</v>
      </c>
      <c r="J179" s="1">
        <v>0</v>
      </c>
      <c r="K179" s="10">
        <v>1102</v>
      </c>
      <c r="L179" s="10">
        <v>1038</v>
      </c>
      <c r="M179" s="10">
        <v>1166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8"/>
      <c r="BQ179" s="10">
        <v>127</v>
      </c>
      <c r="BR179" s="10">
        <v>0</v>
      </c>
      <c r="BS179" s="10">
        <v>254</v>
      </c>
      <c r="BT179" s="10">
        <f>Tabelle58971121[[#This Row],[Mindestauslastung durch]]*Tabelle58971121[[#This Row],[installierte Leistung MW durch]]</f>
        <v>0</v>
      </c>
      <c r="BU179" s="10">
        <f>Tabelle58971121[[#This Row],[Mindestauslastung min]]*Tabelle58971121[[#This Row],[installierte Leistung MW min]]</f>
        <v>0</v>
      </c>
      <c r="BV179" s="18">
        <f>Tabelle58971121[[#This Row],[Mindestauslastung max]]*Tabelle58971121[[#This Row],[installierte Leistung MW max]]</f>
        <v>0</v>
      </c>
      <c r="BW179" s="8">
        <v>0</v>
      </c>
      <c r="BX179" s="8">
        <v>0</v>
      </c>
      <c r="BY179" s="8">
        <v>0</v>
      </c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41">
        <v>0.52</v>
      </c>
      <c r="DC179" s="41">
        <v>0.49</v>
      </c>
      <c r="DD179" s="41">
        <v>0.55000000000000004</v>
      </c>
      <c r="DE179" s="10">
        <f>Tabelle58971121[[#This Row],[Durchschnittsauslastung min]]*Tabelle58971121[[#This Row],[installierte Leistung MW min]]</f>
        <v>1102.4000000000001</v>
      </c>
      <c r="DF179" s="10">
        <f>Tabelle58971121[[#This Row],[Durchschnittsauslastung durch]]*Tabelle58971121[[#This Row],[installierte Leistung MW durch]]</f>
        <v>1038.8</v>
      </c>
      <c r="DG179" s="48">
        <f>Tabelle58971121[[#This Row],[Durchschnittsauslastung max]]*Tabelle58971121[[#This Row],[installierte Leistung MW max]]</f>
        <v>1166</v>
      </c>
      <c r="DH179" s="87">
        <f>Tabelle58971121[[#This Row],[Maximalauslastung durch]]*Tabelle58971121[[#This Row],[installierte Leistung MW min]]</f>
        <v>1229.5999999999999</v>
      </c>
      <c r="DI179" s="48">
        <f>Tabelle58971121[[#This Row],[Maximalauslastung durch]]*Tabelle58971121[[#This Row],[installierte Leistung MW durch]]</f>
        <v>1229.5999999999999</v>
      </c>
      <c r="DJ179" s="10">
        <f>Tabelle58971121[[#This Row],[Maximalauslastung max]]*Tabelle58971121[[#This Row],[installierte Leistung MW durch]]</f>
        <v>1293.2</v>
      </c>
      <c r="DK179" s="8">
        <v>0.57999999999999996</v>
      </c>
      <c r="DL179" s="8">
        <v>0.55000000000000004</v>
      </c>
      <c r="DM179" s="8">
        <v>0.61</v>
      </c>
      <c r="DN179" s="10">
        <v>2120</v>
      </c>
      <c r="DO179" s="10">
        <v>2120</v>
      </c>
      <c r="DP179" s="10">
        <v>2120</v>
      </c>
      <c r="DQ179" s="1">
        <v>0.762625</v>
      </c>
      <c r="DR179" s="1">
        <v>2.7777777777777778E-4</v>
      </c>
      <c r="DS179" s="53">
        <v>3</v>
      </c>
      <c r="DT179" s="1">
        <v>1.3888888888888889E-4</v>
      </c>
      <c r="DU179" s="1">
        <v>0</v>
      </c>
      <c r="DV179" s="53">
        <v>2.7777777777777778E-4</v>
      </c>
      <c r="DW179" s="1">
        <v>3.7</v>
      </c>
      <c r="DX179" s="1">
        <v>3.3000000000000003</v>
      </c>
      <c r="DY179" s="53">
        <v>4.1000000000000005</v>
      </c>
      <c r="DZ179" s="1">
        <v>1</v>
      </c>
      <c r="EA179" s="1">
        <v>0.9</v>
      </c>
      <c r="EB179" s="53">
        <v>1.1000000000000001</v>
      </c>
      <c r="EC179" s="1">
        <v>4.7</v>
      </c>
      <c r="ED179" s="1">
        <v>4.7</v>
      </c>
      <c r="EE179" s="53">
        <v>4.7</v>
      </c>
      <c r="EF179" s="1">
        <v>1.1000000000000001</v>
      </c>
      <c r="EG179" s="1">
        <v>0.90000000000000013</v>
      </c>
      <c r="EH179" s="53">
        <v>1.3</v>
      </c>
      <c r="EJ179" s="1" t="s">
        <v>641</v>
      </c>
      <c r="EL179" s="1">
        <v>50</v>
      </c>
      <c r="EM179" s="1">
        <v>20</v>
      </c>
      <c r="EN179" s="1">
        <v>80</v>
      </c>
      <c r="EO179" s="1">
        <v>0</v>
      </c>
      <c r="EP179" s="1">
        <v>0</v>
      </c>
      <c r="EQ179" s="1">
        <v>0</v>
      </c>
      <c r="ER179" s="1">
        <v>4000</v>
      </c>
      <c r="ES179" s="1">
        <v>3800</v>
      </c>
      <c r="ET179" s="1">
        <v>4200</v>
      </c>
      <c r="EU179" s="1">
        <v>0.61058823529411754</v>
      </c>
      <c r="EV179" s="18">
        <v>0.10176470588235291</v>
      </c>
      <c r="EW179" s="18">
        <v>1.1194117647058823</v>
      </c>
      <c r="EX179" s="18">
        <v>274.76470588235293</v>
      </c>
      <c r="EY179" s="7">
        <v>183.17647058823528</v>
      </c>
      <c r="EZ179" s="7">
        <v>366.35294117647055</v>
      </c>
      <c r="FA179" s="7">
        <v>573.95294117647052</v>
      </c>
      <c r="FB179" s="7">
        <v>534.26470588235293</v>
      </c>
      <c r="FC179" s="7">
        <v>613.64117647058822</v>
      </c>
      <c r="FD179" s="7">
        <v>33.582352941176467</v>
      </c>
      <c r="FE179" s="7">
        <v>33.582352941176467</v>
      </c>
      <c r="FF179" s="7">
        <v>33.582352941176467</v>
      </c>
      <c r="FG179" s="7">
        <v>101.76470588235293</v>
      </c>
      <c r="FH179" s="7">
        <v>50.882352941176464</v>
      </c>
      <c r="FI179" s="7">
        <v>152.64705882352939</v>
      </c>
      <c r="FJ179" s="7">
        <v>2.8494117647058821</v>
      </c>
      <c r="FK179" s="7">
        <v>1.1194117647058821</v>
      </c>
      <c r="FL179" s="7">
        <v>4.5794117647058821</v>
      </c>
      <c r="FO179" s="1">
        <v>220</v>
      </c>
      <c r="FP179" s="1">
        <v>220</v>
      </c>
      <c r="FR179" s="12" t="s">
        <v>638</v>
      </c>
      <c r="FS179" s="1" t="s">
        <v>638</v>
      </c>
      <c r="FT179" s="12">
        <v>182</v>
      </c>
      <c r="FU179" s="12"/>
      <c r="FV179" s="12">
        <v>182</v>
      </c>
      <c r="FW179" s="12">
        <v>182</v>
      </c>
      <c r="FX179" s="1">
        <v>182</v>
      </c>
      <c r="FY179" s="12" t="s">
        <v>637</v>
      </c>
      <c r="FZ179" s="12" t="s">
        <v>636</v>
      </c>
      <c r="GA179" s="1">
        <v>202</v>
      </c>
      <c r="GB179" s="1">
        <v>202</v>
      </c>
      <c r="GD179" s="1" t="s">
        <v>640</v>
      </c>
      <c r="GE179" s="1">
        <v>211</v>
      </c>
      <c r="GF179" s="1">
        <v>214</v>
      </c>
      <c r="GG179" s="1">
        <v>220</v>
      </c>
      <c r="GH179" s="1">
        <v>214</v>
      </c>
      <c r="GK179" s="1" t="s">
        <v>639</v>
      </c>
    </row>
    <row r="180" spans="1:193" ht="12.75" customHeight="1" x14ac:dyDescent="0.2">
      <c r="A180" s="1" t="s">
        <v>84</v>
      </c>
      <c r="D180" s="1" t="s">
        <v>575</v>
      </c>
      <c r="E180" s="1" t="s">
        <v>129</v>
      </c>
      <c r="F180" s="1">
        <v>1</v>
      </c>
      <c r="G180" s="1">
        <v>2020</v>
      </c>
      <c r="H180" s="1">
        <v>1</v>
      </c>
      <c r="I180" s="1">
        <v>1</v>
      </c>
      <c r="J180" s="1">
        <v>0</v>
      </c>
      <c r="K180" s="10">
        <v>1102</v>
      </c>
      <c r="L180" s="10">
        <v>1038</v>
      </c>
      <c r="M180" s="10">
        <v>1166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8"/>
      <c r="BQ180" s="10">
        <v>127</v>
      </c>
      <c r="BR180" s="10">
        <v>0</v>
      </c>
      <c r="BS180" s="10">
        <v>254</v>
      </c>
      <c r="BT180" s="10">
        <f>Tabelle58971121[[#This Row],[Mindestauslastung durch]]*Tabelle58971121[[#This Row],[installierte Leistung MW durch]]</f>
        <v>0</v>
      </c>
      <c r="BU180" s="10">
        <f>Tabelle58971121[[#This Row],[Mindestauslastung min]]*Tabelle58971121[[#This Row],[installierte Leistung MW min]]</f>
        <v>0</v>
      </c>
      <c r="BV180" s="18">
        <f>Tabelle58971121[[#This Row],[Mindestauslastung max]]*Tabelle58971121[[#This Row],[installierte Leistung MW max]]</f>
        <v>0</v>
      </c>
      <c r="BW180" s="8">
        <v>0</v>
      </c>
      <c r="BX180" s="8">
        <v>0</v>
      </c>
      <c r="BY180" s="8">
        <v>0</v>
      </c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41">
        <v>0.52</v>
      </c>
      <c r="DC180" s="41">
        <v>0.49</v>
      </c>
      <c r="DD180" s="41">
        <v>0.55000000000000004</v>
      </c>
      <c r="DE180" s="10">
        <f>Tabelle58971121[[#This Row],[Durchschnittsauslastung min]]*Tabelle58971121[[#This Row],[installierte Leistung MW min]]</f>
        <v>1102.4000000000001</v>
      </c>
      <c r="DF180" s="10">
        <f>Tabelle58971121[[#This Row],[Durchschnittsauslastung durch]]*Tabelle58971121[[#This Row],[installierte Leistung MW durch]]</f>
        <v>1038.8</v>
      </c>
      <c r="DG180" s="48">
        <f>Tabelle58971121[[#This Row],[Durchschnittsauslastung max]]*Tabelle58971121[[#This Row],[installierte Leistung MW max]]</f>
        <v>1166</v>
      </c>
      <c r="DH180" s="87">
        <f>Tabelle58971121[[#This Row],[Maximalauslastung durch]]*Tabelle58971121[[#This Row],[installierte Leistung MW min]]</f>
        <v>1229.5999999999999</v>
      </c>
      <c r="DI180" s="48">
        <f>Tabelle58971121[[#This Row],[Maximalauslastung durch]]*Tabelle58971121[[#This Row],[installierte Leistung MW durch]]</f>
        <v>1229.5999999999999</v>
      </c>
      <c r="DJ180" s="10">
        <f>Tabelle58971121[[#This Row],[Maximalauslastung max]]*Tabelle58971121[[#This Row],[installierte Leistung MW durch]]</f>
        <v>1293.2</v>
      </c>
      <c r="DK180" s="8">
        <v>0.57999999999999996</v>
      </c>
      <c r="DL180" s="8">
        <v>0.55000000000000004</v>
      </c>
      <c r="DM180" s="8">
        <v>0.61</v>
      </c>
      <c r="DN180" s="10">
        <v>2120</v>
      </c>
      <c r="DO180" s="10">
        <v>2120</v>
      </c>
      <c r="DP180" s="10">
        <v>2120</v>
      </c>
      <c r="DQ180" s="1">
        <v>0.762625</v>
      </c>
      <c r="DR180" s="1">
        <v>2.7777777777777778E-4</v>
      </c>
      <c r="DS180" s="53">
        <v>3</v>
      </c>
      <c r="DT180" s="1">
        <v>1.3888888888888889E-4</v>
      </c>
      <c r="DU180" s="1">
        <v>0</v>
      </c>
      <c r="DV180" s="53">
        <v>2.7777777777777778E-4</v>
      </c>
      <c r="DW180" s="1">
        <v>3.7</v>
      </c>
      <c r="DX180" s="1">
        <v>3.3000000000000003</v>
      </c>
      <c r="DY180" s="53">
        <v>4.1000000000000005</v>
      </c>
      <c r="DZ180" s="1">
        <v>1</v>
      </c>
      <c r="EA180" s="1">
        <v>0.9</v>
      </c>
      <c r="EB180" s="53">
        <v>1.1000000000000001</v>
      </c>
      <c r="EC180" s="1">
        <v>4.7</v>
      </c>
      <c r="ED180" s="1">
        <v>4.7</v>
      </c>
      <c r="EE180" s="53">
        <v>4.7</v>
      </c>
      <c r="EF180" s="1">
        <v>1.1000000000000001</v>
      </c>
      <c r="EG180" s="1">
        <v>0.90000000000000013</v>
      </c>
      <c r="EH180" s="53">
        <v>1.3</v>
      </c>
      <c r="EJ180" s="1" t="s">
        <v>641</v>
      </c>
      <c r="EL180" s="1">
        <v>50</v>
      </c>
      <c r="EM180" s="1">
        <v>20</v>
      </c>
      <c r="EN180" s="1">
        <v>80</v>
      </c>
      <c r="EO180" s="1">
        <v>0</v>
      </c>
      <c r="EP180" s="1">
        <v>0</v>
      </c>
      <c r="EQ180" s="1">
        <v>0</v>
      </c>
      <c r="ER180" s="1">
        <v>4000</v>
      </c>
      <c r="ES180" s="1">
        <v>3800</v>
      </c>
      <c r="ET180" s="1">
        <v>4200</v>
      </c>
      <c r="EU180" s="1">
        <v>0.61058823529411754</v>
      </c>
      <c r="EV180" s="18">
        <v>0.10176470588235291</v>
      </c>
      <c r="EW180" s="18">
        <v>1.1194117647058823</v>
      </c>
      <c r="EX180" s="18">
        <v>274.76470588235293</v>
      </c>
      <c r="EY180" s="7">
        <v>183.17647058823528</v>
      </c>
      <c r="EZ180" s="7">
        <v>366.35294117647055</v>
      </c>
      <c r="FA180" s="7">
        <v>573.95294117647052</v>
      </c>
      <c r="FB180" s="7">
        <v>534.26470588235293</v>
      </c>
      <c r="FC180" s="7">
        <v>613.64117647058822</v>
      </c>
      <c r="FD180" s="7">
        <v>33.582352941176467</v>
      </c>
      <c r="FE180" s="7">
        <v>33.582352941176467</v>
      </c>
      <c r="FF180" s="7">
        <v>33.582352941176467</v>
      </c>
      <c r="FG180" s="7">
        <v>101.76470588235293</v>
      </c>
      <c r="FH180" s="7">
        <v>50.882352941176464</v>
      </c>
      <c r="FI180" s="7">
        <v>152.64705882352939</v>
      </c>
      <c r="FJ180" s="7">
        <v>2.8494117647058821</v>
      </c>
      <c r="FK180" s="7">
        <v>1.1194117647058821</v>
      </c>
      <c r="FL180" s="7">
        <v>4.5794117647058821</v>
      </c>
      <c r="FO180" s="1">
        <v>220</v>
      </c>
      <c r="FP180" s="1">
        <v>220</v>
      </c>
      <c r="FR180" s="12" t="s">
        <v>638</v>
      </c>
      <c r="FS180" s="1" t="s">
        <v>638</v>
      </c>
      <c r="FT180" s="12">
        <v>182</v>
      </c>
      <c r="FU180" s="12"/>
      <c r="FV180" s="12">
        <v>182</v>
      </c>
      <c r="FW180" s="12">
        <v>182</v>
      </c>
      <c r="FX180" s="1">
        <v>182</v>
      </c>
      <c r="FY180" s="12" t="s">
        <v>637</v>
      </c>
      <c r="FZ180" s="12" t="s">
        <v>636</v>
      </c>
      <c r="GA180" s="1">
        <v>202</v>
      </c>
      <c r="GB180" s="1">
        <v>202</v>
      </c>
      <c r="GD180" s="1" t="s">
        <v>640</v>
      </c>
      <c r="GE180" s="1">
        <v>211</v>
      </c>
      <c r="GF180" s="1">
        <v>214</v>
      </c>
      <c r="GG180" s="1">
        <v>220</v>
      </c>
      <c r="GH180" s="1">
        <v>214</v>
      </c>
      <c r="GK180" s="1" t="s">
        <v>639</v>
      </c>
    </row>
    <row r="181" spans="1:193" ht="12.75" customHeight="1" x14ac:dyDescent="0.2">
      <c r="A181" s="1" t="s">
        <v>84</v>
      </c>
      <c r="D181" s="1" t="s">
        <v>575</v>
      </c>
      <c r="E181" s="1" t="s">
        <v>129</v>
      </c>
      <c r="F181" s="1">
        <v>1</v>
      </c>
      <c r="G181" s="1">
        <v>2025</v>
      </c>
      <c r="H181" s="1">
        <v>1</v>
      </c>
      <c r="I181" s="1">
        <v>1</v>
      </c>
      <c r="J181" s="1">
        <v>0</v>
      </c>
      <c r="K181" s="10">
        <v>1223.22</v>
      </c>
      <c r="L181" s="10">
        <v>1152.18</v>
      </c>
      <c r="M181" s="10">
        <v>1294.2600000000002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8"/>
      <c r="BQ181" s="10">
        <v>140.97</v>
      </c>
      <c r="BR181" s="10">
        <v>0</v>
      </c>
      <c r="BS181" s="10">
        <v>281.94</v>
      </c>
      <c r="BT181" s="10">
        <f>Tabelle58971121[[#This Row],[Mindestauslastung durch]]*Tabelle58971121[[#This Row],[installierte Leistung MW durch]]</f>
        <v>0</v>
      </c>
      <c r="BU181" s="10">
        <f>Tabelle58971121[[#This Row],[Mindestauslastung min]]*Tabelle58971121[[#This Row],[installierte Leistung MW min]]</f>
        <v>0</v>
      </c>
      <c r="BV181" s="18">
        <f>Tabelle58971121[[#This Row],[Mindestauslastung max]]*Tabelle58971121[[#This Row],[installierte Leistung MW max]]</f>
        <v>0</v>
      </c>
      <c r="BW181" s="8">
        <v>0</v>
      </c>
      <c r="BX181" s="8">
        <v>0</v>
      </c>
      <c r="BY181" s="8">
        <v>0</v>
      </c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41">
        <v>0.52</v>
      </c>
      <c r="DC181" s="41">
        <v>0.49</v>
      </c>
      <c r="DD181" s="41">
        <v>0.55000000000000004</v>
      </c>
      <c r="DE181" s="10">
        <f>Tabelle58971121[[#This Row],[Durchschnittsauslastung min]]*Tabelle58971121[[#This Row],[installierte Leistung MW min]]</f>
        <v>1223.6640000000002</v>
      </c>
      <c r="DF181" s="10">
        <f>Tabelle58971121[[#This Row],[Durchschnittsauslastung durch]]*Tabelle58971121[[#This Row],[installierte Leistung MW durch]]</f>
        <v>1153.0680000000002</v>
      </c>
      <c r="DG181" s="48">
        <f>Tabelle58971121[[#This Row],[Durchschnittsauslastung max]]*Tabelle58971121[[#This Row],[installierte Leistung MW max]]</f>
        <v>1294.2600000000002</v>
      </c>
      <c r="DH181" s="87">
        <f>Tabelle58971121[[#This Row],[Maximalauslastung durch]]*Tabelle58971121[[#This Row],[installierte Leistung MW min]]</f>
        <v>1364.856</v>
      </c>
      <c r="DI181" s="48">
        <f>Tabelle58971121[[#This Row],[Maximalauslastung durch]]*Tabelle58971121[[#This Row],[installierte Leistung MW durch]]</f>
        <v>1364.856</v>
      </c>
      <c r="DJ181" s="10">
        <f>Tabelle58971121[[#This Row],[Maximalauslastung max]]*Tabelle58971121[[#This Row],[installierte Leistung MW durch]]</f>
        <v>1435.4520000000002</v>
      </c>
      <c r="DK181" s="8">
        <v>0.57999999999999996</v>
      </c>
      <c r="DL181" s="8">
        <v>0.55000000000000004</v>
      </c>
      <c r="DM181" s="8">
        <v>0.61</v>
      </c>
      <c r="DN181" s="10">
        <v>2353.2000000000003</v>
      </c>
      <c r="DO181" s="10">
        <v>2353.2000000000003</v>
      </c>
      <c r="DP181" s="10">
        <v>2353.2000000000003</v>
      </c>
      <c r="DQ181" s="1">
        <v>0.762625</v>
      </c>
      <c r="DR181" s="1">
        <v>2.7777777777777778E-4</v>
      </c>
      <c r="DS181" s="53">
        <v>3</v>
      </c>
      <c r="DT181" s="1">
        <v>1.3888888888888889E-4</v>
      </c>
      <c r="DU181" s="1">
        <v>0</v>
      </c>
      <c r="DV181" s="53">
        <v>2.7777777777777778E-4</v>
      </c>
      <c r="DW181" s="1">
        <v>3.7</v>
      </c>
      <c r="DX181" s="1">
        <v>3.3000000000000003</v>
      </c>
      <c r="DY181" s="53">
        <v>4.1000000000000005</v>
      </c>
      <c r="DZ181" s="1">
        <v>1</v>
      </c>
      <c r="EA181" s="1">
        <v>0.9</v>
      </c>
      <c r="EB181" s="53">
        <v>1.1000000000000001</v>
      </c>
      <c r="EC181" s="1">
        <v>4.7</v>
      </c>
      <c r="ED181" s="1">
        <v>4.7</v>
      </c>
      <c r="EE181" s="53">
        <v>4.7</v>
      </c>
      <c r="EF181" s="1">
        <v>1.1000000000000001</v>
      </c>
      <c r="EG181" s="1">
        <v>0.90000000000000013</v>
      </c>
      <c r="EH181" s="53">
        <v>1.3</v>
      </c>
      <c r="EJ181" s="1" t="s">
        <v>641</v>
      </c>
      <c r="EL181" s="1">
        <v>50</v>
      </c>
      <c r="EM181" s="1">
        <v>20</v>
      </c>
      <c r="EN181" s="1">
        <v>80</v>
      </c>
      <c r="EO181" s="1">
        <v>0</v>
      </c>
      <c r="EP181" s="1">
        <v>0</v>
      </c>
      <c r="EQ181" s="1">
        <v>0</v>
      </c>
      <c r="ER181" s="1">
        <v>4000</v>
      </c>
      <c r="ES181" s="1">
        <v>3800</v>
      </c>
      <c r="ET181" s="1">
        <v>4200</v>
      </c>
      <c r="EU181" s="1">
        <v>0.61058823529411754</v>
      </c>
      <c r="EV181" s="18">
        <v>0.10176470588235291</v>
      </c>
      <c r="EW181" s="18">
        <v>1.1194117647058823</v>
      </c>
      <c r="EX181" s="18">
        <v>274.76470588235293</v>
      </c>
      <c r="EY181" s="7">
        <v>183.17647058823528</v>
      </c>
      <c r="EZ181" s="7">
        <v>366.35294117647055</v>
      </c>
      <c r="FA181" s="7">
        <v>573.95294117647052</v>
      </c>
      <c r="FB181" s="7">
        <v>534.26470588235293</v>
      </c>
      <c r="FC181" s="7">
        <v>613.64117647058822</v>
      </c>
      <c r="FD181" s="7">
        <v>33.582352941176467</v>
      </c>
      <c r="FE181" s="7">
        <v>33.582352941176467</v>
      </c>
      <c r="FF181" s="7">
        <v>33.582352941176467</v>
      </c>
      <c r="FG181" s="7">
        <v>101.76470588235293</v>
      </c>
      <c r="FH181" s="7">
        <v>50.882352941176464</v>
      </c>
      <c r="FI181" s="7">
        <v>152.64705882352939</v>
      </c>
      <c r="FJ181" s="7">
        <v>2.8494117647058821</v>
      </c>
      <c r="FK181" s="7">
        <v>1.1194117647058821</v>
      </c>
      <c r="FL181" s="7">
        <v>4.5794117647058821</v>
      </c>
      <c r="FO181" s="1">
        <v>220</v>
      </c>
      <c r="FP181" s="1">
        <v>220</v>
      </c>
      <c r="FR181" s="12" t="s">
        <v>638</v>
      </c>
      <c r="FS181" s="1" t="s">
        <v>638</v>
      </c>
      <c r="FT181" s="12">
        <v>182</v>
      </c>
      <c r="FU181" s="12"/>
      <c r="FV181" s="12">
        <v>182</v>
      </c>
      <c r="FW181" s="12">
        <v>182</v>
      </c>
      <c r="FX181" s="1">
        <v>182</v>
      </c>
      <c r="FY181" s="12" t="s">
        <v>637</v>
      </c>
      <c r="FZ181" s="12" t="s">
        <v>636</v>
      </c>
      <c r="GA181" s="1">
        <v>202</v>
      </c>
      <c r="GB181" s="1">
        <v>202</v>
      </c>
      <c r="GD181" s="1" t="s">
        <v>640</v>
      </c>
      <c r="GE181" s="1">
        <v>211</v>
      </c>
      <c r="GF181" s="1">
        <v>214</v>
      </c>
      <c r="GG181" s="1">
        <v>220</v>
      </c>
      <c r="GH181" s="1">
        <v>214</v>
      </c>
      <c r="GK181" s="1" t="s">
        <v>639</v>
      </c>
    </row>
    <row r="182" spans="1:193" ht="12.75" customHeight="1" x14ac:dyDescent="0.2">
      <c r="A182" s="1" t="s">
        <v>84</v>
      </c>
      <c r="D182" s="1" t="s">
        <v>575</v>
      </c>
      <c r="E182" s="1" t="s">
        <v>129</v>
      </c>
      <c r="F182" s="1">
        <v>1</v>
      </c>
      <c r="G182" s="1">
        <v>2030</v>
      </c>
      <c r="H182" s="1">
        <v>1</v>
      </c>
      <c r="I182" s="1">
        <v>1</v>
      </c>
      <c r="J182" s="1">
        <v>0</v>
      </c>
      <c r="K182" s="10">
        <v>1322.3999999999999</v>
      </c>
      <c r="L182" s="10">
        <v>1245.5999999999999</v>
      </c>
      <c r="M182" s="10">
        <v>1399.2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8"/>
      <c r="BQ182" s="10">
        <v>152.4</v>
      </c>
      <c r="BR182" s="10">
        <v>0</v>
      </c>
      <c r="BS182" s="10">
        <v>304.8</v>
      </c>
      <c r="BT182" s="10">
        <f>Tabelle58971121[[#This Row],[Mindestauslastung durch]]*Tabelle58971121[[#This Row],[installierte Leistung MW durch]]</f>
        <v>0</v>
      </c>
      <c r="BU182" s="10">
        <f>Tabelle58971121[[#This Row],[Mindestauslastung min]]*Tabelle58971121[[#This Row],[installierte Leistung MW min]]</f>
        <v>0</v>
      </c>
      <c r="BV182" s="18">
        <f>Tabelle58971121[[#This Row],[Mindestauslastung max]]*Tabelle58971121[[#This Row],[installierte Leistung MW max]]</f>
        <v>0</v>
      </c>
      <c r="BW182" s="8">
        <v>0</v>
      </c>
      <c r="BX182" s="8">
        <v>0</v>
      </c>
      <c r="BY182" s="8">
        <v>0</v>
      </c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41">
        <v>0.52</v>
      </c>
      <c r="DC182" s="41">
        <v>0.49</v>
      </c>
      <c r="DD182" s="41">
        <v>0.55000000000000004</v>
      </c>
      <c r="DE182" s="10">
        <f>Tabelle58971121[[#This Row],[Durchschnittsauslastung min]]*Tabelle58971121[[#This Row],[installierte Leistung MW min]]</f>
        <v>1322.88</v>
      </c>
      <c r="DF182" s="10">
        <f>Tabelle58971121[[#This Row],[Durchschnittsauslastung durch]]*Tabelle58971121[[#This Row],[installierte Leistung MW durch]]</f>
        <v>1246.56</v>
      </c>
      <c r="DG182" s="48">
        <f>Tabelle58971121[[#This Row],[Durchschnittsauslastung max]]*Tabelle58971121[[#This Row],[installierte Leistung MW max]]</f>
        <v>1399.2</v>
      </c>
      <c r="DH182" s="87">
        <f>Tabelle58971121[[#This Row],[Maximalauslastung durch]]*Tabelle58971121[[#This Row],[installierte Leistung MW min]]</f>
        <v>1475.52</v>
      </c>
      <c r="DI182" s="48">
        <f>Tabelle58971121[[#This Row],[Maximalauslastung durch]]*Tabelle58971121[[#This Row],[installierte Leistung MW durch]]</f>
        <v>1475.52</v>
      </c>
      <c r="DJ182" s="10">
        <f>Tabelle58971121[[#This Row],[Maximalauslastung max]]*Tabelle58971121[[#This Row],[installierte Leistung MW durch]]</f>
        <v>1551.84</v>
      </c>
      <c r="DK182" s="8">
        <v>0.57999999999999996</v>
      </c>
      <c r="DL182" s="8">
        <v>0.55000000000000004</v>
      </c>
      <c r="DM182" s="8">
        <v>0.61</v>
      </c>
      <c r="DN182" s="10">
        <v>2544</v>
      </c>
      <c r="DO182" s="10">
        <v>2544</v>
      </c>
      <c r="DP182" s="10">
        <v>2544</v>
      </c>
      <c r="DQ182" s="1">
        <v>0.762625</v>
      </c>
      <c r="DR182" s="1">
        <v>2.7777777777777778E-4</v>
      </c>
      <c r="DS182" s="53">
        <v>3</v>
      </c>
      <c r="DT182" s="1">
        <v>1.3888888888888889E-4</v>
      </c>
      <c r="DU182" s="1">
        <v>0</v>
      </c>
      <c r="DV182" s="53">
        <v>2.7777777777777778E-4</v>
      </c>
      <c r="DW182" s="1">
        <v>3.7</v>
      </c>
      <c r="DX182" s="1">
        <v>3.3000000000000003</v>
      </c>
      <c r="DY182" s="53">
        <v>4.1000000000000005</v>
      </c>
      <c r="DZ182" s="1">
        <v>1</v>
      </c>
      <c r="EA182" s="1">
        <v>0.9</v>
      </c>
      <c r="EB182" s="53">
        <v>1.1000000000000001</v>
      </c>
      <c r="EC182" s="1">
        <v>4.7</v>
      </c>
      <c r="ED182" s="1">
        <v>4.7</v>
      </c>
      <c r="EE182" s="53">
        <v>4.7</v>
      </c>
      <c r="EF182" s="1">
        <v>1.1000000000000001</v>
      </c>
      <c r="EG182" s="1">
        <v>0.90000000000000013</v>
      </c>
      <c r="EH182" s="53">
        <v>1.3</v>
      </c>
      <c r="EJ182" s="1" t="s">
        <v>641</v>
      </c>
      <c r="EL182" s="1">
        <v>50</v>
      </c>
      <c r="EM182" s="1">
        <v>20</v>
      </c>
      <c r="EN182" s="1">
        <v>80</v>
      </c>
      <c r="EO182" s="1">
        <v>0</v>
      </c>
      <c r="EP182" s="1">
        <v>0</v>
      </c>
      <c r="EQ182" s="1">
        <v>0</v>
      </c>
      <c r="ER182" s="1">
        <v>4000</v>
      </c>
      <c r="ES182" s="1">
        <v>3800</v>
      </c>
      <c r="ET182" s="1">
        <v>4200</v>
      </c>
      <c r="EU182" s="1">
        <v>0.61058823529411754</v>
      </c>
      <c r="EV182" s="18">
        <v>0.10176470588235291</v>
      </c>
      <c r="EW182" s="18">
        <v>1.1194117647058823</v>
      </c>
      <c r="EX182" s="18">
        <v>274.76470588235293</v>
      </c>
      <c r="EY182" s="7">
        <v>183.17647058823528</v>
      </c>
      <c r="EZ182" s="7">
        <v>366.35294117647055</v>
      </c>
      <c r="FA182" s="7">
        <v>573.95294117647052</v>
      </c>
      <c r="FB182" s="7">
        <v>534.26470588235293</v>
      </c>
      <c r="FC182" s="7">
        <v>613.64117647058822</v>
      </c>
      <c r="FD182" s="7">
        <v>33.582352941176467</v>
      </c>
      <c r="FE182" s="7">
        <v>33.582352941176467</v>
      </c>
      <c r="FF182" s="7">
        <v>33.582352941176467</v>
      </c>
      <c r="FG182" s="7">
        <v>101.76470588235293</v>
      </c>
      <c r="FH182" s="7">
        <v>50.882352941176464</v>
      </c>
      <c r="FI182" s="7">
        <v>152.64705882352939</v>
      </c>
      <c r="FJ182" s="7">
        <v>2.8494117647058821</v>
      </c>
      <c r="FK182" s="7">
        <v>1.1194117647058821</v>
      </c>
      <c r="FL182" s="7">
        <v>4.5794117647058821</v>
      </c>
      <c r="FO182" s="1">
        <v>220</v>
      </c>
      <c r="FP182" s="1">
        <v>220</v>
      </c>
      <c r="FR182" s="12" t="s">
        <v>638</v>
      </c>
      <c r="FS182" s="1" t="s">
        <v>638</v>
      </c>
      <c r="FT182" s="12">
        <v>182</v>
      </c>
      <c r="FU182" s="12"/>
      <c r="FV182" s="12">
        <v>182</v>
      </c>
      <c r="FW182" s="12">
        <v>182</v>
      </c>
      <c r="FX182" s="1">
        <v>182</v>
      </c>
      <c r="FY182" s="12" t="s">
        <v>637</v>
      </c>
      <c r="FZ182" s="12" t="s">
        <v>636</v>
      </c>
      <c r="GA182" s="1">
        <v>202</v>
      </c>
      <c r="GB182" s="1">
        <v>202</v>
      </c>
      <c r="GD182" s="1" t="s">
        <v>640</v>
      </c>
      <c r="GE182" s="1">
        <v>211</v>
      </c>
      <c r="GF182" s="1">
        <v>214</v>
      </c>
      <c r="GG182" s="1">
        <v>220</v>
      </c>
      <c r="GH182" s="1">
        <v>214</v>
      </c>
      <c r="GK182" s="1" t="s">
        <v>639</v>
      </c>
    </row>
    <row r="183" spans="1:193" ht="12.75" customHeight="1" x14ac:dyDescent="0.2">
      <c r="A183" s="1" t="s">
        <v>84</v>
      </c>
      <c r="D183" s="1" t="s">
        <v>575</v>
      </c>
      <c r="E183" s="1" t="s">
        <v>129</v>
      </c>
      <c r="F183" s="1">
        <v>1</v>
      </c>
      <c r="G183" s="1">
        <v>2035</v>
      </c>
      <c r="H183" s="1">
        <v>1</v>
      </c>
      <c r="I183" s="1">
        <v>1</v>
      </c>
      <c r="J183" s="1">
        <v>0</v>
      </c>
      <c r="K183" s="10">
        <v>1421.58</v>
      </c>
      <c r="L183" s="10">
        <v>1339.02</v>
      </c>
      <c r="M183" s="10">
        <v>1504.14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8"/>
      <c r="BQ183" s="10">
        <v>163.83000000000001</v>
      </c>
      <c r="BR183" s="10">
        <v>0</v>
      </c>
      <c r="BS183" s="10">
        <v>327.66000000000003</v>
      </c>
      <c r="BT183" s="10">
        <f>Tabelle58971121[[#This Row],[Mindestauslastung durch]]*Tabelle58971121[[#This Row],[installierte Leistung MW durch]]</f>
        <v>0</v>
      </c>
      <c r="BU183" s="10">
        <f>Tabelle58971121[[#This Row],[Mindestauslastung min]]*Tabelle58971121[[#This Row],[installierte Leistung MW min]]</f>
        <v>0</v>
      </c>
      <c r="BV183" s="18">
        <f>Tabelle58971121[[#This Row],[Mindestauslastung max]]*Tabelle58971121[[#This Row],[installierte Leistung MW max]]</f>
        <v>0</v>
      </c>
      <c r="BW183" s="8">
        <v>0</v>
      </c>
      <c r="BX183" s="8">
        <v>0</v>
      </c>
      <c r="BY183" s="8">
        <v>0</v>
      </c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41">
        <v>0.52</v>
      </c>
      <c r="DC183" s="41">
        <v>0.49</v>
      </c>
      <c r="DD183" s="41">
        <v>0.55000000000000004</v>
      </c>
      <c r="DE183" s="10">
        <f>Tabelle58971121[[#This Row],[Durchschnittsauslastung min]]*Tabelle58971121[[#This Row],[installierte Leistung MW min]]</f>
        <v>1422.0960000000002</v>
      </c>
      <c r="DF183" s="10">
        <f>Tabelle58971121[[#This Row],[Durchschnittsauslastung durch]]*Tabelle58971121[[#This Row],[installierte Leistung MW durch]]</f>
        <v>1340.0520000000001</v>
      </c>
      <c r="DG183" s="48">
        <f>Tabelle58971121[[#This Row],[Durchschnittsauslastung max]]*Tabelle58971121[[#This Row],[installierte Leistung MW max]]</f>
        <v>1504.1400000000003</v>
      </c>
      <c r="DH183" s="87">
        <f>Tabelle58971121[[#This Row],[Maximalauslastung durch]]*Tabelle58971121[[#This Row],[installierte Leistung MW min]]</f>
        <v>1586.184</v>
      </c>
      <c r="DI183" s="48">
        <f>Tabelle58971121[[#This Row],[Maximalauslastung durch]]*Tabelle58971121[[#This Row],[installierte Leistung MW durch]]</f>
        <v>1586.184</v>
      </c>
      <c r="DJ183" s="10">
        <f>Tabelle58971121[[#This Row],[Maximalauslastung max]]*Tabelle58971121[[#This Row],[installierte Leistung MW durch]]</f>
        <v>1668.2280000000001</v>
      </c>
      <c r="DK183" s="8">
        <v>0.57999999999999996</v>
      </c>
      <c r="DL183" s="8">
        <v>0.55000000000000004</v>
      </c>
      <c r="DM183" s="8">
        <v>0.61</v>
      </c>
      <c r="DN183" s="10">
        <v>2734.8</v>
      </c>
      <c r="DO183" s="10">
        <v>2734.8</v>
      </c>
      <c r="DP183" s="10">
        <v>2734.8</v>
      </c>
      <c r="DQ183" s="1">
        <v>0.762625</v>
      </c>
      <c r="DR183" s="1">
        <v>2.7777777777777778E-4</v>
      </c>
      <c r="DS183" s="53">
        <v>3</v>
      </c>
      <c r="DT183" s="1">
        <v>1.3888888888888889E-4</v>
      </c>
      <c r="DU183" s="1">
        <v>0</v>
      </c>
      <c r="DV183" s="53">
        <v>2.7777777777777778E-4</v>
      </c>
      <c r="DW183" s="1">
        <v>3.7</v>
      </c>
      <c r="DX183" s="1">
        <v>3.3000000000000003</v>
      </c>
      <c r="DY183" s="53">
        <v>4.1000000000000005</v>
      </c>
      <c r="DZ183" s="1">
        <v>1</v>
      </c>
      <c r="EA183" s="1">
        <v>0.9</v>
      </c>
      <c r="EB183" s="53">
        <v>1.1000000000000001</v>
      </c>
      <c r="EC183" s="1">
        <v>4.7</v>
      </c>
      <c r="ED183" s="1">
        <v>4.7</v>
      </c>
      <c r="EE183" s="53">
        <v>4.7</v>
      </c>
      <c r="EF183" s="1">
        <v>1.1000000000000001</v>
      </c>
      <c r="EG183" s="1">
        <v>0.90000000000000013</v>
      </c>
      <c r="EH183" s="53">
        <v>1.3</v>
      </c>
      <c r="EJ183" s="1" t="s">
        <v>641</v>
      </c>
      <c r="EL183" s="1">
        <v>50</v>
      </c>
      <c r="EM183" s="1">
        <v>20</v>
      </c>
      <c r="EN183" s="1">
        <v>80</v>
      </c>
      <c r="EO183" s="1">
        <v>0</v>
      </c>
      <c r="EP183" s="1">
        <v>0</v>
      </c>
      <c r="EQ183" s="1">
        <v>0</v>
      </c>
      <c r="ER183" s="1">
        <v>4000</v>
      </c>
      <c r="ES183" s="1">
        <v>3800</v>
      </c>
      <c r="ET183" s="1">
        <v>4200</v>
      </c>
      <c r="EU183" s="1">
        <v>0.61058823529411754</v>
      </c>
      <c r="EV183" s="18">
        <v>0.10176470588235291</v>
      </c>
      <c r="EW183" s="18">
        <v>1.1194117647058823</v>
      </c>
      <c r="EX183" s="18">
        <v>274.76470588235293</v>
      </c>
      <c r="EY183" s="7">
        <v>183.17647058823528</v>
      </c>
      <c r="EZ183" s="7">
        <v>366.35294117647055</v>
      </c>
      <c r="FA183" s="7">
        <v>573.95294117647052</v>
      </c>
      <c r="FB183" s="7">
        <v>534.26470588235293</v>
      </c>
      <c r="FC183" s="7">
        <v>613.64117647058822</v>
      </c>
      <c r="FD183" s="7">
        <v>33.582352941176467</v>
      </c>
      <c r="FE183" s="7">
        <v>33.582352941176467</v>
      </c>
      <c r="FF183" s="7">
        <v>33.582352941176467</v>
      </c>
      <c r="FG183" s="7">
        <v>101.76470588235293</v>
      </c>
      <c r="FH183" s="7">
        <v>50.882352941176464</v>
      </c>
      <c r="FI183" s="7">
        <v>152.64705882352939</v>
      </c>
      <c r="FJ183" s="7">
        <v>2.8494117647058821</v>
      </c>
      <c r="FK183" s="7">
        <v>1.1194117647058821</v>
      </c>
      <c r="FL183" s="7">
        <v>4.5794117647058821</v>
      </c>
      <c r="FO183" s="1">
        <v>220</v>
      </c>
      <c r="FP183" s="1">
        <v>220</v>
      </c>
      <c r="FR183" s="12" t="s">
        <v>638</v>
      </c>
      <c r="FS183" s="1" t="s">
        <v>638</v>
      </c>
      <c r="FT183" s="12">
        <v>182</v>
      </c>
      <c r="FU183" s="12"/>
      <c r="FV183" s="12">
        <v>182</v>
      </c>
      <c r="FW183" s="12">
        <v>182</v>
      </c>
      <c r="FX183" s="1">
        <v>182</v>
      </c>
      <c r="FY183" s="12" t="s">
        <v>637</v>
      </c>
      <c r="FZ183" s="12" t="s">
        <v>636</v>
      </c>
      <c r="GA183" s="1">
        <v>202</v>
      </c>
      <c r="GB183" s="1">
        <v>202</v>
      </c>
      <c r="GD183" s="1" t="s">
        <v>640</v>
      </c>
      <c r="GE183" s="1">
        <v>211</v>
      </c>
      <c r="GF183" s="1">
        <v>214</v>
      </c>
      <c r="GG183" s="1">
        <v>220</v>
      </c>
      <c r="GH183" s="1">
        <v>214</v>
      </c>
      <c r="GK183" s="1" t="s">
        <v>639</v>
      </c>
    </row>
    <row r="184" spans="1:193" ht="12.75" customHeight="1" x14ac:dyDescent="0.2">
      <c r="A184" s="1" t="s">
        <v>84</v>
      </c>
      <c r="D184" s="1" t="s">
        <v>575</v>
      </c>
      <c r="E184" s="1" t="s">
        <v>129</v>
      </c>
      <c r="F184" s="1">
        <v>1</v>
      </c>
      <c r="G184" s="1">
        <v>2040</v>
      </c>
      <c r="H184" s="1">
        <v>1</v>
      </c>
      <c r="I184" s="1">
        <v>1</v>
      </c>
      <c r="J184" s="1">
        <v>0</v>
      </c>
      <c r="K184" s="10">
        <v>1542.8</v>
      </c>
      <c r="L184" s="10">
        <v>1453.1999999999998</v>
      </c>
      <c r="M184" s="10">
        <v>1632.3999999999999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8"/>
      <c r="BQ184" s="10">
        <v>177.79999999999998</v>
      </c>
      <c r="BR184" s="10">
        <v>0</v>
      </c>
      <c r="BS184" s="10">
        <v>355.59999999999997</v>
      </c>
      <c r="BT184" s="10">
        <f>Tabelle58971121[[#This Row],[Mindestauslastung durch]]*Tabelle58971121[[#This Row],[installierte Leistung MW durch]]</f>
        <v>0</v>
      </c>
      <c r="BU184" s="10">
        <f>Tabelle58971121[[#This Row],[Mindestauslastung min]]*Tabelle58971121[[#This Row],[installierte Leistung MW min]]</f>
        <v>0</v>
      </c>
      <c r="BV184" s="18">
        <f>Tabelle58971121[[#This Row],[Mindestauslastung max]]*Tabelle58971121[[#This Row],[installierte Leistung MW max]]</f>
        <v>0</v>
      </c>
      <c r="BW184" s="8">
        <v>0</v>
      </c>
      <c r="BX184" s="8">
        <v>0</v>
      </c>
      <c r="BY184" s="8">
        <v>0</v>
      </c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41">
        <v>0.52</v>
      </c>
      <c r="DC184" s="41">
        <v>0.49</v>
      </c>
      <c r="DD184" s="41">
        <v>0.55000000000000004</v>
      </c>
      <c r="DE184" s="10">
        <f>Tabelle58971121[[#This Row],[Durchschnittsauslastung min]]*Tabelle58971121[[#This Row],[installierte Leistung MW min]]</f>
        <v>1543.3600000000001</v>
      </c>
      <c r="DF184" s="10">
        <f>Tabelle58971121[[#This Row],[Durchschnittsauslastung durch]]*Tabelle58971121[[#This Row],[installierte Leistung MW durch]]</f>
        <v>1454.32</v>
      </c>
      <c r="DG184" s="48">
        <f>Tabelle58971121[[#This Row],[Durchschnittsauslastung max]]*Tabelle58971121[[#This Row],[installierte Leistung MW max]]</f>
        <v>1632.4</v>
      </c>
      <c r="DH184" s="87">
        <f>Tabelle58971121[[#This Row],[Maximalauslastung durch]]*Tabelle58971121[[#This Row],[installierte Leistung MW min]]</f>
        <v>1721.4399999999998</v>
      </c>
      <c r="DI184" s="48">
        <f>Tabelle58971121[[#This Row],[Maximalauslastung durch]]*Tabelle58971121[[#This Row],[installierte Leistung MW durch]]</f>
        <v>1721.4399999999998</v>
      </c>
      <c r="DJ184" s="10">
        <f>Tabelle58971121[[#This Row],[Maximalauslastung max]]*Tabelle58971121[[#This Row],[installierte Leistung MW durch]]</f>
        <v>1810.48</v>
      </c>
      <c r="DK184" s="8">
        <v>0.57999999999999996</v>
      </c>
      <c r="DL184" s="8">
        <v>0.55000000000000004</v>
      </c>
      <c r="DM184" s="8">
        <v>0.61</v>
      </c>
      <c r="DN184" s="10">
        <v>2968</v>
      </c>
      <c r="DO184" s="10">
        <v>2968</v>
      </c>
      <c r="DP184" s="10">
        <v>2968</v>
      </c>
      <c r="DQ184" s="1">
        <v>0.762625</v>
      </c>
      <c r="DR184" s="1">
        <v>2.7777777777777778E-4</v>
      </c>
      <c r="DS184" s="53">
        <v>3</v>
      </c>
      <c r="DT184" s="1">
        <v>1.3888888888888889E-4</v>
      </c>
      <c r="DU184" s="1">
        <v>0</v>
      </c>
      <c r="DV184" s="53">
        <v>2.7777777777777778E-4</v>
      </c>
      <c r="DW184" s="1">
        <v>3.7</v>
      </c>
      <c r="DX184" s="1">
        <v>3.3000000000000003</v>
      </c>
      <c r="DY184" s="53">
        <v>4.1000000000000005</v>
      </c>
      <c r="DZ184" s="1">
        <v>1</v>
      </c>
      <c r="EA184" s="1">
        <v>0.9</v>
      </c>
      <c r="EB184" s="53">
        <v>1.1000000000000001</v>
      </c>
      <c r="EC184" s="1">
        <v>4.7</v>
      </c>
      <c r="ED184" s="1">
        <v>4.7</v>
      </c>
      <c r="EE184" s="53">
        <v>4.7</v>
      </c>
      <c r="EF184" s="1">
        <v>1.1000000000000001</v>
      </c>
      <c r="EG184" s="1">
        <v>0.90000000000000013</v>
      </c>
      <c r="EH184" s="53">
        <v>1.3</v>
      </c>
      <c r="EJ184" s="1" t="s">
        <v>641</v>
      </c>
      <c r="EL184" s="1">
        <v>50</v>
      </c>
      <c r="EM184" s="1">
        <v>20</v>
      </c>
      <c r="EN184" s="1">
        <v>80</v>
      </c>
      <c r="EO184" s="1">
        <v>0</v>
      </c>
      <c r="EP184" s="1">
        <v>0</v>
      </c>
      <c r="EQ184" s="1">
        <v>0</v>
      </c>
      <c r="ER184" s="1">
        <v>4000</v>
      </c>
      <c r="ES184" s="1">
        <v>3800</v>
      </c>
      <c r="ET184" s="1">
        <v>4200</v>
      </c>
      <c r="EU184" s="1">
        <v>0.61058823529411754</v>
      </c>
      <c r="EV184" s="18">
        <v>0.10176470588235291</v>
      </c>
      <c r="EW184" s="18">
        <v>1.1194117647058823</v>
      </c>
      <c r="EX184" s="18">
        <v>274.76470588235293</v>
      </c>
      <c r="EY184" s="7">
        <v>183.17647058823528</v>
      </c>
      <c r="EZ184" s="7">
        <v>366.35294117647055</v>
      </c>
      <c r="FA184" s="7">
        <v>573.95294117647052</v>
      </c>
      <c r="FB184" s="7">
        <v>534.26470588235293</v>
      </c>
      <c r="FC184" s="7">
        <v>613.64117647058822</v>
      </c>
      <c r="FD184" s="7">
        <v>33.582352941176467</v>
      </c>
      <c r="FE184" s="7">
        <v>33.582352941176467</v>
      </c>
      <c r="FF184" s="7">
        <v>33.582352941176467</v>
      </c>
      <c r="FG184" s="7">
        <v>101.76470588235293</v>
      </c>
      <c r="FH184" s="7">
        <v>50.882352941176464</v>
      </c>
      <c r="FI184" s="7">
        <v>152.64705882352939</v>
      </c>
      <c r="FJ184" s="7">
        <v>2.8494117647058821</v>
      </c>
      <c r="FK184" s="7">
        <v>1.1194117647058821</v>
      </c>
      <c r="FL184" s="7">
        <v>4.5794117647058821</v>
      </c>
      <c r="FO184" s="1">
        <v>220</v>
      </c>
      <c r="FP184" s="1">
        <v>220</v>
      </c>
      <c r="FR184" s="12" t="s">
        <v>638</v>
      </c>
      <c r="FS184" s="1" t="s">
        <v>638</v>
      </c>
      <c r="FT184" s="12">
        <v>182</v>
      </c>
      <c r="FU184" s="12"/>
      <c r="FV184" s="12">
        <v>182</v>
      </c>
      <c r="FW184" s="12">
        <v>182</v>
      </c>
      <c r="FX184" s="1">
        <v>182</v>
      </c>
      <c r="FY184" s="12" t="s">
        <v>637</v>
      </c>
      <c r="FZ184" s="12" t="s">
        <v>636</v>
      </c>
      <c r="GA184" s="1">
        <v>202</v>
      </c>
      <c r="GB184" s="1">
        <v>202</v>
      </c>
      <c r="GD184" s="1" t="s">
        <v>640</v>
      </c>
      <c r="GE184" s="1">
        <v>211</v>
      </c>
      <c r="GF184" s="1">
        <v>214</v>
      </c>
      <c r="GG184" s="1">
        <v>220</v>
      </c>
      <c r="GH184" s="1">
        <v>214</v>
      </c>
      <c r="GK184" s="1" t="s">
        <v>639</v>
      </c>
    </row>
    <row r="185" spans="1:193" ht="12.75" customHeight="1" x14ac:dyDescent="0.2">
      <c r="A185" s="1" t="s">
        <v>84</v>
      </c>
      <c r="D185" s="1" t="s">
        <v>575</v>
      </c>
      <c r="E185" s="1" t="s">
        <v>129</v>
      </c>
      <c r="F185" s="1">
        <v>1</v>
      </c>
      <c r="G185" s="1">
        <v>2045</v>
      </c>
      <c r="H185" s="1">
        <v>1</v>
      </c>
      <c r="I185" s="1">
        <v>1</v>
      </c>
      <c r="J185" s="1">
        <v>0</v>
      </c>
      <c r="K185" s="10">
        <v>1664.02</v>
      </c>
      <c r="L185" s="10">
        <v>1567.38</v>
      </c>
      <c r="M185" s="10">
        <v>1760.66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8"/>
      <c r="BQ185" s="10">
        <v>191.77</v>
      </c>
      <c r="BR185" s="10">
        <v>0</v>
      </c>
      <c r="BS185" s="10">
        <v>383.54</v>
      </c>
      <c r="BT185" s="10">
        <f>Tabelle58971121[[#This Row],[Mindestauslastung durch]]*Tabelle58971121[[#This Row],[installierte Leistung MW durch]]</f>
        <v>0</v>
      </c>
      <c r="BU185" s="10">
        <f>Tabelle58971121[[#This Row],[Mindestauslastung min]]*Tabelle58971121[[#This Row],[installierte Leistung MW min]]</f>
        <v>0</v>
      </c>
      <c r="BV185" s="18">
        <f>Tabelle58971121[[#This Row],[Mindestauslastung max]]*Tabelle58971121[[#This Row],[installierte Leistung MW max]]</f>
        <v>0</v>
      </c>
      <c r="BW185" s="8">
        <v>0</v>
      </c>
      <c r="BX185" s="8">
        <v>0</v>
      </c>
      <c r="BY185" s="8">
        <v>0</v>
      </c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41">
        <v>0.52</v>
      </c>
      <c r="DC185" s="41">
        <v>0.49</v>
      </c>
      <c r="DD185" s="41">
        <v>0.55000000000000004</v>
      </c>
      <c r="DE185" s="10">
        <f>Tabelle58971121[[#This Row],[Durchschnittsauslastung min]]*Tabelle58971121[[#This Row],[installierte Leistung MW min]]</f>
        <v>1664.624</v>
      </c>
      <c r="DF185" s="10">
        <f>Tabelle58971121[[#This Row],[Durchschnittsauslastung durch]]*Tabelle58971121[[#This Row],[installierte Leistung MW durch]]</f>
        <v>1568.588</v>
      </c>
      <c r="DG185" s="48">
        <f>Tabelle58971121[[#This Row],[Durchschnittsauslastung max]]*Tabelle58971121[[#This Row],[installierte Leistung MW max]]</f>
        <v>1760.66</v>
      </c>
      <c r="DH185" s="87">
        <f>Tabelle58971121[[#This Row],[Maximalauslastung durch]]*Tabelle58971121[[#This Row],[installierte Leistung MW min]]</f>
        <v>1856.6959999999997</v>
      </c>
      <c r="DI185" s="48">
        <f>Tabelle58971121[[#This Row],[Maximalauslastung durch]]*Tabelle58971121[[#This Row],[installierte Leistung MW durch]]</f>
        <v>1856.6959999999997</v>
      </c>
      <c r="DJ185" s="10">
        <f>Tabelle58971121[[#This Row],[Maximalauslastung max]]*Tabelle58971121[[#This Row],[installierte Leistung MW durch]]</f>
        <v>1952.7319999999997</v>
      </c>
      <c r="DK185" s="8">
        <v>0.57999999999999996</v>
      </c>
      <c r="DL185" s="8">
        <v>0.55000000000000004</v>
      </c>
      <c r="DM185" s="8">
        <v>0.61</v>
      </c>
      <c r="DN185" s="10">
        <v>3201.2</v>
      </c>
      <c r="DO185" s="10">
        <v>3201.2</v>
      </c>
      <c r="DP185" s="10">
        <v>3201.2</v>
      </c>
      <c r="DQ185" s="1">
        <v>0.762625</v>
      </c>
      <c r="DR185" s="1">
        <v>2.7777777777777778E-4</v>
      </c>
      <c r="DS185" s="53">
        <v>3</v>
      </c>
      <c r="DT185" s="1">
        <v>1.3888888888888889E-4</v>
      </c>
      <c r="DU185" s="1">
        <v>0</v>
      </c>
      <c r="DV185" s="53">
        <v>2.7777777777777778E-4</v>
      </c>
      <c r="DW185" s="1">
        <v>3.7</v>
      </c>
      <c r="DX185" s="1">
        <v>3.3000000000000003</v>
      </c>
      <c r="DY185" s="53">
        <v>4.1000000000000005</v>
      </c>
      <c r="DZ185" s="1">
        <v>1</v>
      </c>
      <c r="EA185" s="1">
        <v>0.9</v>
      </c>
      <c r="EB185" s="53">
        <v>1.1000000000000001</v>
      </c>
      <c r="EC185" s="1">
        <v>4.7</v>
      </c>
      <c r="ED185" s="1">
        <v>4.7</v>
      </c>
      <c r="EE185" s="53">
        <v>4.7</v>
      </c>
      <c r="EF185" s="1">
        <v>1.1000000000000001</v>
      </c>
      <c r="EG185" s="1">
        <v>0.90000000000000013</v>
      </c>
      <c r="EH185" s="53">
        <v>1.3</v>
      </c>
      <c r="EJ185" s="1" t="s">
        <v>641</v>
      </c>
      <c r="EL185" s="1">
        <v>50</v>
      </c>
      <c r="EM185" s="1">
        <v>20</v>
      </c>
      <c r="EN185" s="1">
        <v>80</v>
      </c>
      <c r="EO185" s="1">
        <v>0</v>
      </c>
      <c r="EP185" s="1">
        <v>0</v>
      </c>
      <c r="EQ185" s="1">
        <v>0</v>
      </c>
      <c r="ER185" s="1">
        <v>4000</v>
      </c>
      <c r="ES185" s="1">
        <v>3800</v>
      </c>
      <c r="ET185" s="1">
        <v>4200</v>
      </c>
      <c r="EU185" s="1">
        <v>0.61058823529411754</v>
      </c>
      <c r="EV185" s="18">
        <v>0.10176470588235291</v>
      </c>
      <c r="EW185" s="18">
        <v>1.1194117647058823</v>
      </c>
      <c r="EX185" s="18">
        <v>274.76470588235293</v>
      </c>
      <c r="EY185" s="7">
        <v>183.17647058823528</v>
      </c>
      <c r="EZ185" s="7">
        <v>366.35294117647055</v>
      </c>
      <c r="FA185" s="7">
        <v>573.95294117647052</v>
      </c>
      <c r="FB185" s="7">
        <v>534.26470588235293</v>
      </c>
      <c r="FC185" s="7">
        <v>613.64117647058822</v>
      </c>
      <c r="FD185" s="7">
        <v>33.582352941176467</v>
      </c>
      <c r="FE185" s="7">
        <v>33.582352941176467</v>
      </c>
      <c r="FF185" s="7">
        <v>33.582352941176467</v>
      </c>
      <c r="FG185" s="7">
        <v>101.76470588235293</v>
      </c>
      <c r="FH185" s="7">
        <v>50.882352941176464</v>
      </c>
      <c r="FI185" s="7">
        <v>152.64705882352939</v>
      </c>
      <c r="FJ185" s="7">
        <v>2.8494117647058821</v>
      </c>
      <c r="FK185" s="7">
        <v>1.1194117647058821</v>
      </c>
      <c r="FL185" s="7">
        <v>4.5794117647058821</v>
      </c>
      <c r="FO185" s="1">
        <v>220</v>
      </c>
      <c r="FP185" s="1">
        <v>220</v>
      </c>
      <c r="FR185" s="12" t="s">
        <v>638</v>
      </c>
      <c r="FS185" s="1" t="s">
        <v>638</v>
      </c>
      <c r="FT185" s="12">
        <v>182</v>
      </c>
      <c r="FU185" s="12"/>
      <c r="FV185" s="12">
        <v>182</v>
      </c>
      <c r="FW185" s="12">
        <v>182</v>
      </c>
      <c r="FX185" s="1">
        <v>182</v>
      </c>
      <c r="FY185" s="12" t="s">
        <v>637</v>
      </c>
      <c r="FZ185" s="12" t="s">
        <v>636</v>
      </c>
      <c r="GA185" s="1">
        <v>202</v>
      </c>
      <c r="GB185" s="1">
        <v>202</v>
      </c>
      <c r="GD185" s="1" t="s">
        <v>640</v>
      </c>
      <c r="GE185" s="1">
        <v>211</v>
      </c>
      <c r="GF185" s="1">
        <v>214</v>
      </c>
      <c r="GG185" s="1">
        <v>220</v>
      </c>
      <c r="GH185" s="1">
        <v>214</v>
      </c>
      <c r="GK185" s="1" t="s">
        <v>639</v>
      </c>
    </row>
    <row r="186" spans="1:193" ht="12.75" customHeight="1" x14ac:dyDescent="0.2">
      <c r="A186" s="1" t="s">
        <v>192</v>
      </c>
      <c r="D186" s="1" t="s">
        <v>581</v>
      </c>
      <c r="E186" s="1" t="s">
        <v>129</v>
      </c>
      <c r="F186" s="1">
        <v>1</v>
      </c>
      <c r="G186" s="1">
        <v>2015</v>
      </c>
      <c r="H186" s="1">
        <v>1</v>
      </c>
      <c r="I186" s="1">
        <v>1</v>
      </c>
      <c r="J186" s="1">
        <v>0</v>
      </c>
      <c r="K186" s="10">
        <v>25</v>
      </c>
      <c r="L186" s="10">
        <v>15</v>
      </c>
      <c r="M186" s="10">
        <v>35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8"/>
      <c r="BQ186" s="10">
        <v>35</v>
      </c>
      <c r="BR186" s="10">
        <v>22</v>
      </c>
      <c r="BS186" s="10">
        <v>48</v>
      </c>
      <c r="BT186" s="10">
        <f>Tabelle58971121[[#This Row],[Mindestauslastung durch]]*Tabelle58971121[[#This Row],[installierte Leistung MW durch]]</f>
        <v>0</v>
      </c>
      <c r="BU186" s="10">
        <f>Tabelle58971121[[#This Row],[Mindestauslastung min]]*Tabelle58971121[[#This Row],[installierte Leistung MW min]]</f>
        <v>0</v>
      </c>
      <c r="BV186" s="18">
        <f>Tabelle58971121[[#This Row],[Mindestauslastung max]]*Tabelle58971121[[#This Row],[installierte Leistung MW max]]</f>
        <v>0</v>
      </c>
      <c r="BW186" s="8">
        <v>0</v>
      </c>
      <c r="BX186" s="8">
        <v>0</v>
      </c>
      <c r="BY186" s="8">
        <v>0</v>
      </c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41">
        <v>0.4</v>
      </c>
      <c r="DC186" s="41">
        <v>0.35</v>
      </c>
      <c r="DD186" s="41">
        <v>0.45</v>
      </c>
      <c r="DE186" s="10">
        <f>Tabelle58971121[[#This Row],[Durchschnittsauslastung min]]*Tabelle58971121[[#This Row],[installierte Leistung MW min]]</f>
        <v>18.400000000000002</v>
      </c>
      <c r="DF186" s="10">
        <f>Tabelle58971121[[#This Row],[Durchschnittsauslastung durch]]*Tabelle58971121[[#This Row],[installierte Leistung MW durch]]</f>
        <v>22.049999999999997</v>
      </c>
      <c r="DG186" s="48">
        <f>Tabelle58971121[[#This Row],[Durchschnittsauslastung max]]*Tabelle58971121[[#This Row],[installierte Leistung MW max]]</f>
        <v>36</v>
      </c>
      <c r="DH186" s="87">
        <f>Tabelle58971121[[#This Row],[Maximalauslastung durch]]*Tabelle58971121[[#This Row],[installierte Leistung MW min]]</f>
        <v>43.699999999999996</v>
      </c>
      <c r="DI186" s="48">
        <f>Tabelle58971121[[#This Row],[Maximalauslastung durch]]*Tabelle58971121[[#This Row],[installierte Leistung MW durch]]</f>
        <v>59.849999999999994</v>
      </c>
      <c r="DJ186" s="10">
        <f>Tabelle58971121[[#This Row],[Maximalauslastung max]]*Tabelle58971121[[#This Row],[installierte Leistung MW durch]]</f>
        <v>60.48</v>
      </c>
      <c r="DK186" s="8">
        <v>0.95</v>
      </c>
      <c r="DL186" s="8">
        <v>0.94</v>
      </c>
      <c r="DM186" s="8">
        <v>0.96</v>
      </c>
      <c r="DN186" s="10">
        <v>63</v>
      </c>
      <c r="DO186" s="10">
        <v>46</v>
      </c>
      <c r="DP186" s="10">
        <v>80</v>
      </c>
      <c r="DQ186" s="1">
        <v>2.8763888888888891E-2</v>
      </c>
      <c r="DR186" s="1">
        <v>0</v>
      </c>
      <c r="DS186" s="53">
        <v>8.3333333333333329E-2</v>
      </c>
      <c r="DT186" s="1">
        <v>2.8763888888888891E-2</v>
      </c>
      <c r="DU186" s="1">
        <v>0</v>
      </c>
      <c r="DV186" s="53">
        <v>8.3333333333333329E-2</v>
      </c>
      <c r="DW186" s="1">
        <v>6</v>
      </c>
      <c r="DX186" s="1">
        <v>4.8</v>
      </c>
      <c r="DY186" s="53">
        <v>7.2</v>
      </c>
      <c r="DZ186" s="1">
        <v>5</v>
      </c>
      <c r="EA186" s="1">
        <v>4</v>
      </c>
      <c r="EB186" s="53">
        <v>6</v>
      </c>
      <c r="EC186" s="1">
        <v>11</v>
      </c>
      <c r="ED186" s="1">
        <v>11</v>
      </c>
      <c r="EE186" s="53">
        <v>11</v>
      </c>
      <c r="EF186" s="1">
        <v>10.4</v>
      </c>
      <c r="EG186" s="1">
        <v>6.4</v>
      </c>
      <c r="EH186" s="53">
        <v>14.4</v>
      </c>
      <c r="EJ186" s="1" t="s">
        <v>641</v>
      </c>
      <c r="EL186" s="1">
        <v>600</v>
      </c>
      <c r="EM186" s="1">
        <v>450</v>
      </c>
      <c r="EN186" s="1">
        <v>750</v>
      </c>
      <c r="EO186" s="1">
        <v>0</v>
      </c>
      <c r="EP186" s="1">
        <v>0</v>
      </c>
      <c r="EQ186" s="1">
        <v>0</v>
      </c>
      <c r="ER186" s="1">
        <v>600</v>
      </c>
      <c r="ES186" s="1">
        <v>450</v>
      </c>
      <c r="ET186" s="1">
        <v>750</v>
      </c>
      <c r="EU186" s="1">
        <v>1.526470588235294</v>
      </c>
      <c r="EV186" s="18">
        <v>0.50882352941176467</v>
      </c>
      <c r="EW186" s="18">
        <v>2.5441176470588234</v>
      </c>
      <c r="EX186" s="18">
        <v>122.11764705882352</v>
      </c>
      <c r="EY186" s="7">
        <v>71.235294117647058</v>
      </c>
      <c r="EZ186" s="7">
        <v>173</v>
      </c>
      <c r="FA186" s="7">
        <v>834.47058823529403</v>
      </c>
      <c r="FB186" s="7">
        <v>791.72941176470579</v>
      </c>
      <c r="FC186" s="7">
        <v>877.21176470588227</v>
      </c>
      <c r="FD186" s="7">
        <v>45.794117647058819</v>
      </c>
      <c r="FE186" s="7">
        <v>29.511764705882349</v>
      </c>
      <c r="FF186" s="7">
        <v>62.076470588235289</v>
      </c>
      <c r="FG186" s="7">
        <v>94.641176470588235</v>
      </c>
      <c r="FH186" s="7">
        <v>61.058823529411761</v>
      </c>
      <c r="FI186" s="7">
        <v>128.2235294117647</v>
      </c>
      <c r="FJ186" s="7">
        <v>19.437058823529412</v>
      </c>
      <c r="FK186" s="7">
        <v>16.384117647058822</v>
      </c>
      <c r="FL186" s="7">
        <v>22.49</v>
      </c>
      <c r="FO186" s="1">
        <v>220</v>
      </c>
      <c r="FP186" s="1">
        <v>220</v>
      </c>
      <c r="FR186" s="12" t="s">
        <v>638</v>
      </c>
      <c r="FS186" s="1" t="s">
        <v>638</v>
      </c>
      <c r="FT186" s="12">
        <v>182</v>
      </c>
      <c r="FU186" s="12"/>
      <c r="FV186" s="12">
        <v>182</v>
      </c>
      <c r="FW186" s="12">
        <v>182</v>
      </c>
      <c r="FX186" s="1">
        <v>182</v>
      </c>
      <c r="FY186" s="12" t="s">
        <v>637</v>
      </c>
      <c r="FZ186" s="12" t="s">
        <v>636</v>
      </c>
      <c r="GA186" s="1">
        <v>202</v>
      </c>
      <c r="GB186" s="1">
        <v>202</v>
      </c>
      <c r="GD186" s="1" t="s">
        <v>640</v>
      </c>
      <c r="GE186" s="1">
        <v>211</v>
      </c>
      <c r="GF186" s="1">
        <v>214</v>
      </c>
      <c r="GG186" s="1">
        <v>220</v>
      </c>
      <c r="GH186" s="1">
        <v>214</v>
      </c>
      <c r="GK186" s="1" t="s">
        <v>639</v>
      </c>
    </row>
    <row r="187" spans="1:193" ht="12.75" customHeight="1" x14ac:dyDescent="0.2">
      <c r="A187" s="1" t="s">
        <v>192</v>
      </c>
      <c r="D187" s="1" t="s">
        <v>581</v>
      </c>
      <c r="E187" s="1" t="s">
        <v>129</v>
      </c>
      <c r="F187" s="1">
        <v>1</v>
      </c>
      <c r="G187" s="1">
        <v>2020</v>
      </c>
      <c r="H187" s="1">
        <v>1</v>
      </c>
      <c r="I187" s="1">
        <v>1</v>
      </c>
      <c r="J187" s="1">
        <v>0</v>
      </c>
      <c r="K187" s="10">
        <v>25</v>
      </c>
      <c r="L187" s="10">
        <v>15</v>
      </c>
      <c r="M187" s="10">
        <v>35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8"/>
      <c r="BQ187" s="10">
        <v>35</v>
      </c>
      <c r="BR187" s="10">
        <v>22</v>
      </c>
      <c r="BS187" s="10">
        <v>48</v>
      </c>
      <c r="BT187" s="10">
        <f>Tabelle58971121[[#This Row],[Mindestauslastung durch]]*Tabelle58971121[[#This Row],[installierte Leistung MW durch]]</f>
        <v>0</v>
      </c>
      <c r="BU187" s="10">
        <f>Tabelle58971121[[#This Row],[Mindestauslastung min]]*Tabelle58971121[[#This Row],[installierte Leistung MW min]]</f>
        <v>0</v>
      </c>
      <c r="BV187" s="18">
        <f>Tabelle58971121[[#This Row],[Mindestauslastung max]]*Tabelle58971121[[#This Row],[installierte Leistung MW max]]</f>
        <v>0</v>
      </c>
      <c r="BW187" s="8">
        <v>0</v>
      </c>
      <c r="BX187" s="8">
        <v>0</v>
      </c>
      <c r="BY187" s="8">
        <v>0</v>
      </c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41">
        <v>0.4</v>
      </c>
      <c r="DC187" s="41">
        <v>0.35</v>
      </c>
      <c r="DD187" s="41">
        <v>0.45</v>
      </c>
      <c r="DE187" s="10">
        <f>Tabelle58971121[[#This Row],[Durchschnittsauslastung min]]*Tabelle58971121[[#This Row],[installierte Leistung MW min]]</f>
        <v>18.400000000000002</v>
      </c>
      <c r="DF187" s="10">
        <f>Tabelle58971121[[#This Row],[Durchschnittsauslastung durch]]*Tabelle58971121[[#This Row],[installierte Leistung MW durch]]</f>
        <v>22.049999999999997</v>
      </c>
      <c r="DG187" s="48">
        <f>Tabelle58971121[[#This Row],[Durchschnittsauslastung max]]*Tabelle58971121[[#This Row],[installierte Leistung MW max]]</f>
        <v>36</v>
      </c>
      <c r="DH187" s="87">
        <f>Tabelle58971121[[#This Row],[Maximalauslastung durch]]*Tabelle58971121[[#This Row],[installierte Leistung MW min]]</f>
        <v>43.699999999999996</v>
      </c>
      <c r="DI187" s="48">
        <f>Tabelle58971121[[#This Row],[Maximalauslastung durch]]*Tabelle58971121[[#This Row],[installierte Leistung MW durch]]</f>
        <v>59.849999999999994</v>
      </c>
      <c r="DJ187" s="10">
        <f>Tabelle58971121[[#This Row],[Maximalauslastung max]]*Tabelle58971121[[#This Row],[installierte Leistung MW durch]]</f>
        <v>60.48</v>
      </c>
      <c r="DK187" s="8">
        <v>0.95</v>
      </c>
      <c r="DL187" s="8">
        <v>0.94</v>
      </c>
      <c r="DM187" s="8">
        <v>0.96</v>
      </c>
      <c r="DN187" s="10">
        <v>63</v>
      </c>
      <c r="DO187" s="10">
        <v>46</v>
      </c>
      <c r="DP187" s="10">
        <v>80</v>
      </c>
      <c r="DQ187" s="1">
        <v>2.8763888888888891E-2</v>
      </c>
      <c r="DR187" s="1">
        <v>0</v>
      </c>
      <c r="DS187" s="53">
        <v>8.3333333333333329E-2</v>
      </c>
      <c r="DT187" s="1">
        <v>2.8763888888888891E-2</v>
      </c>
      <c r="DU187" s="1">
        <v>0</v>
      </c>
      <c r="DV187" s="53">
        <v>8.3333333333333329E-2</v>
      </c>
      <c r="DW187" s="1">
        <v>6</v>
      </c>
      <c r="DX187" s="1">
        <v>4.8</v>
      </c>
      <c r="DY187" s="53">
        <v>7.2</v>
      </c>
      <c r="DZ187" s="1">
        <v>5</v>
      </c>
      <c r="EA187" s="1">
        <v>4</v>
      </c>
      <c r="EB187" s="53">
        <v>6</v>
      </c>
      <c r="EC187" s="1">
        <v>11</v>
      </c>
      <c r="ED187" s="1">
        <v>11</v>
      </c>
      <c r="EE187" s="53">
        <v>11</v>
      </c>
      <c r="EF187" s="1">
        <v>10.4</v>
      </c>
      <c r="EG187" s="1">
        <v>6.4</v>
      </c>
      <c r="EH187" s="53">
        <v>14.4</v>
      </c>
      <c r="EJ187" s="1" t="s">
        <v>641</v>
      </c>
      <c r="EL187" s="1">
        <v>600</v>
      </c>
      <c r="EM187" s="1">
        <v>450</v>
      </c>
      <c r="EN187" s="1">
        <v>750</v>
      </c>
      <c r="EO187" s="1">
        <v>0</v>
      </c>
      <c r="EP187" s="1">
        <v>0</v>
      </c>
      <c r="EQ187" s="1">
        <v>0</v>
      </c>
      <c r="ER187" s="1">
        <v>600</v>
      </c>
      <c r="ES187" s="1">
        <v>450</v>
      </c>
      <c r="ET187" s="1">
        <v>750</v>
      </c>
      <c r="EU187" s="1">
        <v>1.526470588235294</v>
      </c>
      <c r="EV187" s="18">
        <v>0.50882352941176467</v>
      </c>
      <c r="EW187" s="18">
        <v>2.5441176470588234</v>
      </c>
      <c r="EX187" s="18">
        <v>122.11764705882352</v>
      </c>
      <c r="EY187" s="7">
        <v>71.235294117647058</v>
      </c>
      <c r="EZ187" s="7">
        <v>173</v>
      </c>
      <c r="FA187" s="7">
        <v>834.47058823529403</v>
      </c>
      <c r="FB187" s="7">
        <v>791.72941176470579</v>
      </c>
      <c r="FC187" s="7">
        <v>877.21176470588227</v>
      </c>
      <c r="FD187" s="7">
        <v>45.794117647058819</v>
      </c>
      <c r="FE187" s="7">
        <v>29.511764705882349</v>
      </c>
      <c r="FF187" s="7">
        <v>62.076470588235289</v>
      </c>
      <c r="FG187" s="7">
        <v>94.641176470588235</v>
      </c>
      <c r="FH187" s="7">
        <v>61.058823529411761</v>
      </c>
      <c r="FI187" s="7">
        <v>128.2235294117647</v>
      </c>
      <c r="FJ187" s="7">
        <v>19.437058823529412</v>
      </c>
      <c r="FK187" s="7">
        <v>16.384117647058822</v>
      </c>
      <c r="FL187" s="7">
        <v>22.49</v>
      </c>
      <c r="FO187" s="1">
        <v>220</v>
      </c>
      <c r="FP187" s="1">
        <v>220</v>
      </c>
      <c r="FR187" s="12" t="s">
        <v>638</v>
      </c>
      <c r="FS187" s="1" t="s">
        <v>638</v>
      </c>
      <c r="FT187" s="12">
        <v>182</v>
      </c>
      <c r="FU187" s="12"/>
      <c r="FV187" s="12">
        <v>182</v>
      </c>
      <c r="FW187" s="12">
        <v>182</v>
      </c>
      <c r="FX187" s="1">
        <v>182</v>
      </c>
      <c r="FY187" s="12" t="s">
        <v>637</v>
      </c>
      <c r="FZ187" s="12" t="s">
        <v>636</v>
      </c>
      <c r="GA187" s="1">
        <v>202</v>
      </c>
      <c r="GB187" s="1">
        <v>202</v>
      </c>
      <c r="GD187" s="1" t="s">
        <v>640</v>
      </c>
      <c r="GE187" s="1">
        <v>211</v>
      </c>
      <c r="GF187" s="1">
        <v>214</v>
      </c>
      <c r="GG187" s="1">
        <v>220</v>
      </c>
      <c r="GH187" s="1">
        <v>214</v>
      </c>
      <c r="GK187" s="1" t="s">
        <v>639</v>
      </c>
    </row>
    <row r="188" spans="1:193" ht="12.75" customHeight="1" x14ac:dyDescent="0.2">
      <c r="A188" s="1" t="s">
        <v>192</v>
      </c>
      <c r="D188" s="1" t="s">
        <v>581</v>
      </c>
      <c r="E188" s="1" t="s">
        <v>129</v>
      </c>
      <c r="F188" s="1">
        <v>1</v>
      </c>
      <c r="G188" s="1">
        <v>2025</v>
      </c>
      <c r="H188" s="1">
        <v>1</v>
      </c>
      <c r="I188" s="1">
        <v>1</v>
      </c>
      <c r="J188" s="1">
        <v>0</v>
      </c>
      <c r="K188" s="10">
        <v>25</v>
      </c>
      <c r="L188" s="10">
        <v>15</v>
      </c>
      <c r="M188" s="10">
        <v>35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8"/>
      <c r="BQ188" s="10">
        <v>35</v>
      </c>
      <c r="BR188" s="10">
        <v>22</v>
      </c>
      <c r="BS188" s="10">
        <v>48</v>
      </c>
      <c r="BT188" s="10">
        <f>Tabelle58971121[[#This Row],[Mindestauslastung durch]]*Tabelle58971121[[#This Row],[installierte Leistung MW durch]]</f>
        <v>0</v>
      </c>
      <c r="BU188" s="10">
        <f>Tabelle58971121[[#This Row],[Mindestauslastung min]]*Tabelle58971121[[#This Row],[installierte Leistung MW min]]</f>
        <v>0</v>
      </c>
      <c r="BV188" s="18">
        <f>Tabelle58971121[[#This Row],[Mindestauslastung max]]*Tabelle58971121[[#This Row],[installierte Leistung MW max]]</f>
        <v>0</v>
      </c>
      <c r="BW188" s="8">
        <v>0</v>
      </c>
      <c r="BX188" s="8">
        <v>0</v>
      </c>
      <c r="BY188" s="8">
        <v>0</v>
      </c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41">
        <v>0.4</v>
      </c>
      <c r="DC188" s="41">
        <v>0.35</v>
      </c>
      <c r="DD188" s="41">
        <v>0.45</v>
      </c>
      <c r="DE188" s="10">
        <f>Tabelle58971121[[#This Row],[Durchschnittsauslastung min]]*Tabelle58971121[[#This Row],[installierte Leistung MW min]]</f>
        <v>18.400000000000002</v>
      </c>
      <c r="DF188" s="10">
        <f>Tabelle58971121[[#This Row],[Durchschnittsauslastung durch]]*Tabelle58971121[[#This Row],[installierte Leistung MW durch]]</f>
        <v>22.049999999999997</v>
      </c>
      <c r="DG188" s="48">
        <f>Tabelle58971121[[#This Row],[Durchschnittsauslastung max]]*Tabelle58971121[[#This Row],[installierte Leistung MW max]]</f>
        <v>36</v>
      </c>
      <c r="DH188" s="87">
        <f>Tabelle58971121[[#This Row],[Maximalauslastung durch]]*Tabelle58971121[[#This Row],[installierte Leistung MW min]]</f>
        <v>43.699999999999996</v>
      </c>
      <c r="DI188" s="48">
        <f>Tabelle58971121[[#This Row],[Maximalauslastung durch]]*Tabelle58971121[[#This Row],[installierte Leistung MW durch]]</f>
        <v>59.849999999999994</v>
      </c>
      <c r="DJ188" s="10">
        <f>Tabelle58971121[[#This Row],[Maximalauslastung max]]*Tabelle58971121[[#This Row],[installierte Leistung MW durch]]</f>
        <v>60.48</v>
      </c>
      <c r="DK188" s="8">
        <v>0.95</v>
      </c>
      <c r="DL188" s="8">
        <v>0.94</v>
      </c>
      <c r="DM188" s="8">
        <v>0.96</v>
      </c>
      <c r="DN188" s="10">
        <v>63</v>
      </c>
      <c r="DO188" s="10">
        <v>46</v>
      </c>
      <c r="DP188" s="10">
        <v>80</v>
      </c>
      <c r="DQ188" s="1">
        <v>2.8763888888888891E-2</v>
      </c>
      <c r="DR188" s="1">
        <v>0</v>
      </c>
      <c r="DS188" s="53">
        <v>8.3333333333333329E-2</v>
      </c>
      <c r="DT188" s="1">
        <v>2.8763888888888891E-2</v>
      </c>
      <c r="DU188" s="1">
        <v>0</v>
      </c>
      <c r="DV188" s="53">
        <v>8.3333333333333329E-2</v>
      </c>
      <c r="DW188" s="1">
        <v>6</v>
      </c>
      <c r="DX188" s="1">
        <v>4.8</v>
      </c>
      <c r="DY188" s="53">
        <v>7.2</v>
      </c>
      <c r="DZ188" s="1">
        <v>5</v>
      </c>
      <c r="EA188" s="1">
        <v>4</v>
      </c>
      <c r="EB188" s="53">
        <v>6</v>
      </c>
      <c r="EC188" s="1">
        <v>11</v>
      </c>
      <c r="ED188" s="1">
        <v>11</v>
      </c>
      <c r="EE188" s="53">
        <v>11</v>
      </c>
      <c r="EF188" s="1">
        <v>10.4</v>
      </c>
      <c r="EG188" s="1">
        <v>6.4</v>
      </c>
      <c r="EH188" s="53">
        <v>14.4</v>
      </c>
      <c r="EJ188" s="1" t="s">
        <v>641</v>
      </c>
      <c r="EL188" s="1">
        <v>600</v>
      </c>
      <c r="EM188" s="1">
        <v>450</v>
      </c>
      <c r="EN188" s="1">
        <v>750</v>
      </c>
      <c r="EO188" s="1">
        <v>0</v>
      </c>
      <c r="EP188" s="1">
        <v>0</v>
      </c>
      <c r="EQ188" s="1">
        <v>0</v>
      </c>
      <c r="ER188" s="1">
        <v>600</v>
      </c>
      <c r="ES188" s="1">
        <v>450</v>
      </c>
      <c r="ET188" s="1">
        <v>750</v>
      </c>
      <c r="EU188" s="1">
        <v>1.526470588235294</v>
      </c>
      <c r="EV188" s="18">
        <v>0.50882352941176467</v>
      </c>
      <c r="EW188" s="18">
        <v>2.5441176470588234</v>
      </c>
      <c r="EX188" s="18">
        <v>122.11764705882352</v>
      </c>
      <c r="EY188" s="7">
        <v>71.235294117647058</v>
      </c>
      <c r="EZ188" s="7">
        <v>173</v>
      </c>
      <c r="FA188" s="7">
        <v>834.47058823529403</v>
      </c>
      <c r="FB188" s="7">
        <v>791.72941176470579</v>
      </c>
      <c r="FC188" s="7">
        <v>877.21176470588227</v>
      </c>
      <c r="FD188" s="7">
        <v>45.794117647058819</v>
      </c>
      <c r="FE188" s="7">
        <v>29.511764705882349</v>
      </c>
      <c r="FF188" s="7">
        <v>62.076470588235289</v>
      </c>
      <c r="FG188" s="7">
        <v>94.641176470588235</v>
      </c>
      <c r="FH188" s="7">
        <v>61.058823529411761</v>
      </c>
      <c r="FI188" s="7">
        <v>128.2235294117647</v>
      </c>
      <c r="FJ188" s="7">
        <v>19.437058823529412</v>
      </c>
      <c r="FK188" s="7">
        <v>16.384117647058822</v>
      </c>
      <c r="FL188" s="7">
        <v>22.49</v>
      </c>
      <c r="FO188" s="1">
        <v>220</v>
      </c>
      <c r="FP188" s="1">
        <v>220</v>
      </c>
      <c r="FR188" s="12" t="s">
        <v>638</v>
      </c>
      <c r="FS188" s="1" t="s">
        <v>638</v>
      </c>
      <c r="FT188" s="12">
        <v>182</v>
      </c>
      <c r="FU188" s="12"/>
      <c r="FV188" s="12">
        <v>182</v>
      </c>
      <c r="FW188" s="12">
        <v>182</v>
      </c>
      <c r="FX188" s="1">
        <v>182</v>
      </c>
      <c r="FY188" s="12" t="s">
        <v>637</v>
      </c>
      <c r="FZ188" s="12" t="s">
        <v>636</v>
      </c>
      <c r="GA188" s="1">
        <v>202</v>
      </c>
      <c r="GB188" s="1">
        <v>202</v>
      </c>
      <c r="GD188" s="1" t="s">
        <v>640</v>
      </c>
      <c r="GE188" s="1">
        <v>211</v>
      </c>
      <c r="GF188" s="1">
        <v>214</v>
      </c>
      <c r="GG188" s="1">
        <v>220</v>
      </c>
      <c r="GH188" s="1">
        <v>214</v>
      </c>
      <c r="GK188" s="1" t="s">
        <v>639</v>
      </c>
    </row>
    <row r="189" spans="1:193" ht="12.75" customHeight="1" x14ac:dyDescent="0.2">
      <c r="A189" s="1" t="s">
        <v>192</v>
      </c>
      <c r="D189" s="1" t="s">
        <v>581</v>
      </c>
      <c r="E189" s="1" t="s">
        <v>129</v>
      </c>
      <c r="F189" s="1">
        <v>1</v>
      </c>
      <c r="G189" s="1">
        <v>2030</v>
      </c>
      <c r="H189" s="1">
        <v>1</v>
      </c>
      <c r="I189" s="1">
        <v>1</v>
      </c>
      <c r="J189" s="1">
        <v>0</v>
      </c>
      <c r="K189" s="10">
        <v>25</v>
      </c>
      <c r="L189" s="10">
        <v>15</v>
      </c>
      <c r="M189" s="10">
        <v>35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8"/>
      <c r="BQ189" s="10">
        <v>35</v>
      </c>
      <c r="BR189" s="10">
        <v>22</v>
      </c>
      <c r="BS189" s="10">
        <v>48</v>
      </c>
      <c r="BT189" s="10">
        <f>Tabelle58971121[[#This Row],[Mindestauslastung durch]]*Tabelle58971121[[#This Row],[installierte Leistung MW durch]]</f>
        <v>0</v>
      </c>
      <c r="BU189" s="10">
        <f>Tabelle58971121[[#This Row],[Mindestauslastung min]]*Tabelle58971121[[#This Row],[installierte Leistung MW min]]</f>
        <v>0</v>
      </c>
      <c r="BV189" s="18">
        <f>Tabelle58971121[[#This Row],[Mindestauslastung max]]*Tabelle58971121[[#This Row],[installierte Leistung MW max]]</f>
        <v>0</v>
      </c>
      <c r="BW189" s="8">
        <v>0</v>
      </c>
      <c r="BX189" s="8">
        <v>0</v>
      </c>
      <c r="BY189" s="8">
        <v>0</v>
      </c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41">
        <v>0.4</v>
      </c>
      <c r="DC189" s="41">
        <v>0.35</v>
      </c>
      <c r="DD189" s="41">
        <v>0.45</v>
      </c>
      <c r="DE189" s="10">
        <f>Tabelle58971121[[#This Row],[Durchschnittsauslastung min]]*Tabelle58971121[[#This Row],[installierte Leistung MW min]]</f>
        <v>18.400000000000002</v>
      </c>
      <c r="DF189" s="10">
        <f>Tabelle58971121[[#This Row],[Durchschnittsauslastung durch]]*Tabelle58971121[[#This Row],[installierte Leistung MW durch]]</f>
        <v>22.049999999999997</v>
      </c>
      <c r="DG189" s="48">
        <f>Tabelle58971121[[#This Row],[Durchschnittsauslastung max]]*Tabelle58971121[[#This Row],[installierte Leistung MW max]]</f>
        <v>36</v>
      </c>
      <c r="DH189" s="87">
        <f>Tabelle58971121[[#This Row],[Maximalauslastung durch]]*Tabelle58971121[[#This Row],[installierte Leistung MW min]]</f>
        <v>43.699999999999996</v>
      </c>
      <c r="DI189" s="48">
        <f>Tabelle58971121[[#This Row],[Maximalauslastung durch]]*Tabelle58971121[[#This Row],[installierte Leistung MW durch]]</f>
        <v>59.849999999999994</v>
      </c>
      <c r="DJ189" s="10">
        <f>Tabelle58971121[[#This Row],[Maximalauslastung max]]*Tabelle58971121[[#This Row],[installierte Leistung MW durch]]</f>
        <v>60.48</v>
      </c>
      <c r="DK189" s="8">
        <v>0.95</v>
      </c>
      <c r="DL189" s="8">
        <v>0.94</v>
      </c>
      <c r="DM189" s="8">
        <v>0.96</v>
      </c>
      <c r="DN189" s="10">
        <v>63</v>
      </c>
      <c r="DO189" s="10">
        <v>46</v>
      </c>
      <c r="DP189" s="10">
        <v>80</v>
      </c>
      <c r="DQ189" s="1">
        <v>2.8763888888888891E-2</v>
      </c>
      <c r="DR189" s="1">
        <v>0</v>
      </c>
      <c r="DS189" s="53">
        <v>8.3333333333333329E-2</v>
      </c>
      <c r="DT189" s="1">
        <v>2.8763888888888891E-2</v>
      </c>
      <c r="DU189" s="1">
        <v>0</v>
      </c>
      <c r="DV189" s="53">
        <v>8.3333333333333329E-2</v>
      </c>
      <c r="DW189" s="1">
        <v>6</v>
      </c>
      <c r="DX189" s="1">
        <v>4.8</v>
      </c>
      <c r="DY189" s="53">
        <v>7.2</v>
      </c>
      <c r="DZ189" s="1">
        <v>5</v>
      </c>
      <c r="EA189" s="1">
        <v>4</v>
      </c>
      <c r="EB189" s="53">
        <v>6</v>
      </c>
      <c r="EC189" s="1">
        <v>11</v>
      </c>
      <c r="ED189" s="1">
        <v>11</v>
      </c>
      <c r="EE189" s="53">
        <v>11</v>
      </c>
      <c r="EF189" s="1">
        <v>10.4</v>
      </c>
      <c r="EG189" s="1">
        <v>6.4</v>
      </c>
      <c r="EH189" s="53">
        <v>14.4</v>
      </c>
      <c r="EJ189" s="1" t="s">
        <v>641</v>
      </c>
      <c r="EL189" s="1">
        <v>600</v>
      </c>
      <c r="EM189" s="1">
        <v>450</v>
      </c>
      <c r="EN189" s="1">
        <v>750</v>
      </c>
      <c r="EO189" s="1">
        <v>0</v>
      </c>
      <c r="EP189" s="1">
        <v>0</v>
      </c>
      <c r="EQ189" s="1">
        <v>0</v>
      </c>
      <c r="ER189" s="1">
        <v>600</v>
      </c>
      <c r="ES189" s="1">
        <v>450</v>
      </c>
      <c r="ET189" s="1">
        <v>750</v>
      </c>
      <c r="EU189" s="1">
        <v>1.526470588235294</v>
      </c>
      <c r="EV189" s="18">
        <v>0.50882352941176467</v>
      </c>
      <c r="EW189" s="18">
        <v>2.5441176470588234</v>
      </c>
      <c r="EX189" s="18">
        <v>122.11764705882352</v>
      </c>
      <c r="EY189" s="7">
        <v>71.235294117647058</v>
      </c>
      <c r="EZ189" s="7">
        <v>173</v>
      </c>
      <c r="FA189" s="7">
        <v>834.47058823529403</v>
      </c>
      <c r="FB189" s="7">
        <v>791.72941176470579</v>
      </c>
      <c r="FC189" s="7">
        <v>877.21176470588227</v>
      </c>
      <c r="FD189" s="7">
        <v>45.794117647058819</v>
      </c>
      <c r="FE189" s="7">
        <v>29.511764705882349</v>
      </c>
      <c r="FF189" s="7">
        <v>62.076470588235289</v>
      </c>
      <c r="FG189" s="7">
        <v>94.641176470588235</v>
      </c>
      <c r="FH189" s="7">
        <v>61.058823529411761</v>
      </c>
      <c r="FI189" s="7">
        <v>128.2235294117647</v>
      </c>
      <c r="FJ189" s="7">
        <v>19.437058823529412</v>
      </c>
      <c r="FK189" s="7">
        <v>16.384117647058822</v>
      </c>
      <c r="FL189" s="7">
        <v>22.49</v>
      </c>
      <c r="FO189" s="1">
        <v>220</v>
      </c>
      <c r="FP189" s="1">
        <v>220</v>
      </c>
      <c r="FR189" s="12" t="s">
        <v>638</v>
      </c>
      <c r="FS189" s="1" t="s">
        <v>638</v>
      </c>
      <c r="FT189" s="12">
        <v>182</v>
      </c>
      <c r="FU189" s="12"/>
      <c r="FV189" s="12">
        <v>182</v>
      </c>
      <c r="FW189" s="12">
        <v>182</v>
      </c>
      <c r="FX189" s="1">
        <v>182</v>
      </c>
      <c r="FY189" s="12" t="s">
        <v>637</v>
      </c>
      <c r="FZ189" s="12" t="s">
        <v>636</v>
      </c>
      <c r="GA189" s="1">
        <v>202</v>
      </c>
      <c r="GB189" s="1">
        <v>202</v>
      </c>
      <c r="GD189" s="1" t="s">
        <v>640</v>
      </c>
      <c r="GE189" s="1">
        <v>211</v>
      </c>
      <c r="GF189" s="1">
        <v>214</v>
      </c>
      <c r="GG189" s="1">
        <v>220</v>
      </c>
      <c r="GH189" s="1">
        <v>214</v>
      </c>
      <c r="GK189" s="1" t="s">
        <v>639</v>
      </c>
    </row>
    <row r="190" spans="1:193" ht="12.75" customHeight="1" x14ac:dyDescent="0.2">
      <c r="A190" s="1" t="s">
        <v>192</v>
      </c>
      <c r="D190" s="1" t="s">
        <v>581</v>
      </c>
      <c r="E190" s="1" t="s">
        <v>129</v>
      </c>
      <c r="F190" s="1">
        <v>1</v>
      </c>
      <c r="G190" s="1">
        <v>2035</v>
      </c>
      <c r="H190" s="1">
        <v>1</v>
      </c>
      <c r="I190" s="1">
        <v>1</v>
      </c>
      <c r="J190" s="1">
        <v>0</v>
      </c>
      <c r="K190" s="10">
        <v>25</v>
      </c>
      <c r="L190" s="10">
        <v>15</v>
      </c>
      <c r="M190" s="10">
        <v>35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8"/>
      <c r="BQ190" s="10">
        <v>35</v>
      </c>
      <c r="BR190" s="10">
        <v>22</v>
      </c>
      <c r="BS190" s="10">
        <v>48</v>
      </c>
      <c r="BT190" s="10">
        <f>Tabelle58971121[[#This Row],[Mindestauslastung durch]]*Tabelle58971121[[#This Row],[installierte Leistung MW durch]]</f>
        <v>0</v>
      </c>
      <c r="BU190" s="10">
        <f>Tabelle58971121[[#This Row],[Mindestauslastung min]]*Tabelle58971121[[#This Row],[installierte Leistung MW min]]</f>
        <v>0</v>
      </c>
      <c r="BV190" s="18">
        <f>Tabelle58971121[[#This Row],[Mindestauslastung max]]*Tabelle58971121[[#This Row],[installierte Leistung MW max]]</f>
        <v>0</v>
      </c>
      <c r="BW190" s="8">
        <v>0</v>
      </c>
      <c r="BX190" s="8">
        <v>0</v>
      </c>
      <c r="BY190" s="8">
        <v>0</v>
      </c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41">
        <v>0.4</v>
      </c>
      <c r="DC190" s="41">
        <v>0.35</v>
      </c>
      <c r="DD190" s="41">
        <v>0.45</v>
      </c>
      <c r="DE190" s="10">
        <f>Tabelle58971121[[#This Row],[Durchschnittsauslastung min]]*Tabelle58971121[[#This Row],[installierte Leistung MW min]]</f>
        <v>18.400000000000002</v>
      </c>
      <c r="DF190" s="10">
        <f>Tabelle58971121[[#This Row],[Durchschnittsauslastung durch]]*Tabelle58971121[[#This Row],[installierte Leistung MW durch]]</f>
        <v>22.049999999999997</v>
      </c>
      <c r="DG190" s="48">
        <f>Tabelle58971121[[#This Row],[Durchschnittsauslastung max]]*Tabelle58971121[[#This Row],[installierte Leistung MW max]]</f>
        <v>36</v>
      </c>
      <c r="DH190" s="87">
        <f>Tabelle58971121[[#This Row],[Maximalauslastung durch]]*Tabelle58971121[[#This Row],[installierte Leistung MW min]]</f>
        <v>43.699999999999996</v>
      </c>
      <c r="DI190" s="48">
        <f>Tabelle58971121[[#This Row],[Maximalauslastung durch]]*Tabelle58971121[[#This Row],[installierte Leistung MW durch]]</f>
        <v>59.849999999999994</v>
      </c>
      <c r="DJ190" s="10">
        <f>Tabelle58971121[[#This Row],[Maximalauslastung max]]*Tabelle58971121[[#This Row],[installierte Leistung MW durch]]</f>
        <v>60.48</v>
      </c>
      <c r="DK190" s="8">
        <v>0.95</v>
      </c>
      <c r="DL190" s="8">
        <v>0.94</v>
      </c>
      <c r="DM190" s="8">
        <v>0.96</v>
      </c>
      <c r="DN190" s="10">
        <v>63</v>
      </c>
      <c r="DO190" s="10">
        <v>46</v>
      </c>
      <c r="DP190" s="10">
        <v>80</v>
      </c>
      <c r="DQ190" s="1">
        <v>2.8763888888888891E-2</v>
      </c>
      <c r="DR190" s="1">
        <v>0</v>
      </c>
      <c r="DS190" s="53">
        <v>8.3333333333333329E-2</v>
      </c>
      <c r="DT190" s="1">
        <v>2.8763888888888891E-2</v>
      </c>
      <c r="DU190" s="1">
        <v>0</v>
      </c>
      <c r="DV190" s="53">
        <v>8.3333333333333329E-2</v>
      </c>
      <c r="DW190" s="1">
        <v>6</v>
      </c>
      <c r="DX190" s="1">
        <v>4.8</v>
      </c>
      <c r="DY190" s="53">
        <v>7.2</v>
      </c>
      <c r="DZ190" s="1">
        <v>5</v>
      </c>
      <c r="EA190" s="1">
        <v>4</v>
      </c>
      <c r="EB190" s="53">
        <v>6</v>
      </c>
      <c r="EC190" s="1">
        <v>11</v>
      </c>
      <c r="ED190" s="1">
        <v>11</v>
      </c>
      <c r="EE190" s="53">
        <v>11</v>
      </c>
      <c r="EF190" s="1">
        <v>10.4</v>
      </c>
      <c r="EG190" s="1">
        <v>6.4</v>
      </c>
      <c r="EH190" s="53">
        <v>14.4</v>
      </c>
      <c r="EJ190" s="1" t="s">
        <v>641</v>
      </c>
      <c r="EL190" s="1">
        <v>600</v>
      </c>
      <c r="EM190" s="1">
        <v>450</v>
      </c>
      <c r="EN190" s="1">
        <v>750</v>
      </c>
      <c r="EO190" s="1">
        <v>0</v>
      </c>
      <c r="EP190" s="1">
        <v>0</v>
      </c>
      <c r="EQ190" s="1">
        <v>0</v>
      </c>
      <c r="ER190" s="1">
        <v>600</v>
      </c>
      <c r="ES190" s="1">
        <v>450</v>
      </c>
      <c r="ET190" s="1">
        <v>750</v>
      </c>
      <c r="EU190" s="1">
        <v>1.526470588235294</v>
      </c>
      <c r="EV190" s="18">
        <v>0.50882352941176467</v>
      </c>
      <c r="EW190" s="18">
        <v>2.5441176470588234</v>
      </c>
      <c r="EX190" s="18">
        <v>122.11764705882352</v>
      </c>
      <c r="EY190" s="7">
        <v>71.235294117647058</v>
      </c>
      <c r="EZ190" s="7">
        <v>173</v>
      </c>
      <c r="FA190" s="7">
        <v>834.47058823529403</v>
      </c>
      <c r="FB190" s="7">
        <v>791.72941176470579</v>
      </c>
      <c r="FC190" s="7">
        <v>877.21176470588227</v>
      </c>
      <c r="FD190" s="7">
        <v>45.794117647058819</v>
      </c>
      <c r="FE190" s="7">
        <v>29.511764705882349</v>
      </c>
      <c r="FF190" s="7">
        <v>62.076470588235289</v>
      </c>
      <c r="FG190" s="7">
        <v>94.641176470588235</v>
      </c>
      <c r="FH190" s="7">
        <v>61.058823529411761</v>
      </c>
      <c r="FI190" s="7">
        <v>128.2235294117647</v>
      </c>
      <c r="FJ190" s="7">
        <v>19.437058823529412</v>
      </c>
      <c r="FK190" s="7">
        <v>16.384117647058822</v>
      </c>
      <c r="FL190" s="7">
        <v>22.49</v>
      </c>
      <c r="FO190" s="1">
        <v>220</v>
      </c>
      <c r="FP190" s="1">
        <v>220</v>
      </c>
      <c r="FR190" s="12" t="s">
        <v>638</v>
      </c>
      <c r="FS190" s="1" t="s">
        <v>638</v>
      </c>
      <c r="FT190" s="12">
        <v>182</v>
      </c>
      <c r="FU190" s="12"/>
      <c r="FV190" s="12">
        <v>182</v>
      </c>
      <c r="FW190" s="12">
        <v>182</v>
      </c>
      <c r="FX190" s="1">
        <v>182</v>
      </c>
      <c r="FY190" s="12" t="s">
        <v>637</v>
      </c>
      <c r="FZ190" s="12" t="s">
        <v>636</v>
      </c>
      <c r="GA190" s="1">
        <v>202</v>
      </c>
      <c r="GB190" s="1">
        <v>202</v>
      </c>
      <c r="GD190" s="1" t="s">
        <v>640</v>
      </c>
      <c r="GE190" s="1">
        <v>211</v>
      </c>
      <c r="GF190" s="1">
        <v>214</v>
      </c>
      <c r="GG190" s="1">
        <v>220</v>
      </c>
      <c r="GH190" s="1">
        <v>214</v>
      </c>
      <c r="GK190" s="1" t="s">
        <v>639</v>
      </c>
    </row>
    <row r="191" spans="1:193" ht="12.75" customHeight="1" x14ac:dyDescent="0.2">
      <c r="A191" s="1" t="s">
        <v>192</v>
      </c>
      <c r="D191" s="1" t="s">
        <v>581</v>
      </c>
      <c r="E191" s="1" t="s">
        <v>129</v>
      </c>
      <c r="F191" s="1">
        <v>1</v>
      </c>
      <c r="G191" s="1">
        <v>2040</v>
      </c>
      <c r="H191" s="1">
        <v>1</v>
      </c>
      <c r="I191" s="1">
        <v>1</v>
      </c>
      <c r="J191" s="1">
        <v>0</v>
      </c>
      <c r="K191" s="10">
        <v>25</v>
      </c>
      <c r="L191" s="10">
        <v>15</v>
      </c>
      <c r="M191" s="10">
        <v>35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8"/>
      <c r="BQ191" s="10">
        <v>35</v>
      </c>
      <c r="BR191" s="10">
        <v>22</v>
      </c>
      <c r="BS191" s="10">
        <v>48</v>
      </c>
      <c r="BT191" s="10">
        <f>Tabelle58971121[[#This Row],[Mindestauslastung durch]]*Tabelle58971121[[#This Row],[installierte Leistung MW durch]]</f>
        <v>0</v>
      </c>
      <c r="BU191" s="10">
        <f>Tabelle58971121[[#This Row],[Mindestauslastung min]]*Tabelle58971121[[#This Row],[installierte Leistung MW min]]</f>
        <v>0</v>
      </c>
      <c r="BV191" s="18">
        <f>Tabelle58971121[[#This Row],[Mindestauslastung max]]*Tabelle58971121[[#This Row],[installierte Leistung MW max]]</f>
        <v>0</v>
      </c>
      <c r="BW191" s="8">
        <v>0</v>
      </c>
      <c r="BX191" s="8">
        <v>0</v>
      </c>
      <c r="BY191" s="8">
        <v>0</v>
      </c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41">
        <v>0.4</v>
      </c>
      <c r="DC191" s="41">
        <v>0.35</v>
      </c>
      <c r="DD191" s="41">
        <v>0.45</v>
      </c>
      <c r="DE191" s="10">
        <f>Tabelle58971121[[#This Row],[Durchschnittsauslastung min]]*Tabelle58971121[[#This Row],[installierte Leistung MW min]]</f>
        <v>18.400000000000002</v>
      </c>
      <c r="DF191" s="10">
        <f>Tabelle58971121[[#This Row],[Durchschnittsauslastung durch]]*Tabelle58971121[[#This Row],[installierte Leistung MW durch]]</f>
        <v>22.049999999999997</v>
      </c>
      <c r="DG191" s="48">
        <f>Tabelle58971121[[#This Row],[Durchschnittsauslastung max]]*Tabelle58971121[[#This Row],[installierte Leistung MW max]]</f>
        <v>36</v>
      </c>
      <c r="DH191" s="87">
        <f>Tabelle58971121[[#This Row],[Maximalauslastung durch]]*Tabelle58971121[[#This Row],[installierte Leistung MW min]]</f>
        <v>43.699999999999996</v>
      </c>
      <c r="DI191" s="48">
        <f>Tabelle58971121[[#This Row],[Maximalauslastung durch]]*Tabelle58971121[[#This Row],[installierte Leistung MW durch]]</f>
        <v>59.849999999999994</v>
      </c>
      <c r="DJ191" s="10">
        <f>Tabelle58971121[[#This Row],[Maximalauslastung max]]*Tabelle58971121[[#This Row],[installierte Leistung MW durch]]</f>
        <v>60.48</v>
      </c>
      <c r="DK191" s="8">
        <v>0.95</v>
      </c>
      <c r="DL191" s="8">
        <v>0.94</v>
      </c>
      <c r="DM191" s="8">
        <v>0.96</v>
      </c>
      <c r="DN191" s="10">
        <v>63</v>
      </c>
      <c r="DO191" s="10">
        <v>46</v>
      </c>
      <c r="DP191" s="10">
        <v>80</v>
      </c>
      <c r="DQ191" s="1">
        <v>2.8763888888888891E-2</v>
      </c>
      <c r="DR191" s="1">
        <v>0</v>
      </c>
      <c r="DS191" s="53">
        <v>8.3333333333333329E-2</v>
      </c>
      <c r="DT191" s="1">
        <v>2.8763888888888891E-2</v>
      </c>
      <c r="DU191" s="1">
        <v>0</v>
      </c>
      <c r="DV191" s="53">
        <v>8.3333333333333329E-2</v>
      </c>
      <c r="DW191" s="1">
        <v>6</v>
      </c>
      <c r="DX191" s="1">
        <v>4.8</v>
      </c>
      <c r="DY191" s="53">
        <v>7.2</v>
      </c>
      <c r="DZ191" s="1">
        <v>5</v>
      </c>
      <c r="EA191" s="1">
        <v>4</v>
      </c>
      <c r="EB191" s="53">
        <v>6</v>
      </c>
      <c r="EC191" s="1">
        <v>11</v>
      </c>
      <c r="ED191" s="1">
        <v>11</v>
      </c>
      <c r="EE191" s="53">
        <v>11</v>
      </c>
      <c r="EF191" s="1">
        <v>10.4</v>
      </c>
      <c r="EG191" s="1">
        <v>6.4</v>
      </c>
      <c r="EH191" s="53">
        <v>14.4</v>
      </c>
      <c r="EJ191" s="1" t="s">
        <v>641</v>
      </c>
      <c r="EL191" s="1">
        <v>600</v>
      </c>
      <c r="EM191" s="1">
        <v>450</v>
      </c>
      <c r="EN191" s="1">
        <v>750</v>
      </c>
      <c r="EO191" s="1">
        <v>0</v>
      </c>
      <c r="EP191" s="1">
        <v>0</v>
      </c>
      <c r="EQ191" s="1">
        <v>0</v>
      </c>
      <c r="ER191" s="1">
        <v>600</v>
      </c>
      <c r="ES191" s="1">
        <v>450</v>
      </c>
      <c r="ET191" s="1">
        <v>750</v>
      </c>
      <c r="EU191" s="1">
        <v>1.526470588235294</v>
      </c>
      <c r="EV191" s="18">
        <v>0.50882352941176467</v>
      </c>
      <c r="EW191" s="18">
        <v>2.5441176470588234</v>
      </c>
      <c r="EX191" s="18">
        <v>122.11764705882352</v>
      </c>
      <c r="EY191" s="7">
        <v>71.235294117647058</v>
      </c>
      <c r="EZ191" s="7">
        <v>173</v>
      </c>
      <c r="FA191" s="7">
        <v>834.47058823529403</v>
      </c>
      <c r="FB191" s="7">
        <v>791.72941176470579</v>
      </c>
      <c r="FC191" s="7">
        <v>877.21176470588227</v>
      </c>
      <c r="FD191" s="7">
        <v>45.794117647058819</v>
      </c>
      <c r="FE191" s="7">
        <v>29.511764705882349</v>
      </c>
      <c r="FF191" s="7">
        <v>62.076470588235289</v>
      </c>
      <c r="FG191" s="7">
        <v>94.641176470588235</v>
      </c>
      <c r="FH191" s="7">
        <v>61.058823529411761</v>
      </c>
      <c r="FI191" s="7">
        <v>128.2235294117647</v>
      </c>
      <c r="FJ191" s="7">
        <v>19.437058823529412</v>
      </c>
      <c r="FK191" s="7">
        <v>16.384117647058822</v>
      </c>
      <c r="FL191" s="7">
        <v>22.49</v>
      </c>
      <c r="FO191" s="1">
        <v>220</v>
      </c>
      <c r="FP191" s="1">
        <v>220</v>
      </c>
      <c r="FR191" s="12" t="s">
        <v>638</v>
      </c>
      <c r="FS191" s="1" t="s">
        <v>638</v>
      </c>
      <c r="FT191" s="12">
        <v>182</v>
      </c>
      <c r="FU191" s="12"/>
      <c r="FV191" s="12">
        <v>182</v>
      </c>
      <c r="FW191" s="12">
        <v>182</v>
      </c>
      <c r="FX191" s="1">
        <v>182</v>
      </c>
      <c r="FY191" s="12" t="s">
        <v>637</v>
      </c>
      <c r="FZ191" s="12" t="s">
        <v>636</v>
      </c>
      <c r="GA191" s="1">
        <v>202</v>
      </c>
      <c r="GB191" s="1">
        <v>202</v>
      </c>
      <c r="GD191" s="1" t="s">
        <v>640</v>
      </c>
      <c r="GE191" s="1">
        <v>211</v>
      </c>
      <c r="GF191" s="1">
        <v>214</v>
      </c>
      <c r="GG191" s="1">
        <v>220</v>
      </c>
      <c r="GH191" s="1">
        <v>214</v>
      </c>
      <c r="GK191" s="1" t="s">
        <v>639</v>
      </c>
    </row>
    <row r="192" spans="1:193" ht="12.75" customHeight="1" x14ac:dyDescent="0.2">
      <c r="A192" s="1" t="s">
        <v>192</v>
      </c>
      <c r="D192" s="1" t="s">
        <v>581</v>
      </c>
      <c r="E192" s="1" t="s">
        <v>129</v>
      </c>
      <c r="F192" s="1">
        <v>1</v>
      </c>
      <c r="G192" s="1">
        <v>2045</v>
      </c>
      <c r="H192" s="1">
        <v>1</v>
      </c>
      <c r="I192" s="1">
        <v>1</v>
      </c>
      <c r="J192" s="1">
        <v>0</v>
      </c>
      <c r="K192" s="10">
        <v>25</v>
      </c>
      <c r="L192" s="10">
        <v>15</v>
      </c>
      <c r="M192" s="10">
        <v>35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8"/>
      <c r="BQ192" s="10">
        <v>35</v>
      </c>
      <c r="BR192" s="10">
        <v>22</v>
      </c>
      <c r="BS192" s="10">
        <v>48</v>
      </c>
      <c r="BT192" s="10">
        <f>Tabelle58971121[[#This Row],[Mindestauslastung durch]]*Tabelle58971121[[#This Row],[installierte Leistung MW durch]]</f>
        <v>0</v>
      </c>
      <c r="BU192" s="10">
        <f>Tabelle58971121[[#This Row],[Mindestauslastung min]]*Tabelle58971121[[#This Row],[installierte Leistung MW min]]</f>
        <v>0</v>
      </c>
      <c r="BV192" s="18">
        <f>Tabelle58971121[[#This Row],[Mindestauslastung max]]*Tabelle58971121[[#This Row],[installierte Leistung MW max]]</f>
        <v>0</v>
      </c>
      <c r="BW192" s="8">
        <v>0</v>
      </c>
      <c r="BX192" s="8">
        <v>0</v>
      </c>
      <c r="BY192" s="8">
        <v>0</v>
      </c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41">
        <v>0.4</v>
      </c>
      <c r="DC192" s="41">
        <v>0.35</v>
      </c>
      <c r="DD192" s="41">
        <v>0.45</v>
      </c>
      <c r="DE192" s="10">
        <f>Tabelle58971121[[#This Row],[Durchschnittsauslastung min]]*Tabelle58971121[[#This Row],[installierte Leistung MW min]]</f>
        <v>18.400000000000002</v>
      </c>
      <c r="DF192" s="10">
        <f>Tabelle58971121[[#This Row],[Durchschnittsauslastung durch]]*Tabelle58971121[[#This Row],[installierte Leistung MW durch]]</f>
        <v>22.049999999999997</v>
      </c>
      <c r="DG192" s="48">
        <f>Tabelle58971121[[#This Row],[Durchschnittsauslastung max]]*Tabelle58971121[[#This Row],[installierte Leistung MW max]]</f>
        <v>36</v>
      </c>
      <c r="DH192" s="87">
        <f>Tabelle58971121[[#This Row],[Maximalauslastung durch]]*Tabelle58971121[[#This Row],[installierte Leistung MW min]]</f>
        <v>43.699999999999996</v>
      </c>
      <c r="DI192" s="48">
        <f>Tabelle58971121[[#This Row],[Maximalauslastung durch]]*Tabelle58971121[[#This Row],[installierte Leistung MW durch]]</f>
        <v>59.849999999999994</v>
      </c>
      <c r="DJ192" s="10">
        <f>Tabelle58971121[[#This Row],[Maximalauslastung max]]*Tabelle58971121[[#This Row],[installierte Leistung MW durch]]</f>
        <v>60.48</v>
      </c>
      <c r="DK192" s="8">
        <v>0.95</v>
      </c>
      <c r="DL192" s="8">
        <v>0.94</v>
      </c>
      <c r="DM192" s="8">
        <v>0.96</v>
      </c>
      <c r="DN192" s="10">
        <v>63</v>
      </c>
      <c r="DO192" s="10">
        <v>46</v>
      </c>
      <c r="DP192" s="10">
        <v>80</v>
      </c>
      <c r="DQ192" s="1">
        <v>2.8763888888888891E-2</v>
      </c>
      <c r="DR192" s="1">
        <v>0</v>
      </c>
      <c r="DS192" s="53">
        <v>8.3333333333333329E-2</v>
      </c>
      <c r="DT192" s="1">
        <v>2.8763888888888891E-2</v>
      </c>
      <c r="DU192" s="1">
        <v>0</v>
      </c>
      <c r="DV192" s="53">
        <v>8.3333333333333329E-2</v>
      </c>
      <c r="DW192" s="1">
        <v>6</v>
      </c>
      <c r="DX192" s="1">
        <v>4.8</v>
      </c>
      <c r="DY192" s="53">
        <v>7.2</v>
      </c>
      <c r="DZ192" s="1">
        <v>5</v>
      </c>
      <c r="EA192" s="1">
        <v>4</v>
      </c>
      <c r="EB192" s="53">
        <v>6</v>
      </c>
      <c r="EC192" s="1">
        <v>11</v>
      </c>
      <c r="ED192" s="1">
        <v>11</v>
      </c>
      <c r="EE192" s="53">
        <v>11</v>
      </c>
      <c r="EF192" s="1">
        <v>10.4</v>
      </c>
      <c r="EG192" s="1">
        <v>6.4</v>
      </c>
      <c r="EH192" s="53">
        <v>14.4</v>
      </c>
      <c r="EJ192" s="1" t="s">
        <v>641</v>
      </c>
      <c r="EL192" s="1">
        <v>600</v>
      </c>
      <c r="EM192" s="1">
        <v>450</v>
      </c>
      <c r="EN192" s="1">
        <v>750</v>
      </c>
      <c r="EO192" s="1">
        <v>0</v>
      </c>
      <c r="EP192" s="1">
        <v>0</v>
      </c>
      <c r="EQ192" s="1">
        <v>0</v>
      </c>
      <c r="ER192" s="1">
        <v>600</v>
      </c>
      <c r="ES192" s="1">
        <v>450</v>
      </c>
      <c r="ET192" s="1">
        <v>750</v>
      </c>
      <c r="EU192" s="1">
        <v>1.526470588235294</v>
      </c>
      <c r="EV192" s="18">
        <v>0.50882352941176467</v>
      </c>
      <c r="EW192" s="18">
        <v>2.5441176470588234</v>
      </c>
      <c r="EX192" s="18">
        <v>122.11764705882352</v>
      </c>
      <c r="EY192" s="7">
        <v>71.235294117647058</v>
      </c>
      <c r="EZ192" s="7">
        <v>173</v>
      </c>
      <c r="FA192" s="7">
        <v>834.47058823529403</v>
      </c>
      <c r="FB192" s="7">
        <v>791.72941176470579</v>
      </c>
      <c r="FC192" s="7">
        <v>877.21176470588227</v>
      </c>
      <c r="FD192" s="7">
        <v>45.794117647058819</v>
      </c>
      <c r="FE192" s="7">
        <v>29.511764705882349</v>
      </c>
      <c r="FF192" s="7">
        <v>62.076470588235289</v>
      </c>
      <c r="FG192" s="7">
        <v>94.641176470588235</v>
      </c>
      <c r="FH192" s="7">
        <v>61.058823529411761</v>
      </c>
      <c r="FI192" s="7">
        <v>128.2235294117647</v>
      </c>
      <c r="FJ192" s="7">
        <v>19.437058823529412</v>
      </c>
      <c r="FK192" s="7">
        <v>16.384117647058822</v>
      </c>
      <c r="FL192" s="7">
        <v>22.49</v>
      </c>
      <c r="FO192" s="1">
        <v>220</v>
      </c>
      <c r="FP192" s="1">
        <v>220</v>
      </c>
      <c r="FR192" s="12" t="s">
        <v>638</v>
      </c>
      <c r="FS192" s="1" t="s">
        <v>638</v>
      </c>
      <c r="FT192" s="12">
        <v>182</v>
      </c>
      <c r="FU192" s="12"/>
      <c r="FV192" s="12">
        <v>182</v>
      </c>
      <c r="FW192" s="12">
        <v>182</v>
      </c>
      <c r="FX192" s="1">
        <v>182</v>
      </c>
      <c r="FY192" s="12" t="s">
        <v>637</v>
      </c>
      <c r="FZ192" s="12" t="s">
        <v>636</v>
      </c>
      <c r="GA192" s="1">
        <v>202</v>
      </c>
      <c r="GB192" s="1">
        <v>202</v>
      </c>
      <c r="GD192" s="1" t="s">
        <v>640</v>
      </c>
      <c r="GE192" s="1">
        <v>211</v>
      </c>
      <c r="GF192" s="1">
        <v>214</v>
      </c>
      <c r="GG192" s="1">
        <v>220</v>
      </c>
      <c r="GH192" s="1">
        <v>214</v>
      </c>
      <c r="GK192" s="1" t="s">
        <v>639</v>
      </c>
    </row>
    <row r="193" spans="1:193" ht="12.75" customHeight="1" x14ac:dyDescent="0.2">
      <c r="A193" s="1" t="s">
        <v>192</v>
      </c>
      <c r="D193" s="1" t="s">
        <v>581</v>
      </c>
      <c r="E193" s="1" t="s">
        <v>129</v>
      </c>
      <c r="F193" s="1">
        <v>1</v>
      </c>
      <c r="G193" s="1">
        <v>2050</v>
      </c>
      <c r="H193" s="1">
        <v>1</v>
      </c>
      <c r="I193" s="1">
        <v>1</v>
      </c>
      <c r="J193" s="1">
        <v>0</v>
      </c>
      <c r="K193" s="10">
        <v>25</v>
      </c>
      <c r="L193" s="10">
        <v>15</v>
      </c>
      <c r="M193" s="10">
        <v>35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8"/>
      <c r="BQ193" s="10">
        <v>35</v>
      </c>
      <c r="BR193" s="10">
        <v>22</v>
      </c>
      <c r="BS193" s="10">
        <v>48</v>
      </c>
      <c r="BT193" s="10">
        <f>Tabelle58971121[[#This Row],[Mindestauslastung durch]]*Tabelle58971121[[#This Row],[installierte Leistung MW durch]]</f>
        <v>0</v>
      </c>
      <c r="BU193" s="10">
        <f>Tabelle58971121[[#This Row],[Mindestauslastung min]]*Tabelle58971121[[#This Row],[installierte Leistung MW min]]</f>
        <v>0</v>
      </c>
      <c r="BV193" s="18">
        <f>Tabelle58971121[[#This Row],[Mindestauslastung max]]*Tabelle58971121[[#This Row],[installierte Leistung MW max]]</f>
        <v>0</v>
      </c>
      <c r="BW193" s="8">
        <v>0</v>
      </c>
      <c r="BX193" s="8">
        <v>0</v>
      </c>
      <c r="BY193" s="8">
        <v>0</v>
      </c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41">
        <v>0.4</v>
      </c>
      <c r="DC193" s="41">
        <v>0.35</v>
      </c>
      <c r="DD193" s="41">
        <v>0.45</v>
      </c>
      <c r="DE193" s="10">
        <f>Tabelle58971121[[#This Row],[Durchschnittsauslastung min]]*Tabelle58971121[[#This Row],[installierte Leistung MW min]]</f>
        <v>18.400000000000002</v>
      </c>
      <c r="DF193" s="10">
        <f>Tabelle58971121[[#This Row],[Durchschnittsauslastung durch]]*Tabelle58971121[[#This Row],[installierte Leistung MW durch]]</f>
        <v>22.049999999999997</v>
      </c>
      <c r="DG193" s="48">
        <f>Tabelle58971121[[#This Row],[Durchschnittsauslastung max]]*Tabelle58971121[[#This Row],[installierte Leistung MW max]]</f>
        <v>36</v>
      </c>
      <c r="DH193" s="87">
        <f>Tabelle58971121[[#This Row],[Maximalauslastung durch]]*Tabelle58971121[[#This Row],[installierte Leistung MW min]]</f>
        <v>43.699999999999996</v>
      </c>
      <c r="DI193" s="48">
        <f>Tabelle58971121[[#This Row],[Maximalauslastung durch]]*Tabelle58971121[[#This Row],[installierte Leistung MW durch]]</f>
        <v>59.849999999999994</v>
      </c>
      <c r="DJ193" s="10">
        <f>Tabelle58971121[[#This Row],[Maximalauslastung max]]*Tabelle58971121[[#This Row],[installierte Leistung MW durch]]</f>
        <v>60.48</v>
      </c>
      <c r="DK193" s="8">
        <v>0.95</v>
      </c>
      <c r="DL193" s="8">
        <v>0.94</v>
      </c>
      <c r="DM193" s="8">
        <v>0.96</v>
      </c>
      <c r="DN193" s="10">
        <v>63</v>
      </c>
      <c r="DO193" s="10">
        <v>46</v>
      </c>
      <c r="DP193" s="10">
        <v>80</v>
      </c>
      <c r="DQ193" s="1">
        <v>2.8763888888888891E-2</v>
      </c>
      <c r="DR193" s="1">
        <v>0</v>
      </c>
      <c r="DS193" s="53">
        <v>8.3333333333333329E-2</v>
      </c>
      <c r="DT193" s="1">
        <v>2.8763888888888891E-2</v>
      </c>
      <c r="DU193" s="1">
        <v>0</v>
      </c>
      <c r="DV193" s="53">
        <v>8.3333333333333329E-2</v>
      </c>
      <c r="DW193" s="1">
        <v>6</v>
      </c>
      <c r="DX193" s="1">
        <v>4.8</v>
      </c>
      <c r="DY193" s="53">
        <v>7.2</v>
      </c>
      <c r="DZ193" s="1">
        <v>5</v>
      </c>
      <c r="EA193" s="1">
        <v>4</v>
      </c>
      <c r="EB193" s="53">
        <v>6</v>
      </c>
      <c r="EC193" s="1">
        <v>11</v>
      </c>
      <c r="ED193" s="1">
        <v>11</v>
      </c>
      <c r="EE193" s="53">
        <v>11</v>
      </c>
      <c r="EF193" s="1">
        <v>10.4</v>
      </c>
      <c r="EG193" s="1">
        <v>6.4</v>
      </c>
      <c r="EH193" s="53">
        <v>14.4</v>
      </c>
      <c r="EJ193" s="1" t="s">
        <v>641</v>
      </c>
      <c r="EL193" s="1">
        <v>600</v>
      </c>
      <c r="EM193" s="1">
        <v>450</v>
      </c>
      <c r="EN193" s="1">
        <v>750</v>
      </c>
      <c r="EO193" s="1">
        <v>0</v>
      </c>
      <c r="EP193" s="1">
        <v>0</v>
      </c>
      <c r="EQ193" s="1">
        <v>0</v>
      </c>
      <c r="ER193" s="1">
        <v>600</v>
      </c>
      <c r="ES193" s="1">
        <v>450</v>
      </c>
      <c r="ET193" s="1">
        <v>750</v>
      </c>
      <c r="EU193" s="1">
        <v>1.526470588235294</v>
      </c>
      <c r="EV193" s="18">
        <v>0.50882352941176467</v>
      </c>
      <c r="EW193" s="18">
        <v>2.5441176470588234</v>
      </c>
      <c r="EX193" s="18">
        <v>122.11764705882352</v>
      </c>
      <c r="EY193" s="7">
        <v>71.235294117647058</v>
      </c>
      <c r="EZ193" s="7">
        <v>173</v>
      </c>
      <c r="FA193" s="7">
        <v>834.47058823529403</v>
      </c>
      <c r="FB193" s="7">
        <v>791.72941176470579</v>
      </c>
      <c r="FC193" s="7">
        <v>877.21176470588227</v>
      </c>
      <c r="FD193" s="7">
        <v>45.794117647058819</v>
      </c>
      <c r="FE193" s="7">
        <v>29.511764705882349</v>
      </c>
      <c r="FF193" s="7">
        <v>62.076470588235289</v>
      </c>
      <c r="FG193" s="7">
        <v>94.641176470588235</v>
      </c>
      <c r="FH193" s="7">
        <v>61.058823529411761</v>
      </c>
      <c r="FI193" s="7">
        <v>128.2235294117647</v>
      </c>
      <c r="FJ193" s="7">
        <v>19.437058823529412</v>
      </c>
      <c r="FK193" s="7">
        <v>16.384117647058822</v>
      </c>
      <c r="FL193" s="7">
        <v>22.49</v>
      </c>
      <c r="FO193" s="1">
        <v>220</v>
      </c>
      <c r="FP193" s="1">
        <v>220</v>
      </c>
      <c r="FR193" s="12" t="s">
        <v>638</v>
      </c>
      <c r="FS193" s="1" t="s">
        <v>638</v>
      </c>
      <c r="FT193" s="12">
        <v>182</v>
      </c>
      <c r="FU193" s="12"/>
      <c r="FV193" s="12">
        <v>182</v>
      </c>
      <c r="FW193" s="12">
        <v>182</v>
      </c>
      <c r="FX193" s="1">
        <v>182</v>
      </c>
      <c r="FY193" s="12" t="s">
        <v>637</v>
      </c>
      <c r="FZ193" s="12" t="s">
        <v>636</v>
      </c>
      <c r="GA193" s="1">
        <v>202</v>
      </c>
      <c r="GB193" s="1">
        <v>202</v>
      </c>
      <c r="GD193" s="1" t="s">
        <v>640</v>
      </c>
      <c r="GE193" s="1">
        <v>211</v>
      </c>
      <c r="GF193" s="1">
        <v>214</v>
      </c>
      <c r="GG193" s="1">
        <v>220</v>
      </c>
      <c r="GH193" s="1">
        <v>214</v>
      </c>
      <c r="GK193" s="1" t="s">
        <v>639</v>
      </c>
    </row>
    <row r="194" spans="1:193" ht="12.75" customHeight="1" x14ac:dyDescent="0.2">
      <c r="A194" s="1" t="s">
        <v>569</v>
      </c>
      <c r="D194" s="1" t="s">
        <v>576</v>
      </c>
      <c r="E194" s="1" t="s">
        <v>129</v>
      </c>
      <c r="F194" s="1">
        <v>1</v>
      </c>
      <c r="G194" s="1">
        <v>2015</v>
      </c>
      <c r="H194" s="1">
        <v>1</v>
      </c>
      <c r="I194" s="1">
        <v>1</v>
      </c>
      <c r="J194" s="1">
        <v>0</v>
      </c>
      <c r="K194" s="10">
        <v>115</v>
      </c>
      <c r="L194" s="10">
        <v>29</v>
      </c>
      <c r="M194" s="10">
        <v>201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8"/>
      <c r="BQ194" s="10">
        <v>25</v>
      </c>
      <c r="BR194" s="10">
        <v>3</v>
      </c>
      <c r="BS194" s="10">
        <v>47</v>
      </c>
      <c r="BT194" s="10">
        <f>Tabelle58971121[[#This Row],[Mindestauslastung durch]]*Tabelle58971121[[#This Row],[installierte Leistung MW durch]]</f>
        <v>0</v>
      </c>
      <c r="BU194" s="10">
        <f>Tabelle58971121[[#This Row],[Mindestauslastung min]]*Tabelle58971121[[#This Row],[installierte Leistung MW min]]</f>
        <v>0</v>
      </c>
      <c r="BV194" s="18">
        <f>Tabelle58971121[[#This Row],[Mindestauslastung max]]*Tabelle58971121[[#This Row],[installierte Leistung MW max]]</f>
        <v>0</v>
      </c>
      <c r="BW194" s="8">
        <v>0</v>
      </c>
      <c r="BX194" s="8">
        <v>0</v>
      </c>
      <c r="BY194" s="8">
        <v>0</v>
      </c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41">
        <v>0.78</v>
      </c>
      <c r="DC194" s="41">
        <v>0.7</v>
      </c>
      <c r="DD194" s="41">
        <v>0.86</v>
      </c>
      <c r="DE194" s="10">
        <f>Tabelle58971121[[#This Row],[Durchschnittsauslastung min]]*Tabelle58971121[[#This Row],[installierte Leistung MW min]]</f>
        <v>35.1</v>
      </c>
      <c r="DF194" s="10">
        <f>Tabelle58971121[[#This Row],[Durchschnittsauslastung durch]]*Tabelle58971121[[#This Row],[installierte Leistung MW durch]]</f>
        <v>103.6</v>
      </c>
      <c r="DG194" s="48">
        <f>Tabelle58971121[[#This Row],[Durchschnittsauslastung max]]*Tabelle58971121[[#This Row],[installierte Leistung MW max]]</f>
        <v>215.85999999999999</v>
      </c>
      <c r="DH194" s="87">
        <f>Tabelle58971121[[#This Row],[Maximalauslastung durch]]*Tabelle58971121[[#This Row],[installierte Leistung MW min]]</f>
        <v>42.75</v>
      </c>
      <c r="DI194" s="48">
        <f>Tabelle58971121[[#This Row],[Maximalauslastung durch]]*Tabelle58971121[[#This Row],[installierte Leistung MW durch]]</f>
        <v>140.6</v>
      </c>
      <c r="DJ194" s="10">
        <f>Tabelle58971121[[#This Row],[Maximalauslastung max]]*Tabelle58971121[[#This Row],[installierte Leistung MW durch]]</f>
        <v>142.07999999999998</v>
      </c>
      <c r="DK194" s="8">
        <v>0.95</v>
      </c>
      <c r="DL194" s="8">
        <v>0.94</v>
      </c>
      <c r="DM194" s="8">
        <v>0.96</v>
      </c>
      <c r="DN194" s="10">
        <v>148</v>
      </c>
      <c r="DO194" s="10">
        <v>45</v>
      </c>
      <c r="DP194" s="10">
        <v>251</v>
      </c>
      <c r="DQ194" s="1">
        <v>0.16666666666666663</v>
      </c>
      <c r="DR194" s="1">
        <v>8.3333333333333329E-2</v>
      </c>
      <c r="DS194" s="53">
        <v>0.25</v>
      </c>
      <c r="DT194" s="1">
        <v>0.16666666666666663</v>
      </c>
      <c r="DU194" s="1">
        <v>8.3333333333333329E-2</v>
      </c>
      <c r="DV194" s="53">
        <v>0.25</v>
      </c>
      <c r="DW194" s="1">
        <v>2</v>
      </c>
      <c r="DX194" s="1">
        <v>1.6</v>
      </c>
      <c r="DY194" s="53">
        <v>2.4</v>
      </c>
      <c r="DZ194" s="1">
        <v>4</v>
      </c>
      <c r="EA194" s="1">
        <v>3.2</v>
      </c>
      <c r="EB194" s="53">
        <v>4.8</v>
      </c>
      <c r="EC194" s="1">
        <v>6</v>
      </c>
      <c r="ED194" s="1">
        <v>6</v>
      </c>
      <c r="EE194" s="53">
        <v>6</v>
      </c>
      <c r="EF194" s="1">
        <v>4.9000000000000004</v>
      </c>
      <c r="EG194" s="1">
        <v>3.3000000000000003</v>
      </c>
      <c r="EH194" s="53">
        <v>6.5</v>
      </c>
      <c r="EJ194" s="1" t="s">
        <v>641</v>
      </c>
      <c r="EL194" s="1">
        <v>50</v>
      </c>
      <c r="EM194" s="1">
        <v>20</v>
      </c>
      <c r="EN194" s="1">
        <v>80</v>
      </c>
      <c r="EO194" s="1">
        <v>0</v>
      </c>
      <c r="EP194" s="1">
        <v>0</v>
      </c>
      <c r="EQ194" s="1">
        <v>0</v>
      </c>
      <c r="ER194" s="1">
        <v>50</v>
      </c>
      <c r="ES194" s="1">
        <v>20</v>
      </c>
      <c r="ET194" s="1">
        <v>80</v>
      </c>
      <c r="EU194" s="1">
        <v>8.1411764705882348</v>
      </c>
      <c r="EV194" s="18">
        <v>3.052941176470588</v>
      </c>
      <c r="EW194" s="18">
        <v>13.229411764705882</v>
      </c>
      <c r="EX194" s="18">
        <v>274.76470588235293</v>
      </c>
      <c r="EY194" s="7">
        <v>122.11764705882352</v>
      </c>
      <c r="EZ194" s="7">
        <v>427.41176470588232</v>
      </c>
      <c r="FA194" s="7">
        <v>1519.8558823529411</v>
      </c>
      <c r="FB194" s="7">
        <v>1395.1941176470586</v>
      </c>
      <c r="FC194" s="7">
        <v>1644.5176470588235</v>
      </c>
      <c r="FD194" s="7">
        <v>30.52941176470588</v>
      </c>
      <c r="FE194" s="7">
        <v>0</v>
      </c>
      <c r="FF194" s="7">
        <v>61.058823529411761</v>
      </c>
      <c r="FG194" s="7">
        <v>101.76470588235293</v>
      </c>
      <c r="FH194" s="7">
        <v>50.882352941176464</v>
      </c>
      <c r="FI194" s="7">
        <v>152.64705882352939</v>
      </c>
      <c r="FJ194" s="7">
        <v>20.352941176470587</v>
      </c>
      <c r="FK194" s="7">
        <v>10.176470588235293</v>
      </c>
      <c r="FL194" s="7">
        <v>30.52941176470588</v>
      </c>
      <c r="FO194" s="1">
        <v>220</v>
      </c>
      <c r="FP194" s="1">
        <v>220</v>
      </c>
      <c r="FR194" s="12" t="s">
        <v>638</v>
      </c>
      <c r="FS194" s="1" t="s">
        <v>638</v>
      </c>
      <c r="FT194" s="12">
        <v>182</v>
      </c>
      <c r="FU194" s="12"/>
      <c r="FV194" s="12">
        <v>182</v>
      </c>
      <c r="FW194" s="12">
        <v>182</v>
      </c>
      <c r="FX194" s="1">
        <v>182</v>
      </c>
      <c r="FY194" s="12" t="s">
        <v>637</v>
      </c>
      <c r="FZ194" s="12" t="s">
        <v>636</v>
      </c>
      <c r="GA194" s="1">
        <v>202</v>
      </c>
      <c r="GB194" s="1">
        <v>202</v>
      </c>
      <c r="GD194" s="1" t="s">
        <v>640</v>
      </c>
      <c r="GE194" s="1">
        <v>211</v>
      </c>
      <c r="GF194" s="1">
        <v>214</v>
      </c>
      <c r="GG194" s="1">
        <v>220</v>
      </c>
      <c r="GH194" s="1">
        <v>214</v>
      </c>
      <c r="GK194" s="1" t="s">
        <v>639</v>
      </c>
    </row>
    <row r="195" spans="1:193" ht="12.75" customHeight="1" x14ac:dyDescent="0.2">
      <c r="A195" s="1" t="s">
        <v>569</v>
      </c>
      <c r="D195" s="1" t="s">
        <v>576</v>
      </c>
      <c r="E195" s="1" t="s">
        <v>129</v>
      </c>
      <c r="F195" s="1">
        <v>1</v>
      </c>
      <c r="G195" s="1">
        <v>2020</v>
      </c>
      <c r="H195" s="1">
        <v>1</v>
      </c>
      <c r="I195" s="1">
        <v>1</v>
      </c>
      <c r="J195" s="1">
        <v>0</v>
      </c>
      <c r="K195" s="10">
        <v>115</v>
      </c>
      <c r="L195" s="10">
        <v>29.000000000000007</v>
      </c>
      <c r="M195" s="10">
        <v>201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8"/>
      <c r="BQ195" s="10">
        <v>25</v>
      </c>
      <c r="BR195" s="10">
        <v>3.0000000000000009</v>
      </c>
      <c r="BS195" s="10">
        <v>47</v>
      </c>
      <c r="BT195" s="10">
        <f>Tabelle58971121[[#This Row],[Mindestauslastung durch]]*Tabelle58971121[[#This Row],[installierte Leistung MW durch]]</f>
        <v>0</v>
      </c>
      <c r="BU195" s="10">
        <f>Tabelle58971121[[#This Row],[Mindestauslastung min]]*Tabelle58971121[[#This Row],[installierte Leistung MW min]]</f>
        <v>0</v>
      </c>
      <c r="BV195" s="18">
        <f>Tabelle58971121[[#This Row],[Mindestauslastung max]]*Tabelle58971121[[#This Row],[installierte Leistung MW max]]</f>
        <v>0</v>
      </c>
      <c r="BW195" s="8">
        <v>0</v>
      </c>
      <c r="BX195" s="8">
        <v>0</v>
      </c>
      <c r="BY195" s="8">
        <v>0</v>
      </c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41">
        <v>0.78</v>
      </c>
      <c r="DC195" s="41">
        <v>0.7</v>
      </c>
      <c r="DD195" s="41">
        <v>0.86</v>
      </c>
      <c r="DE195" s="10">
        <f>Tabelle58971121[[#This Row],[Durchschnittsauslastung min]]*Tabelle58971121[[#This Row],[installierte Leistung MW min]]</f>
        <v>35.1</v>
      </c>
      <c r="DF195" s="10">
        <f>Tabelle58971121[[#This Row],[Durchschnittsauslastung durch]]*Tabelle58971121[[#This Row],[installierte Leistung MW durch]]</f>
        <v>103.6</v>
      </c>
      <c r="DG195" s="48">
        <f>Tabelle58971121[[#This Row],[Durchschnittsauslastung max]]*Tabelle58971121[[#This Row],[installierte Leistung MW max]]</f>
        <v>215.85999999999999</v>
      </c>
      <c r="DH195" s="87">
        <f>Tabelle58971121[[#This Row],[Maximalauslastung durch]]*Tabelle58971121[[#This Row],[installierte Leistung MW min]]</f>
        <v>42.75</v>
      </c>
      <c r="DI195" s="48">
        <f>Tabelle58971121[[#This Row],[Maximalauslastung durch]]*Tabelle58971121[[#This Row],[installierte Leistung MW durch]]</f>
        <v>140.6</v>
      </c>
      <c r="DJ195" s="10">
        <f>Tabelle58971121[[#This Row],[Maximalauslastung max]]*Tabelle58971121[[#This Row],[installierte Leistung MW durch]]</f>
        <v>142.07999999999998</v>
      </c>
      <c r="DK195" s="8">
        <v>0.95</v>
      </c>
      <c r="DL195" s="8">
        <v>0.94000000000000017</v>
      </c>
      <c r="DM195" s="8">
        <v>0.96</v>
      </c>
      <c r="DN195" s="10">
        <v>148</v>
      </c>
      <c r="DO195" s="10">
        <v>45</v>
      </c>
      <c r="DP195" s="10">
        <v>251</v>
      </c>
      <c r="DQ195" s="1">
        <v>3.8817401960784308E-2</v>
      </c>
      <c r="DR195" s="1">
        <v>8.3333333333333329E-2</v>
      </c>
      <c r="DS195" s="53">
        <v>0.25</v>
      </c>
      <c r="DT195" s="1">
        <v>0.11913296568627449</v>
      </c>
      <c r="DU195" s="1">
        <v>8.3333333333333329E-2</v>
      </c>
      <c r="DV195" s="53">
        <v>0.25</v>
      </c>
      <c r="DW195" s="1">
        <v>2</v>
      </c>
      <c r="DX195" s="1">
        <v>1.6</v>
      </c>
      <c r="DY195" s="53">
        <v>2.4</v>
      </c>
      <c r="DZ195" s="1">
        <v>4</v>
      </c>
      <c r="EA195" s="1">
        <v>3.2</v>
      </c>
      <c r="EB195" s="53">
        <v>4.8</v>
      </c>
      <c r="EC195" s="1">
        <v>6</v>
      </c>
      <c r="ED195" s="1">
        <v>4.9000000000000004</v>
      </c>
      <c r="EE195" s="53">
        <v>4.9000000000000004</v>
      </c>
      <c r="EF195" s="1">
        <v>4.9000000000000004</v>
      </c>
      <c r="EG195" s="1">
        <v>3.3000000000000003</v>
      </c>
      <c r="EH195" s="53">
        <v>6.5</v>
      </c>
      <c r="EJ195" s="1" t="s">
        <v>641</v>
      </c>
      <c r="EL195" s="1">
        <v>50</v>
      </c>
      <c r="EM195" s="1">
        <v>20</v>
      </c>
      <c r="EN195" s="1">
        <v>80</v>
      </c>
      <c r="EO195" s="1">
        <v>0</v>
      </c>
      <c r="EP195" s="1">
        <v>0</v>
      </c>
      <c r="EQ195" s="1">
        <v>0</v>
      </c>
      <c r="ER195" s="1">
        <v>50</v>
      </c>
      <c r="ES195" s="1">
        <v>20</v>
      </c>
      <c r="ET195" s="1">
        <v>80</v>
      </c>
      <c r="EU195" s="1">
        <v>8.1411764705882348</v>
      </c>
      <c r="EV195" s="18">
        <v>3.052941176470588</v>
      </c>
      <c r="EW195" s="18">
        <v>13.229411764705882</v>
      </c>
      <c r="EX195" s="18">
        <v>274.76470588235293</v>
      </c>
      <c r="EY195" s="7">
        <v>122.11764705882352</v>
      </c>
      <c r="EZ195" s="7">
        <v>427.41176470588232</v>
      </c>
      <c r="FA195" s="7">
        <v>1519.8558823529411</v>
      </c>
      <c r="FB195" s="7">
        <v>1395.1941176470586</v>
      </c>
      <c r="FC195" s="7">
        <v>1644.5176470588235</v>
      </c>
      <c r="FD195" s="7">
        <v>30.52941176470588</v>
      </c>
      <c r="FE195" s="7">
        <v>0</v>
      </c>
      <c r="FF195" s="7">
        <v>61.058823529411761</v>
      </c>
      <c r="FG195" s="7">
        <v>101.76470588235293</v>
      </c>
      <c r="FH195" s="7">
        <v>50.882352941176464</v>
      </c>
      <c r="FI195" s="7">
        <v>152.64705882352939</v>
      </c>
      <c r="FJ195" s="7">
        <v>20.352941176470587</v>
      </c>
      <c r="FK195" s="7">
        <v>10.176470588235293</v>
      </c>
      <c r="FL195" s="7">
        <v>30.52941176470588</v>
      </c>
      <c r="FO195" s="1">
        <v>220</v>
      </c>
      <c r="FP195" s="1">
        <v>220</v>
      </c>
      <c r="FR195" s="12" t="s">
        <v>638</v>
      </c>
      <c r="FS195" s="1" t="s">
        <v>638</v>
      </c>
      <c r="FT195" s="12">
        <v>182</v>
      </c>
      <c r="FU195" s="12"/>
      <c r="FV195" s="12">
        <v>182</v>
      </c>
      <c r="FW195" s="12">
        <v>182</v>
      </c>
      <c r="FX195" s="1">
        <v>182</v>
      </c>
      <c r="FY195" s="12" t="s">
        <v>637</v>
      </c>
      <c r="FZ195" s="12" t="s">
        <v>636</v>
      </c>
      <c r="GA195" s="1">
        <v>202</v>
      </c>
      <c r="GB195" s="1">
        <v>202</v>
      </c>
      <c r="GD195" s="1" t="s">
        <v>640</v>
      </c>
      <c r="GE195" s="1">
        <v>211</v>
      </c>
      <c r="GF195" s="1">
        <v>214</v>
      </c>
      <c r="GG195" s="1">
        <v>220</v>
      </c>
      <c r="GH195" s="1">
        <v>214</v>
      </c>
      <c r="GK195" s="1" t="s">
        <v>639</v>
      </c>
    </row>
    <row r="196" spans="1:193" ht="12.75" customHeight="1" x14ac:dyDescent="0.2">
      <c r="A196" s="1" t="s">
        <v>569</v>
      </c>
      <c r="D196" s="1" t="s">
        <v>576</v>
      </c>
      <c r="E196" s="1" t="s">
        <v>129</v>
      </c>
      <c r="F196" s="1">
        <v>1</v>
      </c>
      <c r="G196" s="1">
        <v>2025</v>
      </c>
      <c r="H196" s="1">
        <v>1</v>
      </c>
      <c r="I196" s="1">
        <v>1</v>
      </c>
      <c r="J196" s="1">
        <v>0</v>
      </c>
      <c r="K196" s="10">
        <v>115</v>
      </c>
      <c r="L196" s="10">
        <v>29.000000000000007</v>
      </c>
      <c r="M196" s="10">
        <v>201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8"/>
      <c r="BQ196" s="10">
        <v>25</v>
      </c>
      <c r="BR196" s="10">
        <v>3.0000000000000009</v>
      </c>
      <c r="BS196" s="10">
        <v>47</v>
      </c>
      <c r="BT196" s="10">
        <f>Tabelle58971121[[#This Row],[Mindestauslastung durch]]*Tabelle58971121[[#This Row],[installierte Leistung MW durch]]</f>
        <v>0</v>
      </c>
      <c r="BU196" s="10">
        <f>Tabelle58971121[[#This Row],[Mindestauslastung min]]*Tabelle58971121[[#This Row],[installierte Leistung MW min]]</f>
        <v>0</v>
      </c>
      <c r="BV196" s="18">
        <f>Tabelle58971121[[#This Row],[Mindestauslastung max]]*Tabelle58971121[[#This Row],[installierte Leistung MW max]]</f>
        <v>0</v>
      </c>
      <c r="BW196" s="8">
        <v>0</v>
      </c>
      <c r="BX196" s="8">
        <v>0</v>
      </c>
      <c r="BY196" s="8">
        <v>0</v>
      </c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41">
        <v>0.78</v>
      </c>
      <c r="DC196" s="41">
        <v>0.7</v>
      </c>
      <c r="DD196" s="41">
        <v>0.86</v>
      </c>
      <c r="DE196" s="10">
        <f>Tabelle58971121[[#This Row],[Durchschnittsauslastung min]]*Tabelle58971121[[#This Row],[installierte Leistung MW min]]</f>
        <v>35.1</v>
      </c>
      <c r="DF196" s="10">
        <f>Tabelle58971121[[#This Row],[Durchschnittsauslastung durch]]*Tabelle58971121[[#This Row],[installierte Leistung MW durch]]</f>
        <v>103.6</v>
      </c>
      <c r="DG196" s="48">
        <f>Tabelle58971121[[#This Row],[Durchschnittsauslastung max]]*Tabelle58971121[[#This Row],[installierte Leistung MW max]]</f>
        <v>215.85999999999999</v>
      </c>
      <c r="DH196" s="87">
        <f>Tabelle58971121[[#This Row],[Maximalauslastung durch]]*Tabelle58971121[[#This Row],[installierte Leistung MW min]]</f>
        <v>42.75</v>
      </c>
      <c r="DI196" s="48">
        <f>Tabelle58971121[[#This Row],[Maximalauslastung durch]]*Tabelle58971121[[#This Row],[installierte Leistung MW durch]]</f>
        <v>140.6</v>
      </c>
      <c r="DJ196" s="10">
        <f>Tabelle58971121[[#This Row],[Maximalauslastung max]]*Tabelle58971121[[#This Row],[installierte Leistung MW durch]]</f>
        <v>142.07999999999998</v>
      </c>
      <c r="DK196" s="8">
        <v>0.95</v>
      </c>
      <c r="DL196" s="8">
        <v>0.94000000000000017</v>
      </c>
      <c r="DM196" s="8">
        <v>0.96</v>
      </c>
      <c r="DN196" s="10">
        <v>148</v>
      </c>
      <c r="DO196" s="10">
        <v>45</v>
      </c>
      <c r="DP196" s="10">
        <v>251</v>
      </c>
      <c r="DQ196" s="1">
        <v>3.8817401960784308E-2</v>
      </c>
      <c r="DR196" s="1">
        <v>8.3333333333333329E-2</v>
      </c>
      <c r="DS196" s="53">
        <v>0.25</v>
      </c>
      <c r="DT196" s="1">
        <v>0.11913296568627449</v>
      </c>
      <c r="DU196" s="1">
        <v>8.3333333333333329E-2</v>
      </c>
      <c r="DV196" s="53">
        <v>0.25</v>
      </c>
      <c r="DW196" s="1">
        <v>2</v>
      </c>
      <c r="DX196" s="1">
        <v>1.6</v>
      </c>
      <c r="DY196" s="53">
        <v>2.4</v>
      </c>
      <c r="DZ196" s="1">
        <v>4</v>
      </c>
      <c r="EA196" s="1">
        <v>3.2</v>
      </c>
      <c r="EB196" s="53">
        <v>4.8</v>
      </c>
      <c r="EC196" s="1">
        <v>6</v>
      </c>
      <c r="ED196" s="1">
        <v>4.9000000000000004</v>
      </c>
      <c r="EE196" s="53">
        <v>4.9000000000000004</v>
      </c>
      <c r="EF196" s="1">
        <v>4.9000000000000004</v>
      </c>
      <c r="EG196" s="1">
        <v>3.3000000000000003</v>
      </c>
      <c r="EH196" s="53">
        <v>6.5</v>
      </c>
      <c r="EJ196" s="1" t="s">
        <v>641</v>
      </c>
      <c r="EL196" s="1">
        <v>50</v>
      </c>
      <c r="EM196" s="1">
        <v>20</v>
      </c>
      <c r="EN196" s="1">
        <v>80</v>
      </c>
      <c r="EO196" s="1">
        <v>0</v>
      </c>
      <c r="EP196" s="1">
        <v>0</v>
      </c>
      <c r="EQ196" s="1">
        <v>0</v>
      </c>
      <c r="ER196" s="1">
        <v>50</v>
      </c>
      <c r="ES196" s="1">
        <v>20</v>
      </c>
      <c r="ET196" s="1">
        <v>80</v>
      </c>
      <c r="EU196" s="1">
        <v>8.1411764705882348</v>
      </c>
      <c r="EV196" s="18">
        <v>3.052941176470588</v>
      </c>
      <c r="EW196" s="18">
        <v>13.229411764705882</v>
      </c>
      <c r="EX196" s="18">
        <v>274.76470588235293</v>
      </c>
      <c r="EY196" s="7">
        <v>122.11764705882352</v>
      </c>
      <c r="EZ196" s="7">
        <v>427.41176470588232</v>
      </c>
      <c r="FA196" s="7">
        <v>1519.8558823529411</v>
      </c>
      <c r="FB196" s="7">
        <v>1395.1941176470586</v>
      </c>
      <c r="FC196" s="7">
        <v>1644.5176470588235</v>
      </c>
      <c r="FD196" s="7">
        <v>30.52941176470588</v>
      </c>
      <c r="FE196" s="7">
        <v>0</v>
      </c>
      <c r="FF196" s="7">
        <v>61.058823529411761</v>
      </c>
      <c r="FG196" s="7">
        <v>101.76470588235293</v>
      </c>
      <c r="FH196" s="7">
        <v>50.882352941176464</v>
      </c>
      <c r="FI196" s="7">
        <v>152.64705882352939</v>
      </c>
      <c r="FJ196" s="7">
        <v>20.352941176470587</v>
      </c>
      <c r="FK196" s="7">
        <v>10.176470588235293</v>
      </c>
      <c r="FL196" s="7">
        <v>30.52941176470588</v>
      </c>
      <c r="FO196" s="1">
        <v>220</v>
      </c>
      <c r="FP196" s="1">
        <v>220</v>
      </c>
      <c r="FR196" s="12" t="s">
        <v>638</v>
      </c>
      <c r="FS196" s="1" t="s">
        <v>638</v>
      </c>
      <c r="FT196" s="12">
        <v>182</v>
      </c>
      <c r="FU196" s="12"/>
      <c r="FV196" s="12">
        <v>182</v>
      </c>
      <c r="FW196" s="12">
        <v>182</v>
      </c>
      <c r="FX196" s="1">
        <v>182</v>
      </c>
      <c r="FY196" s="12" t="s">
        <v>637</v>
      </c>
      <c r="FZ196" s="12" t="s">
        <v>636</v>
      </c>
      <c r="GA196" s="1">
        <v>202</v>
      </c>
      <c r="GB196" s="1">
        <v>202</v>
      </c>
      <c r="GD196" s="1" t="s">
        <v>640</v>
      </c>
      <c r="GE196" s="1">
        <v>211</v>
      </c>
      <c r="GF196" s="1">
        <v>214</v>
      </c>
      <c r="GG196" s="1">
        <v>220</v>
      </c>
      <c r="GH196" s="1">
        <v>214</v>
      </c>
      <c r="GK196" s="1" t="s">
        <v>639</v>
      </c>
    </row>
    <row r="197" spans="1:193" ht="12.75" customHeight="1" x14ac:dyDescent="0.2">
      <c r="A197" s="1" t="s">
        <v>569</v>
      </c>
      <c r="D197" s="1" t="s">
        <v>576</v>
      </c>
      <c r="E197" s="1" t="s">
        <v>129</v>
      </c>
      <c r="F197" s="1">
        <v>1</v>
      </c>
      <c r="G197" s="1">
        <v>2030</v>
      </c>
      <c r="H197" s="1">
        <v>1</v>
      </c>
      <c r="I197" s="1">
        <v>1</v>
      </c>
      <c r="J197" s="1">
        <v>0</v>
      </c>
      <c r="K197" s="10">
        <v>115</v>
      </c>
      <c r="L197" s="10">
        <v>29.000000000000007</v>
      </c>
      <c r="M197" s="10">
        <v>201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8"/>
      <c r="BQ197" s="10">
        <v>25</v>
      </c>
      <c r="BR197" s="10">
        <v>3.0000000000000009</v>
      </c>
      <c r="BS197" s="10">
        <v>47</v>
      </c>
      <c r="BT197" s="10">
        <f>Tabelle58971121[[#This Row],[Mindestauslastung durch]]*Tabelle58971121[[#This Row],[installierte Leistung MW durch]]</f>
        <v>0</v>
      </c>
      <c r="BU197" s="10">
        <f>Tabelle58971121[[#This Row],[Mindestauslastung min]]*Tabelle58971121[[#This Row],[installierte Leistung MW min]]</f>
        <v>0</v>
      </c>
      <c r="BV197" s="18">
        <f>Tabelle58971121[[#This Row],[Mindestauslastung max]]*Tabelle58971121[[#This Row],[installierte Leistung MW max]]</f>
        <v>0</v>
      </c>
      <c r="BW197" s="8">
        <v>0</v>
      </c>
      <c r="BX197" s="8">
        <v>0</v>
      </c>
      <c r="BY197" s="8">
        <v>0</v>
      </c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41">
        <v>0.78</v>
      </c>
      <c r="DC197" s="41">
        <v>0.7</v>
      </c>
      <c r="DD197" s="41">
        <v>0.86</v>
      </c>
      <c r="DE197" s="10">
        <f>Tabelle58971121[[#This Row],[Durchschnittsauslastung min]]*Tabelle58971121[[#This Row],[installierte Leistung MW min]]</f>
        <v>35.1</v>
      </c>
      <c r="DF197" s="10">
        <f>Tabelle58971121[[#This Row],[Durchschnittsauslastung durch]]*Tabelle58971121[[#This Row],[installierte Leistung MW durch]]</f>
        <v>103.6</v>
      </c>
      <c r="DG197" s="48">
        <f>Tabelle58971121[[#This Row],[Durchschnittsauslastung max]]*Tabelle58971121[[#This Row],[installierte Leistung MW max]]</f>
        <v>215.85999999999999</v>
      </c>
      <c r="DH197" s="87">
        <f>Tabelle58971121[[#This Row],[Maximalauslastung durch]]*Tabelle58971121[[#This Row],[installierte Leistung MW min]]</f>
        <v>42.75</v>
      </c>
      <c r="DI197" s="48">
        <f>Tabelle58971121[[#This Row],[Maximalauslastung durch]]*Tabelle58971121[[#This Row],[installierte Leistung MW durch]]</f>
        <v>140.6</v>
      </c>
      <c r="DJ197" s="10">
        <f>Tabelle58971121[[#This Row],[Maximalauslastung max]]*Tabelle58971121[[#This Row],[installierte Leistung MW durch]]</f>
        <v>142.07999999999998</v>
      </c>
      <c r="DK197" s="8">
        <v>0.95</v>
      </c>
      <c r="DL197" s="8">
        <v>0.94000000000000017</v>
      </c>
      <c r="DM197" s="8">
        <v>0.96</v>
      </c>
      <c r="DN197" s="10">
        <v>148</v>
      </c>
      <c r="DO197" s="10">
        <v>45</v>
      </c>
      <c r="DP197" s="10">
        <v>251</v>
      </c>
      <c r="DQ197" s="1">
        <v>3.8817401960784308E-2</v>
      </c>
      <c r="DR197" s="1">
        <v>8.3333333333333329E-2</v>
      </c>
      <c r="DS197" s="53">
        <v>0.25</v>
      </c>
      <c r="DT197" s="1">
        <v>0.11913296568627449</v>
      </c>
      <c r="DU197" s="1">
        <v>8.3333333333333329E-2</v>
      </c>
      <c r="DV197" s="53">
        <v>0.25</v>
      </c>
      <c r="DW197" s="1">
        <v>2</v>
      </c>
      <c r="DX197" s="1">
        <v>1.6</v>
      </c>
      <c r="DY197" s="53">
        <v>2.4</v>
      </c>
      <c r="DZ197" s="1">
        <v>4</v>
      </c>
      <c r="EA197" s="1">
        <v>3.2</v>
      </c>
      <c r="EB197" s="53">
        <v>4.8</v>
      </c>
      <c r="EC197" s="1">
        <v>6</v>
      </c>
      <c r="ED197" s="1">
        <v>4.9000000000000004</v>
      </c>
      <c r="EE197" s="53">
        <v>4.9000000000000004</v>
      </c>
      <c r="EF197" s="1">
        <v>4.9000000000000004</v>
      </c>
      <c r="EG197" s="1">
        <v>3.3000000000000003</v>
      </c>
      <c r="EH197" s="53">
        <v>6.5</v>
      </c>
      <c r="EJ197" s="1" t="s">
        <v>641</v>
      </c>
      <c r="EL197" s="1">
        <v>50</v>
      </c>
      <c r="EM197" s="1">
        <v>20</v>
      </c>
      <c r="EN197" s="1">
        <v>80</v>
      </c>
      <c r="EO197" s="1">
        <v>0</v>
      </c>
      <c r="EP197" s="1">
        <v>0</v>
      </c>
      <c r="EQ197" s="1">
        <v>0</v>
      </c>
      <c r="ER197" s="1">
        <v>50</v>
      </c>
      <c r="ES197" s="1">
        <v>20</v>
      </c>
      <c r="ET197" s="1">
        <v>80</v>
      </c>
      <c r="EU197" s="1">
        <v>8.1411764705882348</v>
      </c>
      <c r="EV197" s="18">
        <v>3.052941176470588</v>
      </c>
      <c r="EW197" s="18">
        <v>13.229411764705882</v>
      </c>
      <c r="EX197" s="18">
        <v>274.76470588235293</v>
      </c>
      <c r="EY197" s="7">
        <v>122.11764705882352</v>
      </c>
      <c r="EZ197" s="7">
        <v>427.41176470588232</v>
      </c>
      <c r="FA197" s="7">
        <v>1519.8558823529411</v>
      </c>
      <c r="FB197" s="7">
        <v>1395.1941176470586</v>
      </c>
      <c r="FC197" s="7">
        <v>1644.5176470588235</v>
      </c>
      <c r="FD197" s="7">
        <v>30.52941176470588</v>
      </c>
      <c r="FE197" s="7">
        <v>0</v>
      </c>
      <c r="FF197" s="7">
        <v>61.058823529411761</v>
      </c>
      <c r="FG197" s="7">
        <v>101.76470588235293</v>
      </c>
      <c r="FH197" s="7">
        <v>50.882352941176464</v>
      </c>
      <c r="FI197" s="7">
        <v>152.64705882352939</v>
      </c>
      <c r="FJ197" s="7">
        <v>20.352941176470587</v>
      </c>
      <c r="FK197" s="7">
        <v>10.176470588235293</v>
      </c>
      <c r="FL197" s="7">
        <v>30.52941176470588</v>
      </c>
      <c r="FO197" s="1">
        <v>220</v>
      </c>
      <c r="FP197" s="1">
        <v>220</v>
      </c>
      <c r="FR197" s="12" t="s">
        <v>638</v>
      </c>
      <c r="FS197" s="1" t="s">
        <v>638</v>
      </c>
      <c r="FT197" s="12">
        <v>182</v>
      </c>
      <c r="FU197" s="12"/>
      <c r="FV197" s="12">
        <v>182</v>
      </c>
      <c r="FW197" s="12">
        <v>182</v>
      </c>
      <c r="FX197" s="1">
        <v>182</v>
      </c>
      <c r="FY197" s="12" t="s">
        <v>637</v>
      </c>
      <c r="FZ197" s="12" t="s">
        <v>636</v>
      </c>
      <c r="GA197" s="1">
        <v>202</v>
      </c>
      <c r="GB197" s="1">
        <v>202</v>
      </c>
      <c r="GD197" s="1" t="s">
        <v>640</v>
      </c>
      <c r="GE197" s="1">
        <v>211</v>
      </c>
      <c r="GF197" s="1">
        <v>214</v>
      </c>
      <c r="GG197" s="1">
        <v>220</v>
      </c>
      <c r="GH197" s="1">
        <v>214</v>
      </c>
      <c r="GK197" s="1" t="s">
        <v>639</v>
      </c>
    </row>
    <row r="198" spans="1:193" ht="12.75" customHeight="1" x14ac:dyDescent="0.2">
      <c r="A198" s="1" t="s">
        <v>569</v>
      </c>
      <c r="D198" s="1" t="s">
        <v>576</v>
      </c>
      <c r="E198" s="1" t="s">
        <v>129</v>
      </c>
      <c r="F198" s="1">
        <v>1</v>
      </c>
      <c r="G198" s="1">
        <v>2035</v>
      </c>
      <c r="H198" s="1">
        <v>1</v>
      </c>
      <c r="I198" s="1">
        <v>1</v>
      </c>
      <c r="J198" s="1">
        <v>0</v>
      </c>
      <c r="K198" s="10">
        <v>115</v>
      </c>
      <c r="L198" s="10">
        <v>29.000000000000007</v>
      </c>
      <c r="M198" s="10">
        <v>201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8"/>
      <c r="BQ198" s="10">
        <v>25</v>
      </c>
      <c r="BR198" s="10">
        <v>3.0000000000000009</v>
      </c>
      <c r="BS198" s="10">
        <v>47</v>
      </c>
      <c r="BT198" s="10">
        <f>Tabelle58971121[[#This Row],[Mindestauslastung durch]]*Tabelle58971121[[#This Row],[installierte Leistung MW durch]]</f>
        <v>0</v>
      </c>
      <c r="BU198" s="10">
        <f>Tabelle58971121[[#This Row],[Mindestauslastung min]]*Tabelle58971121[[#This Row],[installierte Leistung MW min]]</f>
        <v>0</v>
      </c>
      <c r="BV198" s="18">
        <f>Tabelle58971121[[#This Row],[Mindestauslastung max]]*Tabelle58971121[[#This Row],[installierte Leistung MW max]]</f>
        <v>0</v>
      </c>
      <c r="BW198" s="8">
        <v>0</v>
      </c>
      <c r="BX198" s="8">
        <v>0</v>
      </c>
      <c r="BY198" s="8">
        <v>0</v>
      </c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41">
        <v>0.78</v>
      </c>
      <c r="DC198" s="41">
        <v>0.7</v>
      </c>
      <c r="DD198" s="41">
        <v>0.86</v>
      </c>
      <c r="DE198" s="10">
        <f>Tabelle58971121[[#This Row],[Durchschnittsauslastung min]]*Tabelle58971121[[#This Row],[installierte Leistung MW min]]</f>
        <v>35.1</v>
      </c>
      <c r="DF198" s="10">
        <f>Tabelle58971121[[#This Row],[Durchschnittsauslastung durch]]*Tabelle58971121[[#This Row],[installierte Leistung MW durch]]</f>
        <v>103.6</v>
      </c>
      <c r="DG198" s="48">
        <f>Tabelle58971121[[#This Row],[Durchschnittsauslastung max]]*Tabelle58971121[[#This Row],[installierte Leistung MW max]]</f>
        <v>215.85999999999999</v>
      </c>
      <c r="DH198" s="87">
        <f>Tabelle58971121[[#This Row],[Maximalauslastung durch]]*Tabelle58971121[[#This Row],[installierte Leistung MW min]]</f>
        <v>42.75</v>
      </c>
      <c r="DI198" s="48">
        <f>Tabelle58971121[[#This Row],[Maximalauslastung durch]]*Tabelle58971121[[#This Row],[installierte Leistung MW durch]]</f>
        <v>140.6</v>
      </c>
      <c r="DJ198" s="10">
        <f>Tabelle58971121[[#This Row],[Maximalauslastung max]]*Tabelle58971121[[#This Row],[installierte Leistung MW durch]]</f>
        <v>142.07999999999998</v>
      </c>
      <c r="DK198" s="8">
        <v>0.95</v>
      </c>
      <c r="DL198" s="8">
        <v>0.94000000000000017</v>
      </c>
      <c r="DM198" s="8">
        <v>0.96</v>
      </c>
      <c r="DN198" s="10">
        <v>148</v>
      </c>
      <c r="DO198" s="10">
        <v>45</v>
      </c>
      <c r="DP198" s="10">
        <v>251</v>
      </c>
      <c r="DQ198" s="1">
        <v>3.8817401960784308E-2</v>
      </c>
      <c r="DR198" s="1">
        <v>8.3333333333333329E-2</v>
      </c>
      <c r="DS198" s="53">
        <v>0.25</v>
      </c>
      <c r="DT198" s="1">
        <v>0.11913296568627449</v>
      </c>
      <c r="DU198" s="1">
        <v>8.3333333333333329E-2</v>
      </c>
      <c r="DV198" s="53">
        <v>0.25</v>
      </c>
      <c r="DW198" s="1">
        <v>2</v>
      </c>
      <c r="DX198" s="1">
        <v>1.6</v>
      </c>
      <c r="DY198" s="53">
        <v>2.4</v>
      </c>
      <c r="DZ198" s="1">
        <v>4</v>
      </c>
      <c r="EA198" s="1">
        <v>3.2</v>
      </c>
      <c r="EB198" s="53">
        <v>4.8</v>
      </c>
      <c r="EC198" s="1">
        <v>6</v>
      </c>
      <c r="ED198" s="1">
        <v>4.9000000000000004</v>
      </c>
      <c r="EE198" s="53">
        <v>4.9000000000000004</v>
      </c>
      <c r="EF198" s="1">
        <v>4.9000000000000004</v>
      </c>
      <c r="EG198" s="1">
        <v>3.3000000000000003</v>
      </c>
      <c r="EH198" s="53">
        <v>6.5</v>
      </c>
      <c r="EJ198" s="1" t="s">
        <v>641</v>
      </c>
      <c r="EL198" s="1">
        <v>50</v>
      </c>
      <c r="EM198" s="1">
        <v>20</v>
      </c>
      <c r="EN198" s="1">
        <v>80</v>
      </c>
      <c r="EO198" s="1">
        <v>0</v>
      </c>
      <c r="EP198" s="1">
        <v>0</v>
      </c>
      <c r="EQ198" s="1">
        <v>0</v>
      </c>
      <c r="ER198" s="1">
        <v>50</v>
      </c>
      <c r="ES198" s="1">
        <v>20</v>
      </c>
      <c r="ET198" s="1">
        <v>80</v>
      </c>
      <c r="EU198" s="1">
        <v>8.1411764705882348</v>
      </c>
      <c r="EV198" s="18">
        <v>3.052941176470588</v>
      </c>
      <c r="EW198" s="18">
        <v>13.229411764705882</v>
      </c>
      <c r="EX198" s="18">
        <v>274.76470588235293</v>
      </c>
      <c r="EY198" s="7">
        <v>122.11764705882352</v>
      </c>
      <c r="EZ198" s="7">
        <v>427.41176470588232</v>
      </c>
      <c r="FA198" s="7">
        <v>1519.8558823529411</v>
      </c>
      <c r="FB198" s="7">
        <v>1395.1941176470586</v>
      </c>
      <c r="FC198" s="7">
        <v>1644.5176470588235</v>
      </c>
      <c r="FD198" s="7">
        <v>30.52941176470588</v>
      </c>
      <c r="FE198" s="7">
        <v>0</v>
      </c>
      <c r="FF198" s="7">
        <v>61.058823529411761</v>
      </c>
      <c r="FG198" s="7">
        <v>101.76470588235293</v>
      </c>
      <c r="FH198" s="7">
        <v>50.882352941176464</v>
      </c>
      <c r="FI198" s="7">
        <v>152.64705882352939</v>
      </c>
      <c r="FJ198" s="7">
        <v>20.352941176470587</v>
      </c>
      <c r="FK198" s="7">
        <v>10.176470588235293</v>
      </c>
      <c r="FL198" s="7">
        <v>30.52941176470588</v>
      </c>
      <c r="FO198" s="1">
        <v>220</v>
      </c>
      <c r="FP198" s="1">
        <v>220</v>
      </c>
      <c r="FR198" s="12" t="s">
        <v>638</v>
      </c>
      <c r="FS198" s="1" t="s">
        <v>638</v>
      </c>
      <c r="FT198" s="12">
        <v>182</v>
      </c>
      <c r="FU198" s="12"/>
      <c r="FV198" s="12">
        <v>182</v>
      </c>
      <c r="FW198" s="12">
        <v>182</v>
      </c>
      <c r="FX198" s="1">
        <v>182</v>
      </c>
      <c r="FY198" s="12" t="s">
        <v>637</v>
      </c>
      <c r="FZ198" s="12" t="s">
        <v>636</v>
      </c>
      <c r="GA198" s="1">
        <v>202</v>
      </c>
      <c r="GB198" s="1">
        <v>202</v>
      </c>
      <c r="GD198" s="1" t="s">
        <v>640</v>
      </c>
      <c r="GE198" s="1">
        <v>211</v>
      </c>
      <c r="GF198" s="1">
        <v>214</v>
      </c>
      <c r="GG198" s="1">
        <v>220</v>
      </c>
      <c r="GH198" s="1">
        <v>214</v>
      </c>
      <c r="GK198" s="1" t="s">
        <v>639</v>
      </c>
    </row>
    <row r="199" spans="1:193" ht="12.75" customHeight="1" x14ac:dyDescent="0.2">
      <c r="A199" s="1" t="s">
        <v>569</v>
      </c>
      <c r="D199" s="1" t="s">
        <v>576</v>
      </c>
      <c r="E199" s="1" t="s">
        <v>129</v>
      </c>
      <c r="F199" s="1">
        <v>1</v>
      </c>
      <c r="G199" s="1">
        <v>2040</v>
      </c>
      <c r="H199" s="1">
        <v>1</v>
      </c>
      <c r="I199" s="1">
        <v>1</v>
      </c>
      <c r="J199" s="1">
        <v>0</v>
      </c>
      <c r="K199" s="10">
        <v>115</v>
      </c>
      <c r="L199" s="10">
        <v>29.000000000000007</v>
      </c>
      <c r="M199" s="10">
        <v>201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8"/>
      <c r="BQ199" s="10">
        <v>25</v>
      </c>
      <c r="BR199" s="10">
        <v>3.0000000000000009</v>
      </c>
      <c r="BS199" s="10">
        <v>47</v>
      </c>
      <c r="BT199" s="10">
        <f>Tabelle58971121[[#This Row],[Mindestauslastung durch]]*Tabelle58971121[[#This Row],[installierte Leistung MW durch]]</f>
        <v>0</v>
      </c>
      <c r="BU199" s="10">
        <f>Tabelle58971121[[#This Row],[Mindestauslastung min]]*Tabelle58971121[[#This Row],[installierte Leistung MW min]]</f>
        <v>0</v>
      </c>
      <c r="BV199" s="18">
        <f>Tabelle58971121[[#This Row],[Mindestauslastung max]]*Tabelle58971121[[#This Row],[installierte Leistung MW max]]</f>
        <v>0</v>
      </c>
      <c r="BW199" s="8">
        <v>0</v>
      </c>
      <c r="BX199" s="8">
        <v>0</v>
      </c>
      <c r="BY199" s="8">
        <v>0</v>
      </c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41">
        <v>0.78</v>
      </c>
      <c r="DC199" s="41">
        <v>0.7</v>
      </c>
      <c r="DD199" s="41">
        <v>0.86</v>
      </c>
      <c r="DE199" s="10">
        <f>Tabelle58971121[[#This Row],[Durchschnittsauslastung min]]*Tabelle58971121[[#This Row],[installierte Leistung MW min]]</f>
        <v>35.1</v>
      </c>
      <c r="DF199" s="10">
        <f>Tabelle58971121[[#This Row],[Durchschnittsauslastung durch]]*Tabelle58971121[[#This Row],[installierte Leistung MW durch]]</f>
        <v>103.6</v>
      </c>
      <c r="DG199" s="48">
        <f>Tabelle58971121[[#This Row],[Durchschnittsauslastung max]]*Tabelle58971121[[#This Row],[installierte Leistung MW max]]</f>
        <v>215.85999999999999</v>
      </c>
      <c r="DH199" s="87">
        <f>Tabelle58971121[[#This Row],[Maximalauslastung durch]]*Tabelle58971121[[#This Row],[installierte Leistung MW min]]</f>
        <v>42.75</v>
      </c>
      <c r="DI199" s="48">
        <f>Tabelle58971121[[#This Row],[Maximalauslastung durch]]*Tabelle58971121[[#This Row],[installierte Leistung MW durch]]</f>
        <v>140.6</v>
      </c>
      <c r="DJ199" s="10">
        <f>Tabelle58971121[[#This Row],[Maximalauslastung max]]*Tabelle58971121[[#This Row],[installierte Leistung MW durch]]</f>
        <v>142.07999999999998</v>
      </c>
      <c r="DK199" s="8">
        <v>0.95</v>
      </c>
      <c r="DL199" s="8">
        <v>0.94000000000000017</v>
      </c>
      <c r="DM199" s="8">
        <v>0.96</v>
      </c>
      <c r="DN199" s="10">
        <v>148</v>
      </c>
      <c r="DO199" s="10">
        <v>45</v>
      </c>
      <c r="DP199" s="10">
        <v>251</v>
      </c>
      <c r="DQ199" s="1">
        <v>3.8817401960784308E-2</v>
      </c>
      <c r="DR199" s="1">
        <v>8.3333333333333329E-2</v>
      </c>
      <c r="DS199" s="53">
        <v>0.25</v>
      </c>
      <c r="DT199" s="1">
        <v>0.11913296568627449</v>
      </c>
      <c r="DU199" s="1">
        <v>8.3333333333333329E-2</v>
      </c>
      <c r="DV199" s="53">
        <v>0.25</v>
      </c>
      <c r="DW199" s="1">
        <v>2</v>
      </c>
      <c r="DX199" s="1">
        <v>1.6</v>
      </c>
      <c r="DY199" s="53">
        <v>2.4</v>
      </c>
      <c r="DZ199" s="1">
        <v>4</v>
      </c>
      <c r="EA199" s="1">
        <v>3.2</v>
      </c>
      <c r="EB199" s="53">
        <v>4.8</v>
      </c>
      <c r="EC199" s="1">
        <v>6</v>
      </c>
      <c r="ED199" s="1">
        <v>4.9000000000000004</v>
      </c>
      <c r="EE199" s="53">
        <v>4.9000000000000004</v>
      </c>
      <c r="EF199" s="1">
        <v>4.9000000000000004</v>
      </c>
      <c r="EG199" s="1">
        <v>3.3000000000000003</v>
      </c>
      <c r="EH199" s="53">
        <v>6.5</v>
      </c>
      <c r="EJ199" s="1" t="s">
        <v>641</v>
      </c>
      <c r="EL199" s="1">
        <v>50</v>
      </c>
      <c r="EM199" s="1">
        <v>20</v>
      </c>
      <c r="EN199" s="1">
        <v>80</v>
      </c>
      <c r="EO199" s="1">
        <v>0</v>
      </c>
      <c r="EP199" s="1">
        <v>0</v>
      </c>
      <c r="EQ199" s="1">
        <v>0</v>
      </c>
      <c r="ER199" s="1">
        <v>50</v>
      </c>
      <c r="ES199" s="1">
        <v>20</v>
      </c>
      <c r="ET199" s="1">
        <v>80</v>
      </c>
      <c r="EU199" s="1">
        <v>8.1411764705882348</v>
      </c>
      <c r="EV199" s="18">
        <v>3.052941176470588</v>
      </c>
      <c r="EW199" s="18">
        <v>13.229411764705882</v>
      </c>
      <c r="EX199" s="18">
        <v>274.76470588235293</v>
      </c>
      <c r="EY199" s="7">
        <v>122.11764705882352</v>
      </c>
      <c r="EZ199" s="7">
        <v>427.41176470588232</v>
      </c>
      <c r="FA199" s="7">
        <v>1519.8558823529411</v>
      </c>
      <c r="FB199" s="7">
        <v>1395.1941176470586</v>
      </c>
      <c r="FC199" s="7">
        <v>1644.5176470588235</v>
      </c>
      <c r="FD199" s="7">
        <v>30.52941176470588</v>
      </c>
      <c r="FE199" s="7">
        <v>0</v>
      </c>
      <c r="FF199" s="7">
        <v>61.058823529411761</v>
      </c>
      <c r="FG199" s="7">
        <v>101.76470588235293</v>
      </c>
      <c r="FH199" s="7">
        <v>50.882352941176464</v>
      </c>
      <c r="FI199" s="7">
        <v>152.64705882352939</v>
      </c>
      <c r="FJ199" s="7">
        <v>20.352941176470587</v>
      </c>
      <c r="FK199" s="7">
        <v>10.176470588235293</v>
      </c>
      <c r="FL199" s="7">
        <v>30.52941176470588</v>
      </c>
      <c r="FO199" s="1">
        <v>220</v>
      </c>
      <c r="FP199" s="1">
        <v>220</v>
      </c>
      <c r="FR199" s="12" t="s">
        <v>638</v>
      </c>
      <c r="FS199" s="1" t="s">
        <v>638</v>
      </c>
      <c r="FT199" s="12">
        <v>182</v>
      </c>
      <c r="FU199" s="12"/>
      <c r="FV199" s="12">
        <v>182</v>
      </c>
      <c r="FW199" s="12">
        <v>182</v>
      </c>
      <c r="FX199" s="1">
        <v>182</v>
      </c>
      <c r="FY199" s="12" t="s">
        <v>637</v>
      </c>
      <c r="FZ199" s="12" t="s">
        <v>636</v>
      </c>
      <c r="GA199" s="1">
        <v>202</v>
      </c>
      <c r="GB199" s="1">
        <v>202</v>
      </c>
      <c r="GD199" s="1" t="s">
        <v>640</v>
      </c>
      <c r="GE199" s="1">
        <v>211</v>
      </c>
      <c r="GF199" s="1">
        <v>214</v>
      </c>
      <c r="GG199" s="1">
        <v>220</v>
      </c>
      <c r="GH199" s="1">
        <v>214</v>
      </c>
      <c r="GK199" s="1" t="s">
        <v>639</v>
      </c>
    </row>
    <row r="200" spans="1:193" ht="12.75" customHeight="1" x14ac:dyDescent="0.2">
      <c r="A200" s="1" t="s">
        <v>569</v>
      </c>
      <c r="D200" s="1" t="s">
        <v>576</v>
      </c>
      <c r="E200" s="1" t="s">
        <v>129</v>
      </c>
      <c r="F200" s="1">
        <v>1</v>
      </c>
      <c r="G200" s="1">
        <v>2045</v>
      </c>
      <c r="H200" s="1">
        <v>1</v>
      </c>
      <c r="I200" s="1">
        <v>1</v>
      </c>
      <c r="J200" s="1">
        <v>0</v>
      </c>
      <c r="K200" s="10">
        <v>115</v>
      </c>
      <c r="L200" s="10">
        <v>29.000000000000007</v>
      </c>
      <c r="M200" s="10">
        <v>201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8"/>
      <c r="BQ200" s="10">
        <v>25</v>
      </c>
      <c r="BR200" s="10">
        <v>3.0000000000000009</v>
      </c>
      <c r="BS200" s="10">
        <v>47</v>
      </c>
      <c r="BT200" s="10">
        <f>Tabelle58971121[[#This Row],[Mindestauslastung durch]]*Tabelle58971121[[#This Row],[installierte Leistung MW durch]]</f>
        <v>0</v>
      </c>
      <c r="BU200" s="10">
        <f>Tabelle58971121[[#This Row],[Mindestauslastung min]]*Tabelle58971121[[#This Row],[installierte Leistung MW min]]</f>
        <v>0</v>
      </c>
      <c r="BV200" s="18">
        <f>Tabelle58971121[[#This Row],[Mindestauslastung max]]*Tabelle58971121[[#This Row],[installierte Leistung MW max]]</f>
        <v>0</v>
      </c>
      <c r="BW200" s="8">
        <v>0</v>
      </c>
      <c r="BX200" s="8">
        <v>0</v>
      </c>
      <c r="BY200" s="8">
        <v>0</v>
      </c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41">
        <v>0.78</v>
      </c>
      <c r="DC200" s="41">
        <v>0.7</v>
      </c>
      <c r="DD200" s="41">
        <v>0.86</v>
      </c>
      <c r="DE200" s="10">
        <f>Tabelle58971121[[#This Row],[Durchschnittsauslastung min]]*Tabelle58971121[[#This Row],[installierte Leistung MW min]]</f>
        <v>35.1</v>
      </c>
      <c r="DF200" s="10">
        <f>Tabelle58971121[[#This Row],[Durchschnittsauslastung durch]]*Tabelle58971121[[#This Row],[installierte Leistung MW durch]]</f>
        <v>103.6</v>
      </c>
      <c r="DG200" s="48">
        <f>Tabelle58971121[[#This Row],[Durchschnittsauslastung max]]*Tabelle58971121[[#This Row],[installierte Leistung MW max]]</f>
        <v>215.85999999999999</v>
      </c>
      <c r="DH200" s="87">
        <f>Tabelle58971121[[#This Row],[Maximalauslastung durch]]*Tabelle58971121[[#This Row],[installierte Leistung MW min]]</f>
        <v>42.75</v>
      </c>
      <c r="DI200" s="48">
        <f>Tabelle58971121[[#This Row],[Maximalauslastung durch]]*Tabelle58971121[[#This Row],[installierte Leistung MW durch]]</f>
        <v>140.6</v>
      </c>
      <c r="DJ200" s="10">
        <f>Tabelle58971121[[#This Row],[Maximalauslastung max]]*Tabelle58971121[[#This Row],[installierte Leistung MW durch]]</f>
        <v>142.07999999999998</v>
      </c>
      <c r="DK200" s="8">
        <v>0.95</v>
      </c>
      <c r="DL200" s="8">
        <v>0.94000000000000017</v>
      </c>
      <c r="DM200" s="8">
        <v>0.96</v>
      </c>
      <c r="DN200" s="10">
        <v>148</v>
      </c>
      <c r="DO200" s="10">
        <v>45</v>
      </c>
      <c r="DP200" s="10">
        <v>251</v>
      </c>
      <c r="DQ200" s="1">
        <v>3.8817401960784308E-2</v>
      </c>
      <c r="DR200" s="1">
        <v>8.3333333333333329E-2</v>
      </c>
      <c r="DS200" s="53">
        <v>0.25</v>
      </c>
      <c r="DT200" s="1">
        <v>0.11913296568627449</v>
      </c>
      <c r="DU200" s="1">
        <v>8.3333333333333329E-2</v>
      </c>
      <c r="DV200" s="53">
        <v>0.25</v>
      </c>
      <c r="DW200" s="1">
        <v>2</v>
      </c>
      <c r="DX200" s="1">
        <v>1.6</v>
      </c>
      <c r="DY200" s="53">
        <v>2.4</v>
      </c>
      <c r="DZ200" s="1">
        <v>4</v>
      </c>
      <c r="EA200" s="1">
        <v>3.2</v>
      </c>
      <c r="EB200" s="53">
        <v>4.8</v>
      </c>
      <c r="EC200" s="1">
        <v>6</v>
      </c>
      <c r="ED200" s="1">
        <v>4.9000000000000004</v>
      </c>
      <c r="EE200" s="53">
        <v>4.9000000000000004</v>
      </c>
      <c r="EF200" s="1">
        <v>4.9000000000000004</v>
      </c>
      <c r="EG200" s="1">
        <v>3.3000000000000003</v>
      </c>
      <c r="EH200" s="53">
        <v>6.5</v>
      </c>
      <c r="EJ200" s="1" t="s">
        <v>641</v>
      </c>
      <c r="EL200" s="1">
        <v>50</v>
      </c>
      <c r="EM200" s="1">
        <v>20</v>
      </c>
      <c r="EN200" s="1">
        <v>80</v>
      </c>
      <c r="EO200" s="1">
        <v>0</v>
      </c>
      <c r="EP200" s="1">
        <v>0</v>
      </c>
      <c r="EQ200" s="1">
        <v>0</v>
      </c>
      <c r="ER200" s="1">
        <v>50</v>
      </c>
      <c r="ES200" s="1">
        <v>20</v>
      </c>
      <c r="ET200" s="1">
        <v>80</v>
      </c>
      <c r="EU200" s="1">
        <v>8.1411764705882348</v>
      </c>
      <c r="EV200" s="18">
        <v>3.052941176470588</v>
      </c>
      <c r="EW200" s="18">
        <v>13.229411764705882</v>
      </c>
      <c r="EX200" s="18">
        <v>274.76470588235293</v>
      </c>
      <c r="EY200" s="7">
        <v>122.11764705882352</v>
      </c>
      <c r="EZ200" s="7">
        <v>427.41176470588232</v>
      </c>
      <c r="FA200" s="7">
        <v>1519.8558823529411</v>
      </c>
      <c r="FB200" s="7">
        <v>1395.1941176470586</v>
      </c>
      <c r="FC200" s="7">
        <v>1644.5176470588235</v>
      </c>
      <c r="FD200" s="7">
        <v>30.52941176470588</v>
      </c>
      <c r="FE200" s="7">
        <v>0</v>
      </c>
      <c r="FF200" s="7">
        <v>61.058823529411761</v>
      </c>
      <c r="FG200" s="7">
        <v>101.76470588235293</v>
      </c>
      <c r="FH200" s="7">
        <v>50.882352941176464</v>
      </c>
      <c r="FI200" s="7">
        <v>152.64705882352939</v>
      </c>
      <c r="FJ200" s="7">
        <v>20.352941176470587</v>
      </c>
      <c r="FK200" s="7">
        <v>10.176470588235293</v>
      </c>
      <c r="FL200" s="7">
        <v>30.52941176470588</v>
      </c>
      <c r="FO200" s="1">
        <v>220</v>
      </c>
      <c r="FP200" s="1">
        <v>220</v>
      </c>
      <c r="FR200" s="12" t="s">
        <v>638</v>
      </c>
      <c r="FS200" s="1" t="s">
        <v>638</v>
      </c>
      <c r="FT200" s="12">
        <v>182</v>
      </c>
      <c r="FU200" s="12"/>
      <c r="FV200" s="12">
        <v>182</v>
      </c>
      <c r="FW200" s="12">
        <v>182</v>
      </c>
      <c r="FX200" s="1">
        <v>182</v>
      </c>
      <c r="FY200" s="12" t="s">
        <v>637</v>
      </c>
      <c r="FZ200" s="12" t="s">
        <v>636</v>
      </c>
      <c r="GA200" s="1">
        <v>202</v>
      </c>
      <c r="GB200" s="1">
        <v>202</v>
      </c>
      <c r="GD200" s="1" t="s">
        <v>640</v>
      </c>
      <c r="GE200" s="1">
        <v>211</v>
      </c>
      <c r="GF200" s="1">
        <v>214</v>
      </c>
      <c r="GG200" s="1">
        <v>220</v>
      </c>
      <c r="GH200" s="1">
        <v>214</v>
      </c>
      <c r="GK200" s="1" t="s">
        <v>639</v>
      </c>
    </row>
    <row r="201" spans="1:193" ht="12.75" customHeight="1" x14ac:dyDescent="0.2">
      <c r="A201" s="1" t="s">
        <v>569</v>
      </c>
      <c r="D201" s="1" t="s">
        <v>576</v>
      </c>
      <c r="E201" s="1" t="s">
        <v>129</v>
      </c>
      <c r="F201" s="1">
        <v>1</v>
      </c>
      <c r="G201" s="1">
        <v>2050</v>
      </c>
      <c r="H201" s="1">
        <v>1</v>
      </c>
      <c r="I201" s="1">
        <v>1</v>
      </c>
      <c r="J201" s="1">
        <v>0</v>
      </c>
      <c r="K201" s="10">
        <v>115</v>
      </c>
      <c r="L201" s="10">
        <v>29.000000000000007</v>
      </c>
      <c r="M201" s="10">
        <v>201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8"/>
      <c r="BQ201" s="10">
        <v>25</v>
      </c>
      <c r="BR201" s="10">
        <v>3.0000000000000009</v>
      </c>
      <c r="BS201" s="10">
        <v>47</v>
      </c>
      <c r="BT201" s="10">
        <f>Tabelle58971121[[#This Row],[Mindestauslastung durch]]*Tabelle58971121[[#This Row],[installierte Leistung MW durch]]</f>
        <v>0</v>
      </c>
      <c r="BU201" s="10">
        <f>Tabelle58971121[[#This Row],[Mindestauslastung min]]*Tabelle58971121[[#This Row],[installierte Leistung MW min]]</f>
        <v>0</v>
      </c>
      <c r="BV201" s="18">
        <f>Tabelle58971121[[#This Row],[Mindestauslastung max]]*Tabelle58971121[[#This Row],[installierte Leistung MW max]]</f>
        <v>0</v>
      </c>
      <c r="BW201" s="8">
        <v>0</v>
      </c>
      <c r="BX201" s="8">
        <v>0</v>
      </c>
      <c r="BY201" s="8">
        <v>0</v>
      </c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41">
        <v>0.78</v>
      </c>
      <c r="DC201" s="41">
        <v>0.7</v>
      </c>
      <c r="DD201" s="41">
        <v>0.86</v>
      </c>
      <c r="DE201" s="10">
        <f>Tabelle58971121[[#This Row],[Durchschnittsauslastung min]]*Tabelle58971121[[#This Row],[installierte Leistung MW min]]</f>
        <v>35.1</v>
      </c>
      <c r="DF201" s="10">
        <f>Tabelle58971121[[#This Row],[Durchschnittsauslastung durch]]*Tabelle58971121[[#This Row],[installierte Leistung MW durch]]</f>
        <v>103.6</v>
      </c>
      <c r="DG201" s="48">
        <f>Tabelle58971121[[#This Row],[Durchschnittsauslastung max]]*Tabelle58971121[[#This Row],[installierte Leistung MW max]]</f>
        <v>215.85999999999999</v>
      </c>
      <c r="DH201" s="87">
        <f>Tabelle58971121[[#This Row],[Maximalauslastung durch]]*Tabelle58971121[[#This Row],[installierte Leistung MW min]]</f>
        <v>42.75</v>
      </c>
      <c r="DI201" s="48">
        <f>Tabelle58971121[[#This Row],[Maximalauslastung durch]]*Tabelle58971121[[#This Row],[installierte Leistung MW durch]]</f>
        <v>140.6</v>
      </c>
      <c r="DJ201" s="10">
        <f>Tabelle58971121[[#This Row],[Maximalauslastung max]]*Tabelle58971121[[#This Row],[installierte Leistung MW durch]]</f>
        <v>142.07999999999998</v>
      </c>
      <c r="DK201" s="8">
        <v>0.95</v>
      </c>
      <c r="DL201" s="8">
        <v>0.94000000000000017</v>
      </c>
      <c r="DM201" s="8">
        <v>0.96</v>
      </c>
      <c r="DN201" s="10">
        <v>148</v>
      </c>
      <c r="DO201" s="10">
        <v>45</v>
      </c>
      <c r="DP201" s="10">
        <v>251</v>
      </c>
      <c r="DQ201" s="1">
        <v>3.8817401960784308E-2</v>
      </c>
      <c r="DR201" s="1">
        <v>8.3333333333333329E-2</v>
      </c>
      <c r="DS201" s="53">
        <v>0.25</v>
      </c>
      <c r="DT201" s="1">
        <v>0.11913296568627449</v>
      </c>
      <c r="DU201" s="1">
        <v>8.3333333333333329E-2</v>
      </c>
      <c r="DV201" s="53">
        <v>0.25</v>
      </c>
      <c r="DW201" s="1">
        <v>2</v>
      </c>
      <c r="DX201" s="1">
        <v>1.6</v>
      </c>
      <c r="DY201" s="53">
        <v>2.4</v>
      </c>
      <c r="DZ201" s="1">
        <v>4</v>
      </c>
      <c r="EA201" s="1">
        <v>3.2</v>
      </c>
      <c r="EB201" s="53">
        <v>4.8</v>
      </c>
      <c r="EC201" s="1">
        <v>6</v>
      </c>
      <c r="ED201" s="1">
        <v>4.9000000000000004</v>
      </c>
      <c r="EE201" s="53">
        <v>4.9000000000000004</v>
      </c>
      <c r="EF201" s="1">
        <v>4.9000000000000004</v>
      </c>
      <c r="EG201" s="1">
        <v>3.3000000000000003</v>
      </c>
      <c r="EH201" s="53">
        <v>6.5</v>
      </c>
      <c r="EJ201" s="1" t="s">
        <v>641</v>
      </c>
      <c r="EL201" s="1">
        <v>50</v>
      </c>
      <c r="EM201" s="1">
        <v>20</v>
      </c>
      <c r="EN201" s="1">
        <v>80</v>
      </c>
      <c r="EO201" s="1">
        <v>0</v>
      </c>
      <c r="EP201" s="1">
        <v>0</v>
      </c>
      <c r="EQ201" s="1">
        <v>0</v>
      </c>
      <c r="ER201" s="1">
        <v>50</v>
      </c>
      <c r="ES201" s="1">
        <v>20</v>
      </c>
      <c r="ET201" s="1">
        <v>80</v>
      </c>
      <c r="EU201" s="1">
        <v>8.1411764705882348</v>
      </c>
      <c r="EV201" s="18">
        <v>3.052941176470588</v>
      </c>
      <c r="EW201" s="18">
        <v>13.229411764705882</v>
      </c>
      <c r="EX201" s="18">
        <v>274.76470588235293</v>
      </c>
      <c r="EY201" s="7">
        <v>122.11764705882352</v>
      </c>
      <c r="EZ201" s="7">
        <v>427.41176470588232</v>
      </c>
      <c r="FA201" s="7">
        <v>1519.8558823529411</v>
      </c>
      <c r="FB201" s="7">
        <v>1395.1941176470586</v>
      </c>
      <c r="FC201" s="7">
        <v>1644.5176470588235</v>
      </c>
      <c r="FD201" s="7">
        <v>30.52941176470588</v>
      </c>
      <c r="FE201" s="7">
        <v>0</v>
      </c>
      <c r="FF201" s="7">
        <v>61.058823529411761</v>
      </c>
      <c r="FG201" s="7">
        <v>101.76470588235293</v>
      </c>
      <c r="FH201" s="7">
        <v>50.882352941176464</v>
      </c>
      <c r="FI201" s="7">
        <v>152.64705882352939</v>
      </c>
      <c r="FJ201" s="7">
        <v>20.352941176470587</v>
      </c>
      <c r="FK201" s="7">
        <v>10.176470588235293</v>
      </c>
      <c r="FL201" s="7">
        <v>30.52941176470588</v>
      </c>
      <c r="FO201" s="1">
        <v>220</v>
      </c>
      <c r="FP201" s="1">
        <v>220</v>
      </c>
      <c r="FR201" s="12" t="s">
        <v>638</v>
      </c>
      <c r="FS201" s="1" t="s">
        <v>638</v>
      </c>
      <c r="FT201" s="12">
        <v>182</v>
      </c>
      <c r="FU201" s="12"/>
      <c r="FV201" s="12">
        <v>182</v>
      </c>
      <c r="FW201" s="12">
        <v>182</v>
      </c>
      <c r="FX201" s="1">
        <v>182</v>
      </c>
      <c r="FY201" s="12" t="s">
        <v>637</v>
      </c>
      <c r="FZ201" s="12" t="s">
        <v>636</v>
      </c>
      <c r="GA201" s="1">
        <v>202</v>
      </c>
      <c r="GB201" s="1">
        <v>202</v>
      </c>
      <c r="GD201" s="1" t="s">
        <v>640</v>
      </c>
      <c r="GE201" s="1">
        <v>211</v>
      </c>
      <c r="GF201" s="1">
        <v>214</v>
      </c>
      <c r="GG201" s="1">
        <v>220</v>
      </c>
      <c r="GH201" s="1">
        <v>214</v>
      </c>
      <c r="GK201" s="1" t="s">
        <v>639</v>
      </c>
    </row>
    <row r="202" spans="1:193" ht="12.75" customHeight="1" x14ac:dyDescent="0.2">
      <c r="A202" s="1" t="s">
        <v>77</v>
      </c>
      <c r="D202" s="1" t="s">
        <v>577</v>
      </c>
      <c r="E202" s="1" t="s">
        <v>129</v>
      </c>
      <c r="F202" s="1">
        <v>1</v>
      </c>
      <c r="G202" s="1">
        <v>2015</v>
      </c>
      <c r="H202" s="1">
        <v>1</v>
      </c>
      <c r="I202" s="1">
        <v>1</v>
      </c>
      <c r="J202" s="1">
        <v>0</v>
      </c>
      <c r="K202" s="10">
        <v>245</v>
      </c>
      <c r="L202" s="10">
        <v>133</v>
      </c>
      <c r="M202" s="10">
        <v>357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8"/>
      <c r="BQ202" s="10">
        <v>74</v>
      </c>
      <c r="BR202" s="10">
        <v>31</v>
      </c>
      <c r="BS202" s="10">
        <v>117</v>
      </c>
      <c r="BT202" s="10">
        <f>Tabelle58971121[[#This Row],[Mindestauslastung durch]]*Tabelle58971121[[#This Row],[installierte Leistung MW durch]]</f>
        <v>0</v>
      </c>
      <c r="BU202" s="10">
        <f>Tabelle58971121[[#This Row],[Mindestauslastung min]]*Tabelle58971121[[#This Row],[installierte Leistung MW min]]</f>
        <v>0</v>
      </c>
      <c r="BV202" s="18">
        <f>Tabelle58971121[[#This Row],[Mindestauslastung max]]*Tabelle58971121[[#This Row],[installierte Leistung MW max]]</f>
        <v>0</v>
      </c>
      <c r="BW202" s="8">
        <v>0</v>
      </c>
      <c r="BX202" s="8">
        <v>0</v>
      </c>
      <c r="BY202" s="8">
        <v>0</v>
      </c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41">
        <v>0.73</v>
      </c>
      <c r="DC202" s="41">
        <v>0.69</v>
      </c>
      <c r="DD202" s="41">
        <v>0.77</v>
      </c>
      <c r="DE202" s="10">
        <f>Tabelle58971121[[#This Row],[Durchschnittsauslastung min]]*Tabelle58971121[[#This Row],[installierte Leistung MW min]]</f>
        <v>143.81</v>
      </c>
      <c r="DF202" s="10">
        <f>Tabelle58971121[[#This Row],[Durchschnittsauslastung durch]]*Tabelle58971121[[#This Row],[installierte Leistung MW durch]]</f>
        <v>231.83999999999997</v>
      </c>
      <c r="DG202" s="48">
        <f>Tabelle58971121[[#This Row],[Durchschnittsauslastung max]]*Tabelle58971121[[#This Row],[installierte Leistung MW max]]</f>
        <v>365.75</v>
      </c>
      <c r="DH202" s="87">
        <f>Tabelle58971121[[#This Row],[Maximalauslastung durch]]*Tabelle58971121[[#This Row],[installierte Leistung MW min]]</f>
        <v>187.14999999999998</v>
      </c>
      <c r="DI202" s="48">
        <f>Tabelle58971121[[#This Row],[Maximalauslastung durch]]*Tabelle58971121[[#This Row],[installierte Leistung MW durch]]</f>
        <v>319.2</v>
      </c>
      <c r="DJ202" s="10">
        <f>Tabelle58971121[[#This Row],[Maximalauslastung max]]*Tabelle58971121[[#This Row],[installierte Leistung MW durch]]</f>
        <v>322.56</v>
      </c>
      <c r="DK202" s="8">
        <v>0.95</v>
      </c>
      <c r="DL202" s="8">
        <v>0.94</v>
      </c>
      <c r="DM202" s="8">
        <v>0.96</v>
      </c>
      <c r="DN202" s="10">
        <v>336</v>
      </c>
      <c r="DO202" s="10">
        <v>197</v>
      </c>
      <c r="DP202" s="10">
        <v>475</v>
      </c>
      <c r="DQ202" s="1">
        <v>0.30041666666666667</v>
      </c>
      <c r="DR202" s="1">
        <v>8.3333333333333332E-3</v>
      </c>
      <c r="DS202" s="53">
        <v>0.5</v>
      </c>
      <c r="DT202" s="1">
        <v>0.77166666666666672</v>
      </c>
      <c r="DU202" s="1">
        <v>8.3333333333333329E-2</v>
      </c>
      <c r="DV202" s="53">
        <v>3</v>
      </c>
      <c r="DW202" s="1">
        <v>4.8</v>
      </c>
      <c r="DX202" s="1">
        <v>4.3</v>
      </c>
      <c r="DY202" s="53">
        <v>5.3</v>
      </c>
      <c r="DZ202" s="1">
        <v>6</v>
      </c>
      <c r="EA202" s="1">
        <v>5.4</v>
      </c>
      <c r="EB202" s="53">
        <v>6.6</v>
      </c>
      <c r="EC202" s="1">
        <v>10.8</v>
      </c>
      <c r="ED202" s="1">
        <v>10.8</v>
      </c>
      <c r="EE202" s="53">
        <v>10.8</v>
      </c>
      <c r="EF202" s="1">
        <v>7.8</v>
      </c>
      <c r="EG202" s="1">
        <v>5.8</v>
      </c>
      <c r="EH202" s="53">
        <v>9.8000000000000007</v>
      </c>
      <c r="EJ202" s="1" t="s">
        <v>642</v>
      </c>
      <c r="EL202" s="1">
        <v>1000</v>
      </c>
      <c r="EM202" s="1">
        <v>500</v>
      </c>
      <c r="EN202" s="1">
        <v>1500</v>
      </c>
      <c r="EO202" s="1">
        <v>0</v>
      </c>
      <c r="EP202" s="1">
        <v>0</v>
      </c>
      <c r="EQ202" s="1">
        <v>0</v>
      </c>
      <c r="ER202" s="1">
        <v>700</v>
      </c>
      <c r="ES202" s="1">
        <v>650</v>
      </c>
      <c r="ET202" s="1">
        <v>750</v>
      </c>
      <c r="EU202" s="1">
        <v>2.3405882352941174</v>
      </c>
      <c r="EV202" s="18">
        <v>0.81411764705882328</v>
      </c>
      <c r="EW202" s="18">
        <v>3.8670588235294114</v>
      </c>
      <c r="EX202" s="18">
        <v>203.52941176470586</v>
      </c>
      <c r="EY202" s="7">
        <v>152.64705882352939</v>
      </c>
      <c r="EZ202" s="7">
        <v>254.41176470588235</v>
      </c>
      <c r="FA202" s="7">
        <v>469.13529411764705</v>
      </c>
      <c r="FB202" s="7">
        <v>396.88235294117646</v>
      </c>
      <c r="FC202" s="7">
        <v>541.38823529411764</v>
      </c>
      <c r="FD202" s="7">
        <v>0</v>
      </c>
      <c r="FE202" s="7">
        <v>0</v>
      </c>
      <c r="FF202" s="7">
        <v>30.52941176470588</v>
      </c>
      <c r="FG202" s="7">
        <v>44.776470588235291</v>
      </c>
      <c r="FH202" s="7">
        <v>24.423529411764704</v>
      </c>
      <c r="FI202" s="7">
        <v>65.129411764705878</v>
      </c>
      <c r="FJ202" s="7">
        <v>2.0352941176470587</v>
      </c>
      <c r="FK202" s="7">
        <v>0</v>
      </c>
      <c r="FL202" s="7">
        <v>4.0705882352941174</v>
      </c>
      <c r="FO202" s="1">
        <v>220</v>
      </c>
      <c r="FP202" s="1">
        <v>220</v>
      </c>
      <c r="FR202" s="12" t="s">
        <v>638</v>
      </c>
      <c r="FS202" s="1" t="s">
        <v>638</v>
      </c>
      <c r="FT202" s="12">
        <v>182</v>
      </c>
      <c r="FU202" s="12"/>
      <c r="FV202" s="12">
        <v>182</v>
      </c>
      <c r="FW202" s="12">
        <v>182</v>
      </c>
      <c r="FX202" s="1">
        <v>182</v>
      </c>
      <c r="FY202" s="12" t="s">
        <v>637</v>
      </c>
      <c r="FZ202" s="12" t="s">
        <v>636</v>
      </c>
      <c r="GA202" s="1">
        <v>202</v>
      </c>
      <c r="GB202" s="1">
        <v>202</v>
      </c>
      <c r="GD202" s="1" t="s">
        <v>640</v>
      </c>
      <c r="GE202" s="1">
        <v>211</v>
      </c>
      <c r="GF202" s="1">
        <v>214</v>
      </c>
      <c r="GG202" s="1">
        <v>220</v>
      </c>
      <c r="GH202" s="1">
        <v>214</v>
      </c>
      <c r="GK202" s="1" t="s">
        <v>639</v>
      </c>
    </row>
    <row r="203" spans="1:193" ht="12.75" customHeight="1" x14ac:dyDescent="0.2">
      <c r="A203" s="1" t="s">
        <v>77</v>
      </c>
      <c r="D203" s="1" t="s">
        <v>577</v>
      </c>
      <c r="E203" s="1" t="s">
        <v>129</v>
      </c>
      <c r="F203" s="1">
        <v>1</v>
      </c>
      <c r="G203" s="1">
        <v>2020</v>
      </c>
      <c r="H203" s="1">
        <v>1</v>
      </c>
      <c r="I203" s="1">
        <v>1</v>
      </c>
      <c r="J203" s="1">
        <v>0</v>
      </c>
      <c r="K203" s="10">
        <v>242.55</v>
      </c>
      <c r="L203" s="10">
        <v>131.66999999999999</v>
      </c>
      <c r="M203" s="10">
        <v>353.43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8"/>
      <c r="BQ203" s="10">
        <v>73.260000000000005</v>
      </c>
      <c r="BR203" s="10">
        <v>30.69</v>
      </c>
      <c r="BS203" s="10">
        <v>115.83</v>
      </c>
      <c r="BT203" s="10">
        <f>Tabelle58971121[[#This Row],[Mindestauslastung durch]]*Tabelle58971121[[#This Row],[installierte Leistung MW durch]]</f>
        <v>0</v>
      </c>
      <c r="BU203" s="10">
        <f>Tabelle58971121[[#This Row],[Mindestauslastung min]]*Tabelle58971121[[#This Row],[installierte Leistung MW min]]</f>
        <v>0</v>
      </c>
      <c r="BV203" s="18">
        <f>Tabelle58971121[[#This Row],[Mindestauslastung max]]*Tabelle58971121[[#This Row],[installierte Leistung MW max]]</f>
        <v>0</v>
      </c>
      <c r="BW203" s="8">
        <v>0</v>
      </c>
      <c r="BX203" s="8">
        <v>0</v>
      </c>
      <c r="BY203" s="8">
        <v>0</v>
      </c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41">
        <v>0.73</v>
      </c>
      <c r="DC203" s="41">
        <v>0.69</v>
      </c>
      <c r="DD203" s="41">
        <v>0.77</v>
      </c>
      <c r="DE203" s="10">
        <f>Tabelle58971121[[#This Row],[Durchschnittsauslastung min]]*Tabelle58971121[[#This Row],[installierte Leistung MW min]]</f>
        <v>142.37190000000001</v>
      </c>
      <c r="DF203" s="10">
        <f>Tabelle58971121[[#This Row],[Durchschnittsauslastung durch]]*Tabelle58971121[[#This Row],[installierte Leistung MW durch]]</f>
        <v>229.52159999999998</v>
      </c>
      <c r="DG203" s="48">
        <f>Tabelle58971121[[#This Row],[Durchschnittsauslastung max]]*Tabelle58971121[[#This Row],[installierte Leistung MW max]]</f>
        <v>362.09250000000003</v>
      </c>
      <c r="DH203" s="87">
        <f>Tabelle58971121[[#This Row],[Maximalauslastung durch]]*Tabelle58971121[[#This Row],[installierte Leistung MW min]]</f>
        <v>185.27849999999998</v>
      </c>
      <c r="DI203" s="48">
        <f>Tabelle58971121[[#This Row],[Maximalauslastung durch]]*Tabelle58971121[[#This Row],[installierte Leistung MW durch]]</f>
        <v>316.00799999999998</v>
      </c>
      <c r="DJ203" s="10">
        <f>Tabelle58971121[[#This Row],[Maximalauslastung max]]*Tabelle58971121[[#This Row],[installierte Leistung MW durch]]</f>
        <v>319.33439999999996</v>
      </c>
      <c r="DK203" s="8">
        <v>0.95</v>
      </c>
      <c r="DL203" s="8">
        <v>0.94</v>
      </c>
      <c r="DM203" s="8">
        <v>0.96</v>
      </c>
      <c r="DN203" s="10">
        <v>332.64</v>
      </c>
      <c r="DO203" s="10">
        <v>195.03</v>
      </c>
      <c r="DP203" s="10">
        <v>470.25</v>
      </c>
      <c r="DQ203" s="1">
        <v>0.30041666666666667</v>
      </c>
      <c r="DR203" s="1">
        <v>8.3333333333333332E-3</v>
      </c>
      <c r="DS203" s="53">
        <v>0.5</v>
      </c>
      <c r="DT203" s="1">
        <v>0.77166666666666672</v>
      </c>
      <c r="DU203" s="1">
        <v>8.3333333333333329E-2</v>
      </c>
      <c r="DV203" s="53">
        <v>3</v>
      </c>
      <c r="DW203" s="1">
        <v>4.7999999999999989</v>
      </c>
      <c r="DX203" s="1">
        <v>4.3</v>
      </c>
      <c r="DY203" s="53">
        <v>5.3</v>
      </c>
      <c r="DZ203" s="1">
        <v>6</v>
      </c>
      <c r="EA203" s="1">
        <v>5.4</v>
      </c>
      <c r="EB203" s="53">
        <v>6.6</v>
      </c>
      <c r="EC203" s="1">
        <v>10.8</v>
      </c>
      <c r="ED203" s="1">
        <v>7.8</v>
      </c>
      <c r="EE203" s="53">
        <v>7.7999999999999989</v>
      </c>
      <c r="EF203" s="1">
        <v>7.7999999999999989</v>
      </c>
      <c r="EG203" s="1">
        <v>5.8</v>
      </c>
      <c r="EH203" s="53">
        <v>9.8000000000000007</v>
      </c>
      <c r="EJ203" s="1" t="s">
        <v>642</v>
      </c>
      <c r="EL203" s="1">
        <v>1000</v>
      </c>
      <c r="EM203" s="1">
        <v>500</v>
      </c>
      <c r="EN203" s="1">
        <v>1500</v>
      </c>
      <c r="EO203" s="1">
        <v>0</v>
      </c>
      <c r="EP203" s="1">
        <v>0</v>
      </c>
      <c r="EQ203" s="1">
        <v>0</v>
      </c>
      <c r="ER203" s="1">
        <v>700</v>
      </c>
      <c r="ES203" s="1">
        <v>650</v>
      </c>
      <c r="ET203" s="1">
        <v>750</v>
      </c>
      <c r="EU203" s="1">
        <v>2.3405882352941174</v>
      </c>
      <c r="EV203" s="18">
        <v>0.81411764705882328</v>
      </c>
      <c r="EW203" s="18">
        <v>3.8670588235294114</v>
      </c>
      <c r="EX203" s="18">
        <v>203.52941176470586</v>
      </c>
      <c r="EY203" s="7">
        <v>152.64705882352939</v>
      </c>
      <c r="EZ203" s="7">
        <v>254.41176470588235</v>
      </c>
      <c r="FA203" s="7">
        <v>469.13529411764705</v>
      </c>
      <c r="FB203" s="7">
        <v>396.88235294117646</v>
      </c>
      <c r="FC203" s="7">
        <v>541.38823529411764</v>
      </c>
      <c r="FD203" s="7">
        <v>0</v>
      </c>
      <c r="FE203" s="7">
        <v>0</v>
      </c>
      <c r="FF203" s="7">
        <v>30.52941176470588</v>
      </c>
      <c r="FG203" s="7">
        <v>44.776470588235291</v>
      </c>
      <c r="FH203" s="7">
        <v>24.423529411764704</v>
      </c>
      <c r="FI203" s="7">
        <v>65.129411764705878</v>
      </c>
      <c r="FJ203" s="7">
        <v>2.0352941176470587</v>
      </c>
      <c r="FK203" s="7">
        <v>0</v>
      </c>
      <c r="FL203" s="7">
        <v>4.0705882352941174</v>
      </c>
      <c r="FO203" s="1">
        <v>220</v>
      </c>
      <c r="FP203" s="1">
        <v>220</v>
      </c>
      <c r="FR203" s="12" t="s">
        <v>638</v>
      </c>
      <c r="FS203" s="1" t="s">
        <v>638</v>
      </c>
      <c r="FT203" s="12">
        <v>182</v>
      </c>
      <c r="FU203" s="12"/>
      <c r="FV203" s="12">
        <v>182</v>
      </c>
      <c r="FW203" s="12">
        <v>182</v>
      </c>
      <c r="FX203" s="1">
        <v>182</v>
      </c>
      <c r="FY203" s="12" t="s">
        <v>637</v>
      </c>
      <c r="FZ203" s="12" t="s">
        <v>636</v>
      </c>
      <c r="GA203" s="1">
        <v>202</v>
      </c>
      <c r="GB203" s="1">
        <v>202</v>
      </c>
      <c r="GD203" s="1" t="s">
        <v>640</v>
      </c>
      <c r="GE203" s="1">
        <v>211</v>
      </c>
      <c r="GF203" s="1">
        <v>214</v>
      </c>
      <c r="GG203" s="1">
        <v>220</v>
      </c>
      <c r="GH203" s="1">
        <v>214</v>
      </c>
      <c r="GK203" s="1" t="s">
        <v>639</v>
      </c>
    </row>
    <row r="204" spans="1:193" ht="12.75" customHeight="1" x14ac:dyDescent="0.2">
      <c r="A204" s="1" t="s">
        <v>77</v>
      </c>
      <c r="D204" s="1" t="s">
        <v>577</v>
      </c>
      <c r="E204" s="1" t="s">
        <v>129</v>
      </c>
      <c r="F204" s="1">
        <v>1</v>
      </c>
      <c r="G204" s="1">
        <v>2025</v>
      </c>
      <c r="H204" s="1">
        <v>1</v>
      </c>
      <c r="I204" s="1">
        <v>1</v>
      </c>
      <c r="J204" s="1">
        <v>0</v>
      </c>
      <c r="K204" s="10">
        <v>237.65000000000003</v>
      </c>
      <c r="L204" s="10">
        <v>129.01</v>
      </c>
      <c r="M204" s="10">
        <v>346.28999999999996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8"/>
      <c r="BQ204" s="10">
        <v>71.780000000000015</v>
      </c>
      <c r="BR204" s="10">
        <v>30.07</v>
      </c>
      <c r="BS204" s="10">
        <v>113.49</v>
      </c>
      <c r="BT204" s="10">
        <f>Tabelle58971121[[#This Row],[Mindestauslastung durch]]*Tabelle58971121[[#This Row],[installierte Leistung MW durch]]</f>
        <v>0</v>
      </c>
      <c r="BU204" s="10">
        <f>Tabelle58971121[[#This Row],[Mindestauslastung min]]*Tabelle58971121[[#This Row],[installierte Leistung MW min]]</f>
        <v>0</v>
      </c>
      <c r="BV204" s="18">
        <f>Tabelle58971121[[#This Row],[Mindestauslastung max]]*Tabelle58971121[[#This Row],[installierte Leistung MW max]]</f>
        <v>0</v>
      </c>
      <c r="BW204" s="8">
        <v>0</v>
      </c>
      <c r="BX204" s="8">
        <v>0</v>
      </c>
      <c r="BY204" s="8">
        <v>0</v>
      </c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41">
        <v>0.73000000000000009</v>
      </c>
      <c r="DC204" s="41">
        <v>0.69</v>
      </c>
      <c r="DD204" s="41">
        <v>0.77</v>
      </c>
      <c r="DE204" s="10">
        <f>Tabelle58971121[[#This Row],[Durchschnittsauslastung min]]*Tabelle58971121[[#This Row],[installierte Leistung MW min]]</f>
        <v>139.49570000000003</v>
      </c>
      <c r="DF204" s="10">
        <f>Tabelle58971121[[#This Row],[Durchschnittsauslastung durch]]*Tabelle58971121[[#This Row],[installierte Leistung MW durch]]</f>
        <v>224.88479999999996</v>
      </c>
      <c r="DG204" s="48">
        <f>Tabelle58971121[[#This Row],[Durchschnittsauslastung max]]*Tabelle58971121[[#This Row],[installierte Leistung MW max]]</f>
        <v>354.77749999999997</v>
      </c>
      <c r="DH204" s="87">
        <f>Tabelle58971121[[#This Row],[Maximalauslastung durch]]*Tabelle58971121[[#This Row],[installierte Leistung MW min]]</f>
        <v>181.53550000000004</v>
      </c>
      <c r="DI204" s="48">
        <f>Tabelle58971121[[#This Row],[Maximalauslastung durch]]*Tabelle58971121[[#This Row],[installierte Leistung MW durch]]</f>
        <v>309.62400000000002</v>
      </c>
      <c r="DJ204" s="10">
        <f>Tabelle58971121[[#This Row],[Maximalauslastung max]]*Tabelle58971121[[#This Row],[installierte Leistung MW durch]]</f>
        <v>312.88319999999993</v>
      </c>
      <c r="DK204" s="8">
        <v>0.95000000000000018</v>
      </c>
      <c r="DL204" s="8">
        <v>0.94</v>
      </c>
      <c r="DM204" s="8">
        <v>0.96</v>
      </c>
      <c r="DN204" s="10">
        <v>325.91999999999996</v>
      </c>
      <c r="DO204" s="10">
        <v>191.09</v>
      </c>
      <c r="DP204" s="10">
        <v>460.74999999999994</v>
      </c>
      <c r="DQ204" s="1">
        <v>0.30041666666666667</v>
      </c>
      <c r="DR204" s="1">
        <v>8.3333333333333332E-3</v>
      </c>
      <c r="DS204" s="53">
        <v>0.5</v>
      </c>
      <c r="DT204" s="1">
        <v>0.77166666666666683</v>
      </c>
      <c r="DU204" s="1">
        <v>8.3333333333333329E-2</v>
      </c>
      <c r="DV204" s="53">
        <v>3</v>
      </c>
      <c r="DW204" s="1">
        <v>4.8000000000000007</v>
      </c>
      <c r="DX204" s="1">
        <v>4.3</v>
      </c>
      <c r="DY204" s="53">
        <v>5.3</v>
      </c>
      <c r="DZ204" s="1">
        <v>6.0000000000000009</v>
      </c>
      <c r="EA204" s="1">
        <v>5.4</v>
      </c>
      <c r="EB204" s="53">
        <v>6.6</v>
      </c>
      <c r="EC204" s="1">
        <v>10.8</v>
      </c>
      <c r="ED204" s="1">
        <v>7.8</v>
      </c>
      <c r="EE204" s="53">
        <v>7.8</v>
      </c>
      <c r="EF204" s="1">
        <v>7.8000000000000007</v>
      </c>
      <c r="EG204" s="1">
        <v>5.8</v>
      </c>
      <c r="EH204" s="53">
        <v>9.8000000000000007</v>
      </c>
      <c r="EJ204" s="1" t="s">
        <v>642</v>
      </c>
      <c r="EL204" s="1">
        <v>1000</v>
      </c>
      <c r="EM204" s="1">
        <v>500</v>
      </c>
      <c r="EN204" s="1">
        <v>1500</v>
      </c>
      <c r="EO204" s="1">
        <v>0</v>
      </c>
      <c r="EP204" s="1">
        <v>0</v>
      </c>
      <c r="EQ204" s="1">
        <v>0</v>
      </c>
      <c r="ER204" s="1">
        <v>700</v>
      </c>
      <c r="ES204" s="1">
        <v>650</v>
      </c>
      <c r="ET204" s="1">
        <v>750</v>
      </c>
      <c r="EU204" s="1">
        <v>2.3405882352941174</v>
      </c>
      <c r="EV204" s="18">
        <v>0.81411764705882328</v>
      </c>
      <c r="EW204" s="18">
        <v>3.8670588235294114</v>
      </c>
      <c r="EX204" s="18">
        <v>203.52941176470586</v>
      </c>
      <c r="EY204" s="7">
        <v>152.64705882352939</v>
      </c>
      <c r="EZ204" s="7">
        <v>254.41176470588235</v>
      </c>
      <c r="FA204" s="7">
        <v>469.13529411764705</v>
      </c>
      <c r="FB204" s="7">
        <v>396.88235294117646</v>
      </c>
      <c r="FC204" s="7">
        <v>541.38823529411764</v>
      </c>
      <c r="FD204" s="7">
        <v>0</v>
      </c>
      <c r="FE204" s="7">
        <v>0</v>
      </c>
      <c r="FF204" s="7">
        <v>30.52941176470588</v>
      </c>
      <c r="FG204" s="7">
        <v>44.776470588235291</v>
      </c>
      <c r="FH204" s="7">
        <v>24.423529411764704</v>
      </c>
      <c r="FI204" s="7">
        <v>65.129411764705878</v>
      </c>
      <c r="FJ204" s="7">
        <v>2.0352941176470587</v>
      </c>
      <c r="FK204" s="7">
        <v>0</v>
      </c>
      <c r="FL204" s="7">
        <v>4.0705882352941174</v>
      </c>
      <c r="FO204" s="1">
        <v>220</v>
      </c>
      <c r="FP204" s="1">
        <v>220</v>
      </c>
      <c r="FR204" s="12" t="s">
        <v>638</v>
      </c>
      <c r="FS204" s="1" t="s">
        <v>638</v>
      </c>
      <c r="FT204" s="12">
        <v>182</v>
      </c>
      <c r="FU204" s="12"/>
      <c r="FV204" s="12">
        <v>182</v>
      </c>
      <c r="FW204" s="12">
        <v>182</v>
      </c>
      <c r="FX204" s="1">
        <v>182</v>
      </c>
      <c r="FY204" s="12" t="s">
        <v>637</v>
      </c>
      <c r="FZ204" s="12" t="s">
        <v>636</v>
      </c>
      <c r="GA204" s="1">
        <v>202</v>
      </c>
      <c r="GB204" s="1">
        <v>202</v>
      </c>
      <c r="GD204" s="1" t="s">
        <v>640</v>
      </c>
      <c r="GE204" s="1">
        <v>211</v>
      </c>
      <c r="GF204" s="1">
        <v>214</v>
      </c>
      <c r="GG204" s="1">
        <v>220</v>
      </c>
      <c r="GH204" s="1">
        <v>214</v>
      </c>
      <c r="GK204" s="1" t="s">
        <v>639</v>
      </c>
    </row>
    <row r="205" spans="1:193" ht="12.75" customHeight="1" x14ac:dyDescent="0.2">
      <c r="A205" s="1" t="s">
        <v>77</v>
      </c>
      <c r="D205" s="1" t="s">
        <v>577</v>
      </c>
      <c r="E205" s="1" t="s">
        <v>129</v>
      </c>
      <c r="F205" s="1">
        <v>1</v>
      </c>
      <c r="G205" s="1">
        <v>2030</v>
      </c>
      <c r="H205" s="1">
        <v>1</v>
      </c>
      <c r="I205" s="1">
        <v>1</v>
      </c>
      <c r="J205" s="1">
        <v>0</v>
      </c>
      <c r="K205" s="10">
        <v>235.2</v>
      </c>
      <c r="L205" s="10">
        <v>127.67999999999999</v>
      </c>
      <c r="M205" s="10">
        <v>342.71999999999997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8"/>
      <c r="BQ205" s="10">
        <v>71.039999999999992</v>
      </c>
      <c r="BR205" s="10">
        <v>29.759999999999998</v>
      </c>
      <c r="BS205" s="10">
        <v>112.32</v>
      </c>
      <c r="BT205" s="10">
        <f>Tabelle58971121[[#This Row],[Mindestauslastung durch]]*Tabelle58971121[[#This Row],[installierte Leistung MW durch]]</f>
        <v>0</v>
      </c>
      <c r="BU205" s="10">
        <f>Tabelle58971121[[#This Row],[Mindestauslastung min]]*Tabelle58971121[[#This Row],[installierte Leistung MW min]]</f>
        <v>0</v>
      </c>
      <c r="BV205" s="18">
        <f>Tabelle58971121[[#This Row],[Mindestauslastung max]]*Tabelle58971121[[#This Row],[installierte Leistung MW max]]</f>
        <v>0</v>
      </c>
      <c r="BW205" s="8">
        <v>0</v>
      </c>
      <c r="BX205" s="8">
        <v>0</v>
      </c>
      <c r="BY205" s="8">
        <v>0</v>
      </c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41">
        <v>0.73</v>
      </c>
      <c r="DC205" s="41">
        <v>0.69</v>
      </c>
      <c r="DD205" s="41">
        <v>0.77</v>
      </c>
      <c r="DE205" s="10">
        <f>Tabelle58971121[[#This Row],[Durchschnittsauslastung min]]*Tabelle58971121[[#This Row],[installierte Leistung MW min]]</f>
        <v>138.05760000000001</v>
      </c>
      <c r="DF205" s="10">
        <f>Tabelle58971121[[#This Row],[Durchschnittsauslastung durch]]*Tabelle58971121[[#This Row],[installierte Leistung MW durch]]</f>
        <v>222.56639999999999</v>
      </c>
      <c r="DG205" s="48">
        <f>Tabelle58971121[[#This Row],[Durchschnittsauslastung max]]*Tabelle58971121[[#This Row],[installierte Leistung MW max]]</f>
        <v>351.11999999999995</v>
      </c>
      <c r="DH205" s="87">
        <f>Tabelle58971121[[#This Row],[Maximalauslastung durch]]*Tabelle58971121[[#This Row],[installierte Leistung MW min]]</f>
        <v>179.66399999999999</v>
      </c>
      <c r="DI205" s="48">
        <f>Tabelle58971121[[#This Row],[Maximalauslastung durch]]*Tabelle58971121[[#This Row],[installierte Leistung MW durch]]</f>
        <v>306.43199999999996</v>
      </c>
      <c r="DJ205" s="10">
        <f>Tabelle58971121[[#This Row],[Maximalauslastung max]]*Tabelle58971121[[#This Row],[installierte Leistung MW durch]]</f>
        <v>309.6576</v>
      </c>
      <c r="DK205" s="8">
        <v>0.95</v>
      </c>
      <c r="DL205" s="8">
        <v>0.94</v>
      </c>
      <c r="DM205" s="8">
        <v>0.96</v>
      </c>
      <c r="DN205" s="10">
        <v>322.56</v>
      </c>
      <c r="DO205" s="10">
        <v>189.12</v>
      </c>
      <c r="DP205" s="10">
        <v>455.99999999999994</v>
      </c>
      <c r="DQ205" s="1">
        <v>0.30041666666666667</v>
      </c>
      <c r="DR205" s="1">
        <v>8.3333333333333332E-3</v>
      </c>
      <c r="DS205" s="53">
        <v>0.5</v>
      </c>
      <c r="DT205" s="1">
        <v>0.77166666666666672</v>
      </c>
      <c r="DU205" s="1">
        <v>8.3333333333333329E-2</v>
      </c>
      <c r="DV205" s="53">
        <v>3</v>
      </c>
      <c r="DW205" s="1">
        <v>4.8</v>
      </c>
      <c r="DX205" s="1">
        <v>4.3</v>
      </c>
      <c r="DY205" s="53">
        <v>5.3</v>
      </c>
      <c r="DZ205" s="1">
        <v>6</v>
      </c>
      <c r="EA205" s="1">
        <v>5.4</v>
      </c>
      <c r="EB205" s="53">
        <v>6.6</v>
      </c>
      <c r="EC205" s="1">
        <v>10.8</v>
      </c>
      <c r="ED205" s="1">
        <v>7.8</v>
      </c>
      <c r="EE205" s="53">
        <v>7.7999999999999989</v>
      </c>
      <c r="EF205" s="1">
        <v>7.8</v>
      </c>
      <c r="EG205" s="1">
        <v>5.8</v>
      </c>
      <c r="EH205" s="53">
        <v>9.8000000000000007</v>
      </c>
      <c r="EJ205" s="1" t="s">
        <v>642</v>
      </c>
      <c r="EL205" s="1">
        <v>1000</v>
      </c>
      <c r="EM205" s="1">
        <v>500</v>
      </c>
      <c r="EN205" s="1">
        <v>1500</v>
      </c>
      <c r="EO205" s="1">
        <v>0</v>
      </c>
      <c r="EP205" s="1">
        <v>0</v>
      </c>
      <c r="EQ205" s="1">
        <v>0</v>
      </c>
      <c r="ER205" s="1">
        <v>700</v>
      </c>
      <c r="ES205" s="1">
        <v>650</v>
      </c>
      <c r="ET205" s="1">
        <v>750</v>
      </c>
      <c r="EU205" s="1">
        <v>2.3405882352941174</v>
      </c>
      <c r="EV205" s="18">
        <v>0.81411764705882328</v>
      </c>
      <c r="EW205" s="18">
        <v>3.8670588235294114</v>
      </c>
      <c r="EX205" s="18">
        <v>203.52941176470586</v>
      </c>
      <c r="EY205" s="7">
        <v>152.64705882352939</v>
      </c>
      <c r="EZ205" s="7">
        <v>254.41176470588235</v>
      </c>
      <c r="FA205" s="7">
        <v>469.13529411764705</v>
      </c>
      <c r="FB205" s="7">
        <v>396.88235294117646</v>
      </c>
      <c r="FC205" s="7">
        <v>541.38823529411764</v>
      </c>
      <c r="FD205" s="7">
        <v>0</v>
      </c>
      <c r="FE205" s="7">
        <v>0</v>
      </c>
      <c r="FF205" s="7">
        <v>30.52941176470588</v>
      </c>
      <c r="FG205" s="7">
        <v>44.776470588235291</v>
      </c>
      <c r="FH205" s="7">
        <v>24.423529411764704</v>
      </c>
      <c r="FI205" s="7">
        <v>65.129411764705878</v>
      </c>
      <c r="FJ205" s="7">
        <v>2.0352941176470587</v>
      </c>
      <c r="FK205" s="7">
        <v>0</v>
      </c>
      <c r="FL205" s="7">
        <v>4.0705882352941174</v>
      </c>
      <c r="FO205" s="1">
        <v>220</v>
      </c>
      <c r="FP205" s="1">
        <v>220</v>
      </c>
      <c r="FR205" s="12" t="s">
        <v>638</v>
      </c>
      <c r="FS205" s="1" t="s">
        <v>638</v>
      </c>
      <c r="FT205" s="12">
        <v>182</v>
      </c>
      <c r="FU205" s="12"/>
      <c r="FV205" s="12">
        <v>182</v>
      </c>
      <c r="FW205" s="12">
        <v>182</v>
      </c>
      <c r="FX205" s="1">
        <v>182</v>
      </c>
      <c r="FY205" s="12" t="s">
        <v>637</v>
      </c>
      <c r="FZ205" s="12" t="s">
        <v>636</v>
      </c>
      <c r="GA205" s="1">
        <v>202</v>
      </c>
      <c r="GB205" s="1">
        <v>202</v>
      </c>
      <c r="GD205" s="1" t="s">
        <v>640</v>
      </c>
      <c r="GE205" s="1">
        <v>211</v>
      </c>
      <c r="GF205" s="1">
        <v>214</v>
      </c>
      <c r="GG205" s="1">
        <v>220</v>
      </c>
      <c r="GH205" s="1">
        <v>214</v>
      </c>
      <c r="GK205" s="1" t="s">
        <v>639</v>
      </c>
    </row>
    <row r="206" spans="1:193" ht="12.75" customHeight="1" x14ac:dyDescent="0.2">
      <c r="A206" s="1" t="s">
        <v>77</v>
      </c>
      <c r="D206" s="1" t="s">
        <v>577</v>
      </c>
      <c r="E206" s="1" t="s">
        <v>129</v>
      </c>
      <c r="F206" s="1">
        <v>1</v>
      </c>
      <c r="G206" s="1">
        <v>2035</v>
      </c>
      <c r="H206" s="1">
        <v>1</v>
      </c>
      <c r="I206" s="1">
        <v>1</v>
      </c>
      <c r="J206" s="1">
        <v>0</v>
      </c>
      <c r="K206" s="10">
        <v>232.75</v>
      </c>
      <c r="L206" s="10">
        <v>126.35</v>
      </c>
      <c r="M206" s="10">
        <v>339.15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8"/>
      <c r="BQ206" s="10">
        <v>70.3</v>
      </c>
      <c r="BR206" s="10">
        <v>29.45</v>
      </c>
      <c r="BS206" s="10">
        <v>111.14999999999999</v>
      </c>
      <c r="BT206" s="10">
        <f>Tabelle58971121[[#This Row],[Mindestauslastung durch]]*Tabelle58971121[[#This Row],[installierte Leistung MW durch]]</f>
        <v>0</v>
      </c>
      <c r="BU206" s="10">
        <f>Tabelle58971121[[#This Row],[Mindestauslastung min]]*Tabelle58971121[[#This Row],[installierte Leistung MW min]]</f>
        <v>0</v>
      </c>
      <c r="BV206" s="18">
        <f>Tabelle58971121[[#This Row],[Mindestauslastung max]]*Tabelle58971121[[#This Row],[installierte Leistung MW max]]</f>
        <v>0</v>
      </c>
      <c r="BW206" s="8">
        <v>0</v>
      </c>
      <c r="BX206" s="8">
        <v>0</v>
      </c>
      <c r="BY206" s="8">
        <v>0</v>
      </c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41">
        <v>0.73</v>
      </c>
      <c r="DC206" s="41">
        <v>0.69</v>
      </c>
      <c r="DD206" s="41">
        <v>0.77</v>
      </c>
      <c r="DE206" s="10">
        <f>Tabelle58971121[[#This Row],[Durchschnittsauslastung min]]*Tabelle58971121[[#This Row],[installierte Leistung MW min]]</f>
        <v>136.61949999999999</v>
      </c>
      <c r="DF206" s="10">
        <f>Tabelle58971121[[#This Row],[Durchschnittsauslastung durch]]*Tabelle58971121[[#This Row],[installierte Leistung MW durch]]</f>
        <v>220.24799999999996</v>
      </c>
      <c r="DG206" s="48">
        <f>Tabelle58971121[[#This Row],[Durchschnittsauslastung max]]*Tabelle58971121[[#This Row],[installierte Leistung MW max]]</f>
        <v>347.46249999999998</v>
      </c>
      <c r="DH206" s="87">
        <f>Tabelle58971121[[#This Row],[Maximalauslastung durch]]*Tabelle58971121[[#This Row],[installierte Leistung MW min]]</f>
        <v>177.79249999999999</v>
      </c>
      <c r="DI206" s="48">
        <f>Tabelle58971121[[#This Row],[Maximalauslastung durch]]*Tabelle58971121[[#This Row],[installierte Leistung MW durch]]</f>
        <v>303.23999999999995</v>
      </c>
      <c r="DJ206" s="10">
        <f>Tabelle58971121[[#This Row],[Maximalauslastung max]]*Tabelle58971121[[#This Row],[installierte Leistung MW durch]]</f>
        <v>306.43199999999996</v>
      </c>
      <c r="DK206" s="8">
        <v>0.95</v>
      </c>
      <c r="DL206" s="8">
        <v>0.94</v>
      </c>
      <c r="DM206" s="8">
        <v>0.96</v>
      </c>
      <c r="DN206" s="10">
        <v>319.2</v>
      </c>
      <c r="DO206" s="10">
        <v>187.15</v>
      </c>
      <c r="DP206" s="10">
        <v>451.24999999999994</v>
      </c>
      <c r="DQ206" s="1">
        <v>0.30041666666666667</v>
      </c>
      <c r="DR206" s="1">
        <v>8.3333333333333332E-3</v>
      </c>
      <c r="DS206" s="53">
        <v>0.5</v>
      </c>
      <c r="DT206" s="1">
        <v>0.77166666666666672</v>
      </c>
      <c r="DU206" s="1">
        <v>8.3333333333333329E-2</v>
      </c>
      <c r="DV206" s="53">
        <v>3</v>
      </c>
      <c r="DW206" s="1">
        <v>4.7999999999999989</v>
      </c>
      <c r="DX206" s="1">
        <v>4.3</v>
      </c>
      <c r="DY206" s="53">
        <v>5.3</v>
      </c>
      <c r="DZ206" s="1">
        <v>6</v>
      </c>
      <c r="EA206" s="1">
        <v>5.4</v>
      </c>
      <c r="EB206" s="53">
        <v>6.6</v>
      </c>
      <c r="EC206" s="1">
        <v>10.8</v>
      </c>
      <c r="ED206" s="1">
        <v>7.8</v>
      </c>
      <c r="EE206" s="53">
        <v>7.8000000000000007</v>
      </c>
      <c r="EF206" s="1">
        <v>7.7999999999999989</v>
      </c>
      <c r="EG206" s="1">
        <v>5.8</v>
      </c>
      <c r="EH206" s="53">
        <v>9.8000000000000007</v>
      </c>
      <c r="EJ206" s="1" t="s">
        <v>642</v>
      </c>
      <c r="EL206" s="1">
        <v>1000</v>
      </c>
      <c r="EM206" s="1">
        <v>500</v>
      </c>
      <c r="EN206" s="1">
        <v>1500</v>
      </c>
      <c r="EO206" s="1">
        <v>0</v>
      </c>
      <c r="EP206" s="1">
        <v>0</v>
      </c>
      <c r="EQ206" s="1">
        <v>0</v>
      </c>
      <c r="ER206" s="1">
        <v>700</v>
      </c>
      <c r="ES206" s="1">
        <v>650</v>
      </c>
      <c r="ET206" s="1">
        <v>750</v>
      </c>
      <c r="EU206" s="1">
        <v>2.3405882352941174</v>
      </c>
      <c r="EV206" s="18">
        <v>0.81411764705882328</v>
      </c>
      <c r="EW206" s="18">
        <v>3.8670588235294114</v>
      </c>
      <c r="EX206" s="18">
        <v>203.52941176470586</v>
      </c>
      <c r="EY206" s="7">
        <v>152.64705882352939</v>
      </c>
      <c r="EZ206" s="7">
        <v>254.41176470588235</v>
      </c>
      <c r="FA206" s="7">
        <v>469.13529411764705</v>
      </c>
      <c r="FB206" s="7">
        <v>396.88235294117646</v>
      </c>
      <c r="FC206" s="7">
        <v>541.38823529411764</v>
      </c>
      <c r="FD206" s="7">
        <v>0</v>
      </c>
      <c r="FE206" s="7">
        <v>0</v>
      </c>
      <c r="FF206" s="7">
        <v>30.52941176470588</v>
      </c>
      <c r="FG206" s="7">
        <v>44.776470588235291</v>
      </c>
      <c r="FH206" s="7">
        <v>24.423529411764704</v>
      </c>
      <c r="FI206" s="7">
        <v>65.129411764705878</v>
      </c>
      <c r="FJ206" s="7">
        <v>2.0352941176470587</v>
      </c>
      <c r="FK206" s="7">
        <v>0</v>
      </c>
      <c r="FL206" s="7">
        <v>4.0705882352941174</v>
      </c>
      <c r="FO206" s="1">
        <v>220</v>
      </c>
      <c r="FP206" s="1">
        <v>220</v>
      </c>
      <c r="FR206" s="12" t="s">
        <v>638</v>
      </c>
      <c r="FS206" s="1" t="s">
        <v>638</v>
      </c>
      <c r="FT206" s="12">
        <v>182</v>
      </c>
      <c r="FU206" s="12"/>
      <c r="FV206" s="12">
        <v>182</v>
      </c>
      <c r="FW206" s="12">
        <v>182</v>
      </c>
      <c r="FX206" s="1">
        <v>182</v>
      </c>
      <c r="FY206" s="12" t="s">
        <v>637</v>
      </c>
      <c r="FZ206" s="12" t="s">
        <v>636</v>
      </c>
      <c r="GA206" s="1">
        <v>202</v>
      </c>
      <c r="GB206" s="1">
        <v>202</v>
      </c>
      <c r="GD206" s="1" t="s">
        <v>640</v>
      </c>
      <c r="GE206" s="1">
        <v>211</v>
      </c>
      <c r="GF206" s="1">
        <v>214</v>
      </c>
      <c r="GG206" s="1">
        <v>220</v>
      </c>
      <c r="GH206" s="1">
        <v>214</v>
      </c>
      <c r="GK206" s="1" t="s">
        <v>639</v>
      </c>
    </row>
    <row r="207" spans="1:193" ht="12.75" customHeight="1" x14ac:dyDescent="0.2">
      <c r="A207" s="1" t="s">
        <v>77</v>
      </c>
      <c r="D207" s="1" t="s">
        <v>577</v>
      </c>
      <c r="E207" s="1" t="s">
        <v>129</v>
      </c>
      <c r="F207" s="1">
        <v>1</v>
      </c>
      <c r="G207" s="1">
        <v>2040</v>
      </c>
      <c r="H207" s="1">
        <v>1</v>
      </c>
      <c r="I207" s="1">
        <v>1</v>
      </c>
      <c r="J207" s="1">
        <v>0</v>
      </c>
      <c r="K207" s="10">
        <v>227.85000000000002</v>
      </c>
      <c r="L207" s="10">
        <v>123.69000000000001</v>
      </c>
      <c r="M207" s="10">
        <v>332.01000000000005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8"/>
      <c r="BQ207" s="10">
        <v>68.820000000000007</v>
      </c>
      <c r="BR207" s="10">
        <v>28.830000000000002</v>
      </c>
      <c r="BS207" s="10">
        <v>108.81000000000002</v>
      </c>
      <c r="BT207" s="10">
        <f>Tabelle58971121[[#This Row],[Mindestauslastung durch]]*Tabelle58971121[[#This Row],[installierte Leistung MW durch]]</f>
        <v>0</v>
      </c>
      <c r="BU207" s="10">
        <f>Tabelle58971121[[#This Row],[Mindestauslastung min]]*Tabelle58971121[[#This Row],[installierte Leistung MW min]]</f>
        <v>0</v>
      </c>
      <c r="BV207" s="18">
        <f>Tabelle58971121[[#This Row],[Mindestauslastung max]]*Tabelle58971121[[#This Row],[installierte Leistung MW max]]</f>
        <v>0</v>
      </c>
      <c r="BW207" s="8">
        <v>0</v>
      </c>
      <c r="BX207" s="8">
        <v>0</v>
      </c>
      <c r="BY207" s="8">
        <v>0</v>
      </c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41">
        <v>0.73</v>
      </c>
      <c r="DC207" s="41">
        <v>0.69</v>
      </c>
      <c r="DD207" s="41">
        <v>0.77</v>
      </c>
      <c r="DE207" s="10">
        <f>Tabelle58971121[[#This Row],[Durchschnittsauslastung min]]*Tabelle58971121[[#This Row],[installierte Leistung MW min]]</f>
        <v>133.74330000000003</v>
      </c>
      <c r="DF207" s="10">
        <f>Tabelle58971121[[#This Row],[Durchschnittsauslastung durch]]*Tabelle58971121[[#This Row],[installierte Leistung MW durch]]</f>
        <v>215.6112</v>
      </c>
      <c r="DG207" s="48">
        <f>Tabelle58971121[[#This Row],[Durchschnittsauslastung max]]*Tabelle58971121[[#This Row],[installierte Leistung MW max]]</f>
        <v>340.14749999999998</v>
      </c>
      <c r="DH207" s="87">
        <f>Tabelle58971121[[#This Row],[Maximalauslastung durch]]*Tabelle58971121[[#This Row],[installierte Leistung MW min]]</f>
        <v>174.04950000000002</v>
      </c>
      <c r="DI207" s="48">
        <f>Tabelle58971121[[#This Row],[Maximalauslastung durch]]*Tabelle58971121[[#This Row],[installierte Leistung MW durch]]</f>
        <v>296.85599999999999</v>
      </c>
      <c r="DJ207" s="10">
        <f>Tabelle58971121[[#This Row],[Maximalauslastung max]]*Tabelle58971121[[#This Row],[installierte Leistung MW durch]]</f>
        <v>299.98079999999999</v>
      </c>
      <c r="DK207" s="8">
        <v>0.95</v>
      </c>
      <c r="DL207" s="8">
        <v>0.94</v>
      </c>
      <c r="DM207" s="8">
        <v>0.96</v>
      </c>
      <c r="DN207" s="10">
        <v>312.48</v>
      </c>
      <c r="DO207" s="10">
        <v>183.21000000000004</v>
      </c>
      <c r="DP207" s="10">
        <v>441.75</v>
      </c>
      <c r="DQ207" s="1">
        <v>0.30041666666666667</v>
      </c>
      <c r="DR207" s="1">
        <v>8.3333333333333332E-3</v>
      </c>
      <c r="DS207" s="53">
        <v>0.5</v>
      </c>
      <c r="DT207" s="1">
        <v>0.77166666666666672</v>
      </c>
      <c r="DU207" s="1">
        <v>8.3333333333333329E-2</v>
      </c>
      <c r="DV207" s="53">
        <v>3</v>
      </c>
      <c r="DW207" s="1">
        <v>4.7999999999999989</v>
      </c>
      <c r="DX207" s="1">
        <v>4.3</v>
      </c>
      <c r="DY207" s="53">
        <v>5.3</v>
      </c>
      <c r="DZ207" s="1">
        <v>6</v>
      </c>
      <c r="EA207" s="1">
        <v>5.4</v>
      </c>
      <c r="EB207" s="53">
        <v>6.6</v>
      </c>
      <c r="EC207" s="1">
        <v>10.8</v>
      </c>
      <c r="ED207" s="1">
        <v>7.8000000000000007</v>
      </c>
      <c r="EE207" s="53">
        <v>7.8000000000000007</v>
      </c>
      <c r="EF207" s="1">
        <v>7.7999999999999989</v>
      </c>
      <c r="EG207" s="1">
        <v>5.8</v>
      </c>
      <c r="EH207" s="53">
        <v>9.8000000000000007</v>
      </c>
      <c r="EJ207" s="1" t="s">
        <v>642</v>
      </c>
      <c r="EL207" s="1">
        <v>1000</v>
      </c>
      <c r="EM207" s="1">
        <v>500</v>
      </c>
      <c r="EN207" s="1">
        <v>1500</v>
      </c>
      <c r="EO207" s="1">
        <v>0</v>
      </c>
      <c r="EP207" s="1">
        <v>0</v>
      </c>
      <c r="EQ207" s="1">
        <v>0</v>
      </c>
      <c r="ER207" s="1">
        <v>700</v>
      </c>
      <c r="ES207" s="1">
        <v>650</v>
      </c>
      <c r="ET207" s="1">
        <v>750</v>
      </c>
      <c r="EU207" s="1">
        <v>2.3405882352941174</v>
      </c>
      <c r="EV207" s="18">
        <v>0.81411764705882328</v>
      </c>
      <c r="EW207" s="18">
        <v>3.8670588235294114</v>
      </c>
      <c r="EX207" s="18">
        <v>203.52941176470586</v>
      </c>
      <c r="EY207" s="7">
        <v>152.64705882352939</v>
      </c>
      <c r="EZ207" s="7">
        <v>254.41176470588235</v>
      </c>
      <c r="FA207" s="7">
        <v>469.13529411764705</v>
      </c>
      <c r="FB207" s="7">
        <v>396.88235294117646</v>
      </c>
      <c r="FC207" s="7">
        <v>541.38823529411764</v>
      </c>
      <c r="FD207" s="7">
        <v>0</v>
      </c>
      <c r="FE207" s="7">
        <v>0</v>
      </c>
      <c r="FF207" s="7">
        <v>30.52941176470588</v>
      </c>
      <c r="FG207" s="7">
        <v>44.776470588235291</v>
      </c>
      <c r="FH207" s="7">
        <v>24.423529411764704</v>
      </c>
      <c r="FI207" s="7">
        <v>65.129411764705878</v>
      </c>
      <c r="FJ207" s="7">
        <v>2.0352941176470587</v>
      </c>
      <c r="FK207" s="7">
        <v>0</v>
      </c>
      <c r="FL207" s="7">
        <v>4.0705882352941174</v>
      </c>
      <c r="FO207" s="1">
        <v>220</v>
      </c>
      <c r="FP207" s="1">
        <v>220</v>
      </c>
      <c r="FR207" s="12" t="s">
        <v>638</v>
      </c>
      <c r="FS207" s="1" t="s">
        <v>638</v>
      </c>
      <c r="FT207" s="12">
        <v>182</v>
      </c>
      <c r="FU207" s="12"/>
      <c r="FV207" s="12">
        <v>182</v>
      </c>
      <c r="FW207" s="12">
        <v>182</v>
      </c>
      <c r="FX207" s="1">
        <v>182</v>
      </c>
      <c r="FY207" s="12" t="s">
        <v>637</v>
      </c>
      <c r="FZ207" s="12" t="s">
        <v>636</v>
      </c>
      <c r="GA207" s="1">
        <v>202</v>
      </c>
      <c r="GB207" s="1">
        <v>202</v>
      </c>
      <c r="GD207" s="1" t="s">
        <v>640</v>
      </c>
      <c r="GE207" s="1">
        <v>211</v>
      </c>
      <c r="GF207" s="1">
        <v>214</v>
      </c>
      <c r="GG207" s="1">
        <v>220</v>
      </c>
      <c r="GH207" s="1">
        <v>214</v>
      </c>
      <c r="GK207" s="1" t="s">
        <v>639</v>
      </c>
    </row>
    <row r="208" spans="1:193" ht="12.75" customHeight="1" x14ac:dyDescent="0.2">
      <c r="A208" s="1" t="s">
        <v>77</v>
      </c>
      <c r="D208" s="1" t="s">
        <v>577</v>
      </c>
      <c r="E208" s="1" t="s">
        <v>129</v>
      </c>
      <c r="F208" s="1">
        <v>1</v>
      </c>
      <c r="G208" s="1">
        <v>2045</v>
      </c>
      <c r="H208" s="1">
        <v>1</v>
      </c>
      <c r="I208" s="1">
        <v>1</v>
      </c>
      <c r="J208" s="1">
        <v>0</v>
      </c>
      <c r="K208" s="10">
        <v>225.40000000000003</v>
      </c>
      <c r="L208" s="10">
        <v>122.36000000000001</v>
      </c>
      <c r="M208" s="10">
        <v>328.44000000000005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8"/>
      <c r="BQ208" s="10">
        <v>68.080000000000013</v>
      </c>
      <c r="BR208" s="10">
        <v>28.520000000000003</v>
      </c>
      <c r="BS208" s="10">
        <v>107.64000000000001</v>
      </c>
      <c r="BT208" s="10">
        <f>Tabelle58971121[[#This Row],[Mindestauslastung durch]]*Tabelle58971121[[#This Row],[installierte Leistung MW durch]]</f>
        <v>0</v>
      </c>
      <c r="BU208" s="10">
        <f>Tabelle58971121[[#This Row],[Mindestauslastung min]]*Tabelle58971121[[#This Row],[installierte Leistung MW min]]</f>
        <v>0</v>
      </c>
      <c r="BV208" s="18">
        <f>Tabelle58971121[[#This Row],[Mindestauslastung max]]*Tabelle58971121[[#This Row],[installierte Leistung MW max]]</f>
        <v>0</v>
      </c>
      <c r="BW208" s="8">
        <v>0</v>
      </c>
      <c r="BX208" s="8">
        <v>0</v>
      </c>
      <c r="BY208" s="8">
        <v>0</v>
      </c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41">
        <v>0.73</v>
      </c>
      <c r="DC208" s="41">
        <v>0.69</v>
      </c>
      <c r="DD208" s="41">
        <v>0.77</v>
      </c>
      <c r="DE208" s="10">
        <f>Tabelle58971121[[#This Row],[Durchschnittsauslastung min]]*Tabelle58971121[[#This Row],[installierte Leistung MW min]]</f>
        <v>132.30520000000001</v>
      </c>
      <c r="DF208" s="10">
        <f>Tabelle58971121[[#This Row],[Durchschnittsauslastung durch]]*Tabelle58971121[[#This Row],[installierte Leistung MW durch]]</f>
        <v>213.2928</v>
      </c>
      <c r="DG208" s="48">
        <f>Tabelle58971121[[#This Row],[Durchschnittsauslastung max]]*Tabelle58971121[[#This Row],[installierte Leistung MW max]]</f>
        <v>336.49</v>
      </c>
      <c r="DH208" s="87">
        <f>Tabelle58971121[[#This Row],[Maximalauslastung durch]]*Tabelle58971121[[#This Row],[installierte Leistung MW min]]</f>
        <v>172.178</v>
      </c>
      <c r="DI208" s="48">
        <f>Tabelle58971121[[#This Row],[Maximalauslastung durch]]*Tabelle58971121[[#This Row],[installierte Leistung MW durch]]</f>
        <v>293.66399999999999</v>
      </c>
      <c r="DJ208" s="10">
        <f>Tabelle58971121[[#This Row],[Maximalauslastung max]]*Tabelle58971121[[#This Row],[installierte Leistung MW durch]]</f>
        <v>296.7552</v>
      </c>
      <c r="DK208" s="8">
        <v>0.95</v>
      </c>
      <c r="DL208" s="8">
        <v>0.94</v>
      </c>
      <c r="DM208" s="8">
        <v>0.96</v>
      </c>
      <c r="DN208" s="10">
        <v>309.12</v>
      </c>
      <c r="DO208" s="10">
        <v>181.24</v>
      </c>
      <c r="DP208" s="10">
        <v>437</v>
      </c>
      <c r="DQ208" s="1">
        <v>0.30041666666666667</v>
      </c>
      <c r="DR208" s="1">
        <v>8.3333333333333332E-3</v>
      </c>
      <c r="DS208" s="53">
        <v>0.5</v>
      </c>
      <c r="DT208" s="1">
        <v>0.77166666666666672</v>
      </c>
      <c r="DU208" s="1">
        <v>8.3333333333333329E-2</v>
      </c>
      <c r="DV208" s="53">
        <v>3</v>
      </c>
      <c r="DW208" s="1">
        <v>4.8</v>
      </c>
      <c r="DX208" s="1">
        <v>4.3</v>
      </c>
      <c r="DY208" s="53">
        <v>5.3</v>
      </c>
      <c r="DZ208" s="1">
        <v>6</v>
      </c>
      <c r="EA208" s="1">
        <v>5.4</v>
      </c>
      <c r="EB208" s="53">
        <v>6.6</v>
      </c>
      <c r="EC208" s="1">
        <v>10.8</v>
      </c>
      <c r="ED208" s="1">
        <v>7.8</v>
      </c>
      <c r="EE208" s="53">
        <v>7.7999999999999989</v>
      </c>
      <c r="EF208" s="1">
        <v>7.8</v>
      </c>
      <c r="EG208" s="1">
        <v>5.8</v>
      </c>
      <c r="EH208" s="53">
        <v>9.8000000000000007</v>
      </c>
      <c r="EJ208" s="1" t="s">
        <v>642</v>
      </c>
      <c r="EL208" s="1">
        <v>1000</v>
      </c>
      <c r="EM208" s="1">
        <v>500</v>
      </c>
      <c r="EN208" s="1">
        <v>1500</v>
      </c>
      <c r="EO208" s="1">
        <v>0</v>
      </c>
      <c r="EP208" s="1">
        <v>0</v>
      </c>
      <c r="EQ208" s="1">
        <v>0</v>
      </c>
      <c r="ER208" s="1">
        <v>700</v>
      </c>
      <c r="ES208" s="1">
        <v>650</v>
      </c>
      <c r="ET208" s="1">
        <v>750</v>
      </c>
      <c r="EU208" s="1">
        <v>2.3405882352941174</v>
      </c>
      <c r="EV208" s="18">
        <v>0.81411764705882328</v>
      </c>
      <c r="EW208" s="18">
        <v>3.8670588235294114</v>
      </c>
      <c r="EX208" s="18">
        <v>203.52941176470586</v>
      </c>
      <c r="EY208" s="7">
        <v>152.64705882352939</v>
      </c>
      <c r="EZ208" s="7">
        <v>254.41176470588235</v>
      </c>
      <c r="FA208" s="7">
        <v>469.13529411764705</v>
      </c>
      <c r="FB208" s="7">
        <v>396.88235294117646</v>
      </c>
      <c r="FC208" s="7">
        <v>541.38823529411764</v>
      </c>
      <c r="FD208" s="7">
        <v>0</v>
      </c>
      <c r="FE208" s="7">
        <v>0</v>
      </c>
      <c r="FF208" s="7">
        <v>30.52941176470588</v>
      </c>
      <c r="FG208" s="7">
        <v>44.776470588235291</v>
      </c>
      <c r="FH208" s="7">
        <v>24.423529411764704</v>
      </c>
      <c r="FI208" s="7">
        <v>65.129411764705878</v>
      </c>
      <c r="FJ208" s="7">
        <v>2.0352941176470587</v>
      </c>
      <c r="FK208" s="7">
        <v>0</v>
      </c>
      <c r="FL208" s="7">
        <v>4.0705882352941174</v>
      </c>
      <c r="FO208" s="1">
        <v>220</v>
      </c>
      <c r="FP208" s="1">
        <v>220</v>
      </c>
      <c r="FR208" s="12" t="s">
        <v>638</v>
      </c>
      <c r="FS208" s="1" t="s">
        <v>638</v>
      </c>
      <c r="FT208" s="12">
        <v>182</v>
      </c>
      <c r="FU208" s="12"/>
      <c r="FV208" s="12">
        <v>182</v>
      </c>
      <c r="FW208" s="12">
        <v>182</v>
      </c>
      <c r="FX208" s="1">
        <v>182</v>
      </c>
      <c r="FY208" s="12" t="s">
        <v>637</v>
      </c>
      <c r="FZ208" s="12" t="s">
        <v>636</v>
      </c>
      <c r="GA208" s="1">
        <v>202</v>
      </c>
      <c r="GB208" s="1">
        <v>202</v>
      </c>
      <c r="GD208" s="1" t="s">
        <v>640</v>
      </c>
      <c r="GE208" s="1">
        <v>211</v>
      </c>
      <c r="GF208" s="1">
        <v>214</v>
      </c>
      <c r="GG208" s="1">
        <v>220</v>
      </c>
      <c r="GH208" s="1">
        <v>214</v>
      </c>
      <c r="GK208" s="1" t="s">
        <v>639</v>
      </c>
    </row>
    <row r="209" spans="1:193" ht="12.75" customHeight="1" x14ac:dyDescent="0.2">
      <c r="A209" s="1" t="s">
        <v>77</v>
      </c>
      <c r="D209" s="1" t="s">
        <v>577</v>
      </c>
      <c r="E209" s="1" t="s">
        <v>129</v>
      </c>
      <c r="F209" s="1">
        <v>1</v>
      </c>
      <c r="G209" s="1">
        <v>2050</v>
      </c>
      <c r="H209" s="1">
        <v>1</v>
      </c>
      <c r="I209" s="1">
        <v>1</v>
      </c>
      <c r="J209" s="1">
        <v>0</v>
      </c>
      <c r="K209" s="10">
        <v>222.95000000000005</v>
      </c>
      <c r="L209" s="10">
        <v>121.03000000000002</v>
      </c>
      <c r="M209" s="10">
        <v>324.87000000000006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8"/>
      <c r="BQ209" s="10">
        <v>67.34</v>
      </c>
      <c r="BR209" s="10">
        <v>28.210000000000004</v>
      </c>
      <c r="BS209" s="10">
        <v>106.47000000000001</v>
      </c>
      <c r="BT209" s="10">
        <f>Tabelle58971121[[#This Row],[Mindestauslastung durch]]*Tabelle58971121[[#This Row],[installierte Leistung MW durch]]</f>
        <v>0</v>
      </c>
      <c r="BU209" s="10">
        <f>Tabelle58971121[[#This Row],[Mindestauslastung min]]*Tabelle58971121[[#This Row],[installierte Leistung MW min]]</f>
        <v>0</v>
      </c>
      <c r="BV209" s="18">
        <f>Tabelle58971121[[#This Row],[Mindestauslastung max]]*Tabelle58971121[[#This Row],[installierte Leistung MW max]]</f>
        <v>0</v>
      </c>
      <c r="BW209" s="8">
        <v>0</v>
      </c>
      <c r="BX209" s="8">
        <v>0</v>
      </c>
      <c r="BY209" s="8">
        <v>0</v>
      </c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41">
        <v>0.73000000000000009</v>
      </c>
      <c r="DC209" s="41">
        <v>0.69</v>
      </c>
      <c r="DD209" s="41">
        <v>0.77</v>
      </c>
      <c r="DE209" s="10">
        <f>Tabelle58971121[[#This Row],[Durchschnittsauslastung min]]*Tabelle58971121[[#This Row],[installierte Leistung MW min]]</f>
        <v>130.86710000000005</v>
      </c>
      <c r="DF209" s="10">
        <f>Tabelle58971121[[#This Row],[Durchschnittsauslastung durch]]*Tabelle58971121[[#This Row],[installierte Leistung MW durch]]</f>
        <v>210.97439999999997</v>
      </c>
      <c r="DG209" s="48">
        <f>Tabelle58971121[[#This Row],[Durchschnittsauslastung max]]*Tabelle58971121[[#This Row],[installierte Leistung MW max]]</f>
        <v>332.83249999999998</v>
      </c>
      <c r="DH209" s="87">
        <f>Tabelle58971121[[#This Row],[Maximalauslastung durch]]*Tabelle58971121[[#This Row],[installierte Leistung MW min]]</f>
        <v>170.30650000000006</v>
      </c>
      <c r="DI209" s="48">
        <f>Tabelle58971121[[#This Row],[Maximalauslastung durch]]*Tabelle58971121[[#This Row],[installierte Leistung MW durch]]</f>
        <v>290.47200000000004</v>
      </c>
      <c r="DJ209" s="10">
        <f>Tabelle58971121[[#This Row],[Maximalauslastung max]]*Tabelle58971121[[#This Row],[installierte Leistung MW durch]]</f>
        <v>293.52959999999996</v>
      </c>
      <c r="DK209" s="8">
        <v>0.95000000000000018</v>
      </c>
      <c r="DL209" s="8">
        <v>0.94</v>
      </c>
      <c r="DM209" s="8">
        <v>0.96</v>
      </c>
      <c r="DN209" s="10">
        <v>305.76</v>
      </c>
      <c r="DO209" s="10">
        <v>179.27000000000004</v>
      </c>
      <c r="DP209" s="10">
        <v>432.25</v>
      </c>
      <c r="DQ209" s="1">
        <v>0.30041666666666667</v>
      </c>
      <c r="DR209" s="1">
        <v>8.3333333333333332E-3</v>
      </c>
      <c r="DS209" s="53">
        <v>0.5</v>
      </c>
      <c r="DT209" s="1">
        <v>0.77166666666666683</v>
      </c>
      <c r="DU209" s="1">
        <v>8.3333333333333329E-2</v>
      </c>
      <c r="DV209" s="53">
        <v>3</v>
      </c>
      <c r="DW209" s="1">
        <v>4.8</v>
      </c>
      <c r="DX209" s="1">
        <v>4.3</v>
      </c>
      <c r="DY209" s="53">
        <v>5.3</v>
      </c>
      <c r="DZ209" s="1">
        <v>6</v>
      </c>
      <c r="EA209" s="1">
        <v>5.4</v>
      </c>
      <c r="EB209" s="53">
        <v>6.6</v>
      </c>
      <c r="EC209" s="1">
        <v>10.8</v>
      </c>
      <c r="ED209" s="1">
        <v>7.8</v>
      </c>
      <c r="EE209" s="53">
        <v>7.8000000000000007</v>
      </c>
      <c r="EF209" s="1">
        <v>7.8</v>
      </c>
      <c r="EG209" s="1">
        <v>5.8</v>
      </c>
      <c r="EH209" s="53">
        <v>9.8000000000000007</v>
      </c>
      <c r="EJ209" s="1" t="s">
        <v>642</v>
      </c>
      <c r="EL209" s="1">
        <v>1000</v>
      </c>
      <c r="EM209" s="1">
        <v>500</v>
      </c>
      <c r="EN209" s="1">
        <v>1500</v>
      </c>
      <c r="EO209" s="1">
        <v>0</v>
      </c>
      <c r="EP209" s="1">
        <v>0</v>
      </c>
      <c r="EQ209" s="1">
        <v>0</v>
      </c>
      <c r="ER209" s="1">
        <v>700</v>
      </c>
      <c r="ES209" s="1">
        <v>650</v>
      </c>
      <c r="ET209" s="1">
        <v>750</v>
      </c>
      <c r="EU209" s="1">
        <v>2.3405882352941174</v>
      </c>
      <c r="EV209" s="18">
        <v>0.81411764705882328</v>
      </c>
      <c r="EW209" s="18">
        <v>3.8670588235294114</v>
      </c>
      <c r="EX209" s="18">
        <v>203.52941176470586</v>
      </c>
      <c r="EY209" s="7">
        <v>152.64705882352939</v>
      </c>
      <c r="EZ209" s="7">
        <v>254.41176470588235</v>
      </c>
      <c r="FA209" s="7">
        <v>469.13529411764705</v>
      </c>
      <c r="FB209" s="7">
        <v>396.88235294117646</v>
      </c>
      <c r="FC209" s="7">
        <v>541.38823529411764</v>
      </c>
      <c r="FD209" s="7">
        <v>0</v>
      </c>
      <c r="FE209" s="7">
        <v>0</v>
      </c>
      <c r="FF209" s="7">
        <v>30.52941176470588</v>
      </c>
      <c r="FG209" s="7">
        <v>44.776470588235291</v>
      </c>
      <c r="FH209" s="7">
        <v>24.423529411764704</v>
      </c>
      <c r="FI209" s="7">
        <v>65.129411764705878</v>
      </c>
      <c r="FJ209" s="7">
        <v>2.0352941176470587</v>
      </c>
      <c r="FK209" s="7">
        <v>0</v>
      </c>
      <c r="FL209" s="7">
        <v>4.0705882352941174</v>
      </c>
      <c r="FO209" s="1">
        <v>220</v>
      </c>
      <c r="FP209" s="1">
        <v>220</v>
      </c>
      <c r="FR209" s="12" t="s">
        <v>638</v>
      </c>
      <c r="FS209" s="1" t="s">
        <v>638</v>
      </c>
      <c r="FT209" s="12">
        <v>182</v>
      </c>
      <c r="FU209" s="12"/>
      <c r="FV209" s="12">
        <v>182</v>
      </c>
      <c r="FW209" s="12">
        <v>182</v>
      </c>
      <c r="FX209" s="1">
        <v>182</v>
      </c>
      <c r="FY209" s="12" t="s">
        <v>637</v>
      </c>
      <c r="FZ209" s="12" t="s">
        <v>636</v>
      </c>
      <c r="GA209" s="1">
        <v>202</v>
      </c>
      <c r="GB209" s="1">
        <v>202</v>
      </c>
      <c r="GD209" s="1" t="s">
        <v>640</v>
      </c>
      <c r="GE209" s="1">
        <v>211</v>
      </c>
      <c r="GF209" s="1">
        <v>214</v>
      </c>
      <c r="GG209" s="1">
        <v>220</v>
      </c>
      <c r="GH209" s="1">
        <v>214</v>
      </c>
      <c r="GK209" s="1" t="s">
        <v>639</v>
      </c>
    </row>
    <row r="210" spans="1:193" ht="12.75" customHeight="1" x14ac:dyDescent="0.2">
      <c r="A210" s="1" t="s">
        <v>81</v>
      </c>
      <c r="D210" s="1" t="s">
        <v>81</v>
      </c>
      <c r="E210" s="1" t="s">
        <v>129</v>
      </c>
      <c r="F210" s="1">
        <v>1</v>
      </c>
      <c r="G210" s="1">
        <v>2015</v>
      </c>
      <c r="H210" s="1">
        <v>1</v>
      </c>
      <c r="I210" s="1">
        <v>1</v>
      </c>
      <c r="J210" s="1">
        <v>0</v>
      </c>
      <c r="K210" s="10">
        <v>1214</v>
      </c>
      <c r="L210" s="10">
        <v>811</v>
      </c>
      <c r="M210" s="10">
        <v>1617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8"/>
      <c r="BQ210" s="10">
        <v>127</v>
      </c>
      <c r="BR210" s="10">
        <v>44</v>
      </c>
      <c r="BS210" s="10">
        <v>210</v>
      </c>
      <c r="BT210" s="10">
        <f>Tabelle58971121[[#This Row],[Mindestauslastung durch]]*Tabelle58971121[[#This Row],[installierte Leistung MW durch]]</f>
        <v>0</v>
      </c>
      <c r="BU210" s="10">
        <f>Tabelle58971121[[#This Row],[Mindestauslastung min]]*Tabelle58971121[[#This Row],[installierte Leistung MW min]]</f>
        <v>0</v>
      </c>
      <c r="BV210" s="18">
        <f>Tabelle58971121[[#This Row],[Mindestauslastung max]]*Tabelle58971121[[#This Row],[installierte Leistung MW max]]</f>
        <v>0</v>
      </c>
      <c r="BW210" s="8">
        <v>0</v>
      </c>
      <c r="BX210" s="8">
        <v>0</v>
      </c>
      <c r="BY210" s="8">
        <v>0</v>
      </c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41">
        <v>0.86</v>
      </c>
      <c r="DC210" s="41">
        <v>0.83</v>
      </c>
      <c r="DD210" s="41">
        <v>0.89</v>
      </c>
      <c r="DE210" s="10">
        <f>Tabelle58971121[[#This Row],[Durchschnittsauslastung min]]*Tabelle58971121[[#This Row],[installierte Leistung MW min]]</f>
        <v>849.68</v>
      </c>
      <c r="DF210" s="10">
        <f>Tabelle58971121[[#This Row],[Durchschnittsauslastung durch]]*Tabelle58971121[[#This Row],[installierte Leistung MW durch]]</f>
        <v>1171.96</v>
      </c>
      <c r="DG210" s="48">
        <f>Tabelle58971121[[#This Row],[Durchschnittsauslastung max]]*Tabelle58971121[[#This Row],[installierte Leistung MW max]]</f>
        <v>1634.04</v>
      </c>
      <c r="DH210" s="87">
        <f>Tabelle58971121[[#This Row],[Maximalauslastung durch]]*Tabelle58971121[[#This Row],[installierte Leistung MW min]]</f>
        <v>938.59999999999991</v>
      </c>
      <c r="DI210" s="48">
        <f>Tabelle58971121[[#This Row],[Maximalauslastung durch]]*Tabelle58971121[[#This Row],[installierte Leistung MW durch]]</f>
        <v>1341.3999999999999</v>
      </c>
      <c r="DJ210" s="10">
        <f>Tabelle58971121[[#This Row],[Maximalauslastung max]]*Tabelle58971121[[#This Row],[installierte Leistung MW durch]]</f>
        <v>1355.52</v>
      </c>
      <c r="DK210" s="8">
        <v>0.95</v>
      </c>
      <c r="DL210" s="8">
        <v>0.94</v>
      </c>
      <c r="DM210" s="8">
        <v>0.96</v>
      </c>
      <c r="DN210" s="10">
        <v>1412</v>
      </c>
      <c r="DO210" s="10">
        <v>988</v>
      </c>
      <c r="DP210" s="10">
        <v>1836</v>
      </c>
      <c r="DQ210" s="1">
        <v>1.4624999999999999</v>
      </c>
      <c r="DR210" s="1">
        <v>0.25</v>
      </c>
      <c r="DS210" s="53">
        <v>3</v>
      </c>
      <c r="DT210" s="1">
        <v>1.625</v>
      </c>
      <c r="DU210" s="1">
        <v>0.5</v>
      </c>
      <c r="DV210" s="53">
        <v>3</v>
      </c>
      <c r="DW210" s="1">
        <v>5.2</v>
      </c>
      <c r="DX210" s="1">
        <v>4.7</v>
      </c>
      <c r="DY210" s="53">
        <v>5.7</v>
      </c>
      <c r="DZ210" s="1">
        <v>6</v>
      </c>
      <c r="EA210" s="1">
        <v>4.8</v>
      </c>
      <c r="EB210" s="53">
        <v>7.2</v>
      </c>
      <c r="EC210" s="1">
        <v>11.2</v>
      </c>
      <c r="ED210" s="1">
        <v>11.2</v>
      </c>
      <c r="EE210" s="53">
        <v>11.2</v>
      </c>
      <c r="EF210" s="1">
        <v>6.6</v>
      </c>
      <c r="EG210" s="1">
        <v>4.8999999999999995</v>
      </c>
      <c r="EH210" s="53">
        <v>8.2999999999999989</v>
      </c>
      <c r="EJ210" s="1" t="s">
        <v>641</v>
      </c>
      <c r="EL210" s="1">
        <v>500</v>
      </c>
      <c r="EM210" s="1">
        <v>200</v>
      </c>
      <c r="EN210" s="1">
        <v>800</v>
      </c>
      <c r="EO210" s="1">
        <v>0</v>
      </c>
      <c r="EP210" s="1">
        <v>0</v>
      </c>
      <c r="EQ210" s="1">
        <v>0</v>
      </c>
      <c r="ER210" s="1">
        <v>50</v>
      </c>
      <c r="ES210" s="1">
        <v>20</v>
      </c>
      <c r="ET210" s="1">
        <v>80</v>
      </c>
      <c r="EU210" s="1">
        <v>2.3405882352941174</v>
      </c>
      <c r="EV210" s="18">
        <v>0.81411764705882328</v>
      </c>
      <c r="EW210" s="18">
        <v>3.8670588235294114</v>
      </c>
      <c r="EX210" s="18">
        <v>203.52941176470586</v>
      </c>
      <c r="EY210" s="7">
        <v>152.64705882352939</v>
      </c>
      <c r="EZ210" s="7">
        <v>254.41176470588235</v>
      </c>
      <c r="FA210" s="7">
        <v>396.88235294117646</v>
      </c>
      <c r="FB210" s="7">
        <v>371.44117647058823</v>
      </c>
      <c r="FC210" s="7">
        <v>422.3235294117647</v>
      </c>
      <c r="FD210" s="7">
        <v>0</v>
      </c>
      <c r="FE210" s="7">
        <v>0</v>
      </c>
      <c r="FF210" s="7">
        <v>30.52941176470588</v>
      </c>
      <c r="FG210" s="7">
        <v>44.776470588235291</v>
      </c>
      <c r="FH210" s="7">
        <v>24.423529411764704</v>
      </c>
      <c r="FI210" s="7">
        <v>65.129411764705878</v>
      </c>
      <c r="FJ210" s="7">
        <v>2.0352941176470587</v>
      </c>
      <c r="FK210" s="7">
        <v>0</v>
      </c>
      <c r="FL210" s="7">
        <v>4.0705882352941174</v>
      </c>
      <c r="FO210" s="1">
        <v>220</v>
      </c>
      <c r="FP210" s="1">
        <v>220</v>
      </c>
      <c r="FR210" s="12" t="s">
        <v>638</v>
      </c>
      <c r="FS210" s="1" t="s">
        <v>638</v>
      </c>
      <c r="FT210" s="12">
        <v>182</v>
      </c>
      <c r="FU210" s="12"/>
      <c r="FV210" s="12">
        <v>182</v>
      </c>
      <c r="FW210" s="12">
        <v>182</v>
      </c>
      <c r="FX210" s="1">
        <v>182</v>
      </c>
      <c r="FY210" s="12" t="s">
        <v>637</v>
      </c>
      <c r="FZ210" s="12" t="s">
        <v>636</v>
      </c>
      <c r="GA210" s="1">
        <v>202</v>
      </c>
      <c r="GB210" s="1">
        <v>202</v>
      </c>
      <c r="GD210" s="1" t="s">
        <v>640</v>
      </c>
      <c r="GE210" s="1">
        <v>211</v>
      </c>
      <c r="GF210" s="1">
        <v>214</v>
      </c>
      <c r="GG210" s="1">
        <v>220</v>
      </c>
      <c r="GH210" s="1">
        <v>214</v>
      </c>
      <c r="GK210" s="1" t="s">
        <v>639</v>
      </c>
    </row>
    <row r="211" spans="1:193" ht="12.75" customHeight="1" x14ac:dyDescent="0.2">
      <c r="A211" s="1" t="s">
        <v>81</v>
      </c>
      <c r="D211" s="1" t="s">
        <v>81</v>
      </c>
      <c r="E211" s="1" t="s">
        <v>129</v>
      </c>
      <c r="F211" s="1">
        <v>1</v>
      </c>
      <c r="G211" s="1">
        <v>2020</v>
      </c>
      <c r="H211" s="1">
        <v>1</v>
      </c>
      <c r="I211" s="1">
        <v>1</v>
      </c>
      <c r="J211" s="1">
        <v>0</v>
      </c>
      <c r="K211" s="10">
        <v>1262.56</v>
      </c>
      <c r="L211" s="10">
        <v>843.44</v>
      </c>
      <c r="M211" s="10">
        <v>1681.68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8"/>
      <c r="BQ211" s="10">
        <v>132.08000000000001</v>
      </c>
      <c r="BR211" s="10">
        <v>45.760000000000005</v>
      </c>
      <c r="BS211" s="10">
        <v>218.4</v>
      </c>
      <c r="BT211" s="10">
        <f>Tabelle58971121[[#This Row],[Mindestauslastung durch]]*Tabelle58971121[[#This Row],[installierte Leistung MW durch]]</f>
        <v>0</v>
      </c>
      <c r="BU211" s="10">
        <f>Tabelle58971121[[#This Row],[Mindestauslastung min]]*Tabelle58971121[[#This Row],[installierte Leistung MW min]]</f>
        <v>0</v>
      </c>
      <c r="BV211" s="18">
        <f>Tabelle58971121[[#This Row],[Mindestauslastung max]]*Tabelle58971121[[#This Row],[installierte Leistung MW max]]</f>
        <v>0</v>
      </c>
      <c r="BW211" s="8">
        <v>0</v>
      </c>
      <c r="BX211" s="8">
        <v>0</v>
      </c>
      <c r="BY211" s="8">
        <v>0</v>
      </c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41">
        <v>0.86</v>
      </c>
      <c r="DC211" s="41">
        <v>0.83</v>
      </c>
      <c r="DD211" s="41">
        <v>0.89</v>
      </c>
      <c r="DE211" s="10">
        <f>Tabelle58971121[[#This Row],[Durchschnittsauslastung min]]*Tabelle58971121[[#This Row],[installierte Leistung MW min]]</f>
        <v>883.66719999999998</v>
      </c>
      <c r="DF211" s="10">
        <f>Tabelle58971121[[#This Row],[Durchschnittsauslastung durch]]*Tabelle58971121[[#This Row],[installierte Leistung MW durch]]</f>
        <v>1218.8383999999999</v>
      </c>
      <c r="DG211" s="48">
        <f>Tabelle58971121[[#This Row],[Durchschnittsauslastung max]]*Tabelle58971121[[#This Row],[installierte Leistung MW max]]</f>
        <v>1699.4016000000001</v>
      </c>
      <c r="DH211" s="87">
        <f>Tabelle58971121[[#This Row],[Maximalauslastung durch]]*Tabelle58971121[[#This Row],[installierte Leistung MW min]]</f>
        <v>976.14399999999989</v>
      </c>
      <c r="DI211" s="48">
        <f>Tabelle58971121[[#This Row],[Maximalauslastung durch]]*Tabelle58971121[[#This Row],[installierte Leistung MW durch]]</f>
        <v>1395.056</v>
      </c>
      <c r="DJ211" s="10">
        <f>Tabelle58971121[[#This Row],[Maximalauslastung max]]*Tabelle58971121[[#This Row],[installierte Leistung MW durch]]</f>
        <v>1409.7408</v>
      </c>
      <c r="DK211" s="8">
        <v>0.95</v>
      </c>
      <c r="DL211" s="8">
        <v>0.94</v>
      </c>
      <c r="DM211" s="8">
        <v>0.96</v>
      </c>
      <c r="DN211" s="10">
        <v>1468.48</v>
      </c>
      <c r="DO211" s="10">
        <v>1027.52</v>
      </c>
      <c r="DP211" s="10">
        <v>1909.44</v>
      </c>
      <c r="DQ211" s="1">
        <v>1.4624999999999999</v>
      </c>
      <c r="DR211" s="1">
        <v>0.25</v>
      </c>
      <c r="DS211" s="53">
        <v>3</v>
      </c>
      <c r="DT211" s="1">
        <v>1.625</v>
      </c>
      <c r="DU211" s="1">
        <v>0.5</v>
      </c>
      <c r="DV211" s="53">
        <v>3</v>
      </c>
      <c r="DW211" s="1">
        <v>5.2</v>
      </c>
      <c r="DX211" s="1">
        <v>4.7</v>
      </c>
      <c r="DY211" s="53">
        <v>5.7</v>
      </c>
      <c r="DZ211" s="1">
        <v>6</v>
      </c>
      <c r="EA211" s="1">
        <v>4.8</v>
      </c>
      <c r="EB211" s="53">
        <v>7.2</v>
      </c>
      <c r="EC211" s="1">
        <v>11.2</v>
      </c>
      <c r="ED211" s="1">
        <v>11.2</v>
      </c>
      <c r="EE211" s="53">
        <v>11.2</v>
      </c>
      <c r="EF211" s="1">
        <v>6.6</v>
      </c>
      <c r="EG211" s="1">
        <v>4.8999999999999995</v>
      </c>
      <c r="EH211" s="53">
        <v>8.2999999999999989</v>
      </c>
      <c r="EJ211" s="1" t="s">
        <v>641</v>
      </c>
      <c r="EL211" s="1">
        <v>500</v>
      </c>
      <c r="EM211" s="1">
        <v>200</v>
      </c>
      <c r="EN211" s="1">
        <v>800</v>
      </c>
      <c r="EO211" s="1">
        <v>0</v>
      </c>
      <c r="EP211" s="1">
        <v>0</v>
      </c>
      <c r="EQ211" s="1">
        <v>0</v>
      </c>
      <c r="ER211" s="1">
        <v>50</v>
      </c>
      <c r="ES211" s="1">
        <v>20</v>
      </c>
      <c r="ET211" s="1">
        <v>80</v>
      </c>
      <c r="EU211" s="1">
        <v>2.3405882352941174</v>
      </c>
      <c r="EV211" s="18">
        <v>0.81411764705882328</v>
      </c>
      <c r="EW211" s="18">
        <v>3.8670588235294114</v>
      </c>
      <c r="EX211" s="18">
        <v>203.52941176470586</v>
      </c>
      <c r="EY211" s="7">
        <v>152.64705882352939</v>
      </c>
      <c r="EZ211" s="7">
        <v>254.41176470588235</v>
      </c>
      <c r="FA211" s="7">
        <v>396.88235294117646</v>
      </c>
      <c r="FB211" s="7">
        <v>371.44117647058823</v>
      </c>
      <c r="FC211" s="7">
        <v>422.3235294117647</v>
      </c>
      <c r="FD211" s="7">
        <v>0</v>
      </c>
      <c r="FE211" s="7">
        <v>0</v>
      </c>
      <c r="FF211" s="7">
        <v>30.52941176470588</v>
      </c>
      <c r="FG211" s="7">
        <v>44.776470588235291</v>
      </c>
      <c r="FH211" s="7">
        <v>24.423529411764704</v>
      </c>
      <c r="FI211" s="7">
        <v>65.129411764705878</v>
      </c>
      <c r="FJ211" s="7">
        <v>2.0352941176470587</v>
      </c>
      <c r="FK211" s="7">
        <v>0</v>
      </c>
      <c r="FL211" s="7">
        <v>4.0705882352941174</v>
      </c>
      <c r="FO211" s="1">
        <v>220</v>
      </c>
      <c r="FP211" s="1">
        <v>220</v>
      </c>
      <c r="FR211" s="12" t="s">
        <v>638</v>
      </c>
      <c r="FS211" s="1" t="s">
        <v>638</v>
      </c>
      <c r="FT211" s="12">
        <v>182</v>
      </c>
      <c r="FU211" s="12"/>
      <c r="FV211" s="12">
        <v>182</v>
      </c>
      <c r="FW211" s="12">
        <v>182</v>
      </c>
      <c r="FX211" s="1">
        <v>182</v>
      </c>
      <c r="FY211" s="12" t="s">
        <v>637</v>
      </c>
      <c r="FZ211" s="12" t="s">
        <v>636</v>
      </c>
      <c r="GA211" s="1">
        <v>202</v>
      </c>
      <c r="GB211" s="1">
        <v>202</v>
      </c>
      <c r="GD211" s="1" t="s">
        <v>640</v>
      </c>
      <c r="GE211" s="1">
        <v>211</v>
      </c>
      <c r="GF211" s="1">
        <v>214</v>
      </c>
      <c r="GG211" s="1">
        <v>220</v>
      </c>
      <c r="GH211" s="1">
        <v>214</v>
      </c>
      <c r="GK211" s="1" t="s">
        <v>639</v>
      </c>
    </row>
    <row r="212" spans="1:193" ht="12.75" customHeight="1" x14ac:dyDescent="0.2">
      <c r="A212" s="1" t="s">
        <v>81</v>
      </c>
      <c r="D212" s="1" t="s">
        <v>81</v>
      </c>
      <c r="E212" s="1" t="s">
        <v>129</v>
      </c>
      <c r="F212" s="1">
        <v>1</v>
      </c>
      <c r="G212" s="1">
        <v>2025</v>
      </c>
      <c r="H212" s="1">
        <v>1</v>
      </c>
      <c r="I212" s="1">
        <v>1</v>
      </c>
      <c r="J212" s="1">
        <v>0</v>
      </c>
      <c r="K212" s="10">
        <v>1311.1200000000001</v>
      </c>
      <c r="L212" s="10">
        <v>875.88000000000011</v>
      </c>
      <c r="M212" s="10">
        <v>1746.3600000000001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8"/>
      <c r="BQ212" s="10">
        <v>137.16</v>
      </c>
      <c r="BR212" s="10">
        <v>47.52</v>
      </c>
      <c r="BS212" s="10">
        <v>226.8</v>
      </c>
      <c r="BT212" s="10">
        <f>Tabelle58971121[[#This Row],[Mindestauslastung durch]]*Tabelle58971121[[#This Row],[installierte Leistung MW durch]]</f>
        <v>0</v>
      </c>
      <c r="BU212" s="10">
        <f>Tabelle58971121[[#This Row],[Mindestauslastung min]]*Tabelle58971121[[#This Row],[installierte Leistung MW min]]</f>
        <v>0</v>
      </c>
      <c r="BV212" s="18">
        <f>Tabelle58971121[[#This Row],[Mindestauslastung max]]*Tabelle58971121[[#This Row],[installierte Leistung MW max]]</f>
        <v>0</v>
      </c>
      <c r="BW212" s="8">
        <v>0</v>
      </c>
      <c r="BX212" s="8">
        <v>0</v>
      </c>
      <c r="BY212" s="8">
        <v>0</v>
      </c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41">
        <v>0.86</v>
      </c>
      <c r="DC212" s="41">
        <v>0.83</v>
      </c>
      <c r="DD212" s="41">
        <v>0.89</v>
      </c>
      <c r="DE212" s="10">
        <f>Tabelle58971121[[#This Row],[Durchschnittsauslastung min]]*Tabelle58971121[[#This Row],[installierte Leistung MW min]]</f>
        <v>917.65440000000001</v>
      </c>
      <c r="DF212" s="10">
        <f>Tabelle58971121[[#This Row],[Durchschnittsauslastung durch]]*Tabelle58971121[[#This Row],[installierte Leistung MW durch]]</f>
        <v>1265.7167999999999</v>
      </c>
      <c r="DG212" s="48">
        <f>Tabelle58971121[[#This Row],[Durchschnittsauslastung max]]*Tabelle58971121[[#This Row],[installierte Leistung MW max]]</f>
        <v>1764.7632000000001</v>
      </c>
      <c r="DH212" s="87">
        <f>Tabelle58971121[[#This Row],[Maximalauslastung durch]]*Tabelle58971121[[#This Row],[installierte Leistung MW min]]</f>
        <v>1013.6879999999999</v>
      </c>
      <c r="DI212" s="48">
        <f>Tabelle58971121[[#This Row],[Maximalauslastung durch]]*Tabelle58971121[[#This Row],[installierte Leistung MW durch]]</f>
        <v>1448.712</v>
      </c>
      <c r="DJ212" s="10">
        <f>Tabelle58971121[[#This Row],[Maximalauslastung max]]*Tabelle58971121[[#This Row],[installierte Leistung MW durch]]</f>
        <v>1463.9616000000001</v>
      </c>
      <c r="DK212" s="8">
        <v>0.95</v>
      </c>
      <c r="DL212" s="8">
        <v>0.94</v>
      </c>
      <c r="DM212" s="8">
        <v>0.96</v>
      </c>
      <c r="DN212" s="10">
        <v>1524.96</v>
      </c>
      <c r="DO212" s="10">
        <v>1067.04</v>
      </c>
      <c r="DP212" s="10">
        <v>1982.88</v>
      </c>
      <c r="DQ212" s="1">
        <v>1.4624999999999999</v>
      </c>
      <c r="DR212" s="1">
        <v>0.25</v>
      </c>
      <c r="DS212" s="53">
        <v>3</v>
      </c>
      <c r="DT212" s="1">
        <v>1.625</v>
      </c>
      <c r="DU212" s="1">
        <v>0.5</v>
      </c>
      <c r="DV212" s="53">
        <v>3</v>
      </c>
      <c r="DW212" s="1">
        <v>5.2</v>
      </c>
      <c r="DX212" s="1">
        <v>4.7</v>
      </c>
      <c r="DY212" s="53">
        <v>5.7</v>
      </c>
      <c r="DZ212" s="1">
        <v>6</v>
      </c>
      <c r="EA212" s="1">
        <v>4.8</v>
      </c>
      <c r="EB212" s="53">
        <v>7.2</v>
      </c>
      <c r="EC212" s="1">
        <v>11.2</v>
      </c>
      <c r="ED212" s="1">
        <v>11.2</v>
      </c>
      <c r="EE212" s="53">
        <v>11.2</v>
      </c>
      <c r="EF212" s="1">
        <v>6.6</v>
      </c>
      <c r="EG212" s="1">
        <v>4.8999999999999995</v>
      </c>
      <c r="EH212" s="53">
        <v>8.2999999999999989</v>
      </c>
      <c r="EJ212" s="1" t="s">
        <v>641</v>
      </c>
      <c r="EL212" s="1">
        <v>500</v>
      </c>
      <c r="EM212" s="1">
        <v>200</v>
      </c>
      <c r="EN212" s="1">
        <v>800</v>
      </c>
      <c r="EO212" s="1">
        <v>0</v>
      </c>
      <c r="EP212" s="1">
        <v>0</v>
      </c>
      <c r="EQ212" s="1">
        <v>0</v>
      </c>
      <c r="ER212" s="1">
        <v>50</v>
      </c>
      <c r="ES212" s="1">
        <v>20</v>
      </c>
      <c r="ET212" s="1">
        <v>80</v>
      </c>
      <c r="EU212" s="1">
        <v>2.3405882352941174</v>
      </c>
      <c r="EV212" s="18">
        <v>0.81411764705882328</v>
      </c>
      <c r="EW212" s="18">
        <v>3.8670588235294114</v>
      </c>
      <c r="EX212" s="18">
        <v>203.52941176470586</v>
      </c>
      <c r="EY212" s="7">
        <v>152.64705882352939</v>
      </c>
      <c r="EZ212" s="7">
        <v>254.41176470588235</v>
      </c>
      <c r="FA212" s="7">
        <v>396.88235294117646</v>
      </c>
      <c r="FB212" s="7">
        <v>371.44117647058823</v>
      </c>
      <c r="FC212" s="7">
        <v>422.3235294117647</v>
      </c>
      <c r="FD212" s="7">
        <v>0</v>
      </c>
      <c r="FE212" s="7">
        <v>0</v>
      </c>
      <c r="FF212" s="7">
        <v>30.52941176470588</v>
      </c>
      <c r="FG212" s="7">
        <v>44.776470588235291</v>
      </c>
      <c r="FH212" s="7">
        <v>24.423529411764704</v>
      </c>
      <c r="FI212" s="7">
        <v>65.129411764705878</v>
      </c>
      <c r="FJ212" s="7">
        <v>2.0352941176470587</v>
      </c>
      <c r="FK212" s="7">
        <v>0</v>
      </c>
      <c r="FL212" s="7">
        <v>4.0705882352941174</v>
      </c>
      <c r="FO212" s="1">
        <v>220</v>
      </c>
      <c r="FP212" s="1">
        <v>220</v>
      </c>
      <c r="FR212" s="12" t="s">
        <v>638</v>
      </c>
      <c r="FS212" s="1" t="s">
        <v>638</v>
      </c>
      <c r="FT212" s="12">
        <v>182</v>
      </c>
      <c r="FU212" s="12"/>
      <c r="FV212" s="12">
        <v>182</v>
      </c>
      <c r="FW212" s="12">
        <v>182</v>
      </c>
      <c r="FX212" s="1">
        <v>182</v>
      </c>
      <c r="FY212" s="12" t="s">
        <v>637</v>
      </c>
      <c r="FZ212" s="12" t="s">
        <v>636</v>
      </c>
      <c r="GA212" s="1">
        <v>202</v>
      </c>
      <c r="GB212" s="1">
        <v>202</v>
      </c>
      <c r="GD212" s="1" t="s">
        <v>640</v>
      </c>
      <c r="GE212" s="1">
        <v>211</v>
      </c>
      <c r="GF212" s="1">
        <v>214</v>
      </c>
      <c r="GG212" s="1">
        <v>220</v>
      </c>
      <c r="GH212" s="1">
        <v>214</v>
      </c>
      <c r="GK212" s="1" t="s">
        <v>639</v>
      </c>
    </row>
    <row r="213" spans="1:193" ht="12.75" customHeight="1" x14ac:dyDescent="0.2">
      <c r="A213" s="1" t="s">
        <v>81</v>
      </c>
      <c r="D213" s="1" t="s">
        <v>81</v>
      </c>
      <c r="E213" s="1" t="s">
        <v>129</v>
      </c>
      <c r="F213" s="1">
        <v>1</v>
      </c>
      <c r="G213" s="1">
        <v>2030</v>
      </c>
      <c r="H213" s="1">
        <v>1</v>
      </c>
      <c r="I213" s="1">
        <v>1</v>
      </c>
      <c r="J213" s="1">
        <v>0</v>
      </c>
      <c r="K213" s="10">
        <v>1420.3799999999999</v>
      </c>
      <c r="L213" s="10">
        <v>948.86999999999989</v>
      </c>
      <c r="M213" s="10">
        <v>1891.8899999999999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8"/>
      <c r="BQ213" s="10">
        <v>148.59</v>
      </c>
      <c r="BR213" s="10">
        <v>51.48</v>
      </c>
      <c r="BS213" s="10">
        <v>245.7</v>
      </c>
      <c r="BT213" s="10">
        <f>Tabelle58971121[[#This Row],[Mindestauslastung durch]]*Tabelle58971121[[#This Row],[installierte Leistung MW durch]]</f>
        <v>0</v>
      </c>
      <c r="BU213" s="10">
        <f>Tabelle58971121[[#This Row],[Mindestauslastung min]]*Tabelle58971121[[#This Row],[installierte Leistung MW min]]</f>
        <v>0</v>
      </c>
      <c r="BV213" s="18">
        <f>Tabelle58971121[[#This Row],[Mindestauslastung max]]*Tabelle58971121[[#This Row],[installierte Leistung MW max]]</f>
        <v>0</v>
      </c>
      <c r="BW213" s="8">
        <v>0</v>
      </c>
      <c r="BX213" s="8">
        <v>0</v>
      </c>
      <c r="BY213" s="8">
        <v>0</v>
      </c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41">
        <v>0.86</v>
      </c>
      <c r="DC213" s="41">
        <v>0.83</v>
      </c>
      <c r="DD213" s="41">
        <v>0.89</v>
      </c>
      <c r="DE213" s="10">
        <f>Tabelle58971121[[#This Row],[Durchschnittsauslastung min]]*Tabelle58971121[[#This Row],[installierte Leistung MW min]]</f>
        <v>994.12559999999996</v>
      </c>
      <c r="DF213" s="10">
        <f>Tabelle58971121[[#This Row],[Durchschnittsauslastung durch]]*Tabelle58971121[[#This Row],[installierte Leistung MW durch]]</f>
        <v>1371.1931999999999</v>
      </c>
      <c r="DG213" s="48">
        <f>Tabelle58971121[[#This Row],[Durchschnittsauslastung max]]*Tabelle58971121[[#This Row],[installierte Leistung MW max]]</f>
        <v>1911.8267999999998</v>
      </c>
      <c r="DH213" s="87">
        <f>Tabelle58971121[[#This Row],[Maximalauslastung durch]]*Tabelle58971121[[#This Row],[installierte Leistung MW min]]</f>
        <v>1098.162</v>
      </c>
      <c r="DI213" s="48">
        <f>Tabelle58971121[[#This Row],[Maximalauslastung durch]]*Tabelle58971121[[#This Row],[installierte Leistung MW durch]]</f>
        <v>1569.4379999999999</v>
      </c>
      <c r="DJ213" s="10">
        <f>Tabelle58971121[[#This Row],[Maximalauslastung max]]*Tabelle58971121[[#This Row],[installierte Leistung MW durch]]</f>
        <v>1585.9584</v>
      </c>
      <c r="DK213" s="8">
        <v>0.95</v>
      </c>
      <c r="DL213" s="8">
        <v>0.94</v>
      </c>
      <c r="DM213" s="8">
        <v>0.96</v>
      </c>
      <c r="DN213" s="10">
        <v>1652.04</v>
      </c>
      <c r="DO213" s="10">
        <v>1155.96</v>
      </c>
      <c r="DP213" s="10">
        <v>2148.12</v>
      </c>
      <c r="DQ213" s="1">
        <v>1.4624999999999999</v>
      </c>
      <c r="DR213" s="1">
        <v>0.25</v>
      </c>
      <c r="DS213" s="53">
        <v>3</v>
      </c>
      <c r="DT213" s="1">
        <v>1.625</v>
      </c>
      <c r="DU213" s="1">
        <v>0.5</v>
      </c>
      <c r="DV213" s="53">
        <v>3</v>
      </c>
      <c r="DW213" s="1">
        <v>5.2</v>
      </c>
      <c r="DX213" s="1">
        <v>4.7</v>
      </c>
      <c r="DY213" s="53">
        <v>5.7</v>
      </c>
      <c r="DZ213" s="1">
        <v>6</v>
      </c>
      <c r="EA213" s="1">
        <v>4.8</v>
      </c>
      <c r="EB213" s="53">
        <v>7.2</v>
      </c>
      <c r="EC213" s="1">
        <v>11.2</v>
      </c>
      <c r="ED213" s="1">
        <v>11.2</v>
      </c>
      <c r="EE213" s="53">
        <v>11.2</v>
      </c>
      <c r="EF213" s="1">
        <v>6.6</v>
      </c>
      <c r="EG213" s="1">
        <v>4.8999999999999995</v>
      </c>
      <c r="EH213" s="53">
        <v>8.2999999999999989</v>
      </c>
      <c r="EJ213" s="1" t="s">
        <v>641</v>
      </c>
      <c r="EL213" s="1">
        <v>500</v>
      </c>
      <c r="EM213" s="1">
        <v>200</v>
      </c>
      <c r="EN213" s="1">
        <v>800</v>
      </c>
      <c r="EO213" s="1">
        <v>0</v>
      </c>
      <c r="EP213" s="1">
        <v>0</v>
      </c>
      <c r="EQ213" s="1">
        <v>0</v>
      </c>
      <c r="ER213" s="1">
        <v>50</v>
      </c>
      <c r="ES213" s="1">
        <v>20</v>
      </c>
      <c r="ET213" s="1">
        <v>80</v>
      </c>
      <c r="EU213" s="1">
        <v>2.3405882352941174</v>
      </c>
      <c r="EV213" s="18">
        <v>0.81411764705882328</v>
      </c>
      <c r="EW213" s="18">
        <v>3.8670588235294114</v>
      </c>
      <c r="EX213" s="18">
        <v>203.52941176470586</v>
      </c>
      <c r="EY213" s="7">
        <v>152.64705882352939</v>
      </c>
      <c r="EZ213" s="7">
        <v>254.41176470588235</v>
      </c>
      <c r="FA213" s="7">
        <v>396.88235294117646</v>
      </c>
      <c r="FB213" s="7">
        <v>371.44117647058823</v>
      </c>
      <c r="FC213" s="7">
        <v>422.3235294117647</v>
      </c>
      <c r="FD213" s="7">
        <v>0</v>
      </c>
      <c r="FE213" s="7">
        <v>0</v>
      </c>
      <c r="FF213" s="7">
        <v>30.52941176470588</v>
      </c>
      <c r="FG213" s="7">
        <v>44.776470588235291</v>
      </c>
      <c r="FH213" s="7">
        <v>24.423529411764704</v>
      </c>
      <c r="FI213" s="7">
        <v>65.129411764705878</v>
      </c>
      <c r="FJ213" s="7">
        <v>2.0352941176470587</v>
      </c>
      <c r="FK213" s="7">
        <v>0</v>
      </c>
      <c r="FL213" s="7">
        <v>4.0705882352941174</v>
      </c>
      <c r="FO213" s="1">
        <v>220</v>
      </c>
      <c r="FP213" s="1">
        <v>220</v>
      </c>
      <c r="FR213" s="12" t="s">
        <v>638</v>
      </c>
      <c r="FS213" s="1" t="s">
        <v>638</v>
      </c>
      <c r="FT213" s="12">
        <v>182</v>
      </c>
      <c r="FU213" s="12"/>
      <c r="FV213" s="12">
        <v>182</v>
      </c>
      <c r="FW213" s="12">
        <v>182</v>
      </c>
      <c r="FX213" s="1">
        <v>182</v>
      </c>
      <c r="FY213" s="12" t="s">
        <v>637</v>
      </c>
      <c r="FZ213" s="12" t="s">
        <v>636</v>
      </c>
      <c r="GA213" s="1">
        <v>202</v>
      </c>
      <c r="GB213" s="1">
        <v>202</v>
      </c>
      <c r="GD213" s="1" t="s">
        <v>640</v>
      </c>
      <c r="GE213" s="1">
        <v>211</v>
      </c>
      <c r="GF213" s="1">
        <v>214</v>
      </c>
      <c r="GG213" s="1">
        <v>220</v>
      </c>
      <c r="GH213" s="1">
        <v>214</v>
      </c>
      <c r="GK213" s="1" t="s">
        <v>639</v>
      </c>
    </row>
    <row r="214" spans="1:193" ht="12.75" customHeight="1" x14ac:dyDescent="0.2">
      <c r="A214" s="1" t="s">
        <v>81</v>
      </c>
      <c r="D214" s="1" t="s">
        <v>81</v>
      </c>
      <c r="E214" s="1" t="s">
        <v>129</v>
      </c>
      <c r="F214" s="1">
        <v>1</v>
      </c>
      <c r="G214" s="1">
        <v>2035</v>
      </c>
      <c r="H214" s="1">
        <v>1</v>
      </c>
      <c r="I214" s="1">
        <v>1</v>
      </c>
      <c r="J214" s="1">
        <v>0</v>
      </c>
      <c r="K214" s="10">
        <v>1529.64</v>
      </c>
      <c r="L214" s="10">
        <v>1021.86</v>
      </c>
      <c r="M214" s="10">
        <v>2037.42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8"/>
      <c r="BQ214" s="10">
        <v>160.02000000000001</v>
      </c>
      <c r="BR214" s="10">
        <v>55.44</v>
      </c>
      <c r="BS214" s="10">
        <v>264.60000000000002</v>
      </c>
      <c r="BT214" s="10">
        <f>Tabelle58971121[[#This Row],[Mindestauslastung durch]]*Tabelle58971121[[#This Row],[installierte Leistung MW durch]]</f>
        <v>0</v>
      </c>
      <c r="BU214" s="10">
        <f>Tabelle58971121[[#This Row],[Mindestauslastung min]]*Tabelle58971121[[#This Row],[installierte Leistung MW min]]</f>
        <v>0</v>
      </c>
      <c r="BV214" s="18">
        <f>Tabelle58971121[[#This Row],[Mindestauslastung max]]*Tabelle58971121[[#This Row],[installierte Leistung MW max]]</f>
        <v>0</v>
      </c>
      <c r="BW214" s="8">
        <v>0</v>
      </c>
      <c r="BX214" s="8">
        <v>0</v>
      </c>
      <c r="BY214" s="8">
        <v>0</v>
      </c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41">
        <v>0.86</v>
      </c>
      <c r="DC214" s="41">
        <v>0.83</v>
      </c>
      <c r="DD214" s="41">
        <v>0.89</v>
      </c>
      <c r="DE214" s="10">
        <f>Tabelle58971121[[#This Row],[Durchschnittsauslastung min]]*Tabelle58971121[[#This Row],[installierte Leistung MW min]]</f>
        <v>1070.5968</v>
      </c>
      <c r="DF214" s="10">
        <f>Tabelle58971121[[#This Row],[Durchschnittsauslastung durch]]*Tabelle58971121[[#This Row],[installierte Leistung MW durch]]</f>
        <v>1476.6695999999999</v>
      </c>
      <c r="DG214" s="48">
        <f>Tabelle58971121[[#This Row],[Durchschnittsauslastung max]]*Tabelle58971121[[#This Row],[installierte Leistung MW max]]</f>
        <v>2058.8904000000002</v>
      </c>
      <c r="DH214" s="87">
        <f>Tabelle58971121[[#This Row],[Maximalauslastung durch]]*Tabelle58971121[[#This Row],[installierte Leistung MW min]]</f>
        <v>1182.636</v>
      </c>
      <c r="DI214" s="48">
        <f>Tabelle58971121[[#This Row],[Maximalauslastung durch]]*Tabelle58971121[[#This Row],[installierte Leistung MW durch]]</f>
        <v>1690.164</v>
      </c>
      <c r="DJ214" s="10">
        <f>Tabelle58971121[[#This Row],[Maximalauslastung max]]*Tabelle58971121[[#This Row],[installierte Leistung MW durch]]</f>
        <v>1707.9552000000001</v>
      </c>
      <c r="DK214" s="8">
        <v>0.95</v>
      </c>
      <c r="DL214" s="8">
        <v>0.94</v>
      </c>
      <c r="DM214" s="8">
        <v>0.96</v>
      </c>
      <c r="DN214" s="10">
        <v>1779.1200000000001</v>
      </c>
      <c r="DO214" s="10">
        <v>1244.8800000000001</v>
      </c>
      <c r="DP214" s="10">
        <v>2313.36</v>
      </c>
      <c r="DQ214" s="1">
        <v>1.4624999999999999</v>
      </c>
      <c r="DR214" s="1">
        <v>0.25</v>
      </c>
      <c r="DS214" s="53">
        <v>3</v>
      </c>
      <c r="DT214" s="1">
        <v>1.625</v>
      </c>
      <c r="DU214" s="1">
        <v>0.5</v>
      </c>
      <c r="DV214" s="53">
        <v>3</v>
      </c>
      <c r="DW214" s="1">
        <v>5.2</v>
      </c>
      <c r="DX214" s="1">
        <v>4.7</v>
      </c>
      <c r="DY214" s="53">
        <v>5.7</v>
      </c>
      <c r="DZ214" s="1">
        <v>6</v>
      </c>
      <c r="EA214" s="1">
        <v>4.8</v>
      </c>
      <c r="EB214" s="53">
        <v>7.2</v>
      </c>
      <c r="EC214" s="1">
        <v>11.2</v>
      </c>
      <c r="ED214" s="1">
        <v>11.2</v>
      </c>
      <c r="EE214" s="53">
        <v>11.2</v>
      </c>
      <c r="EF214" s="1">
        <v>6.6</v>
      </c>
      <c r="EG214" s="1">
        <v>4.8999999999999995</v>
      </c>
      <c r="EH214" s="53">
        <v>8.2999999999999989</v>
      </c>
      <c r="EJ214" s="1" t="s">
        <v>641</v>
      </c>
      <c r="EL214" s="1">
        <v>500</v>
      </c>
      <c r="EM214" s="1">
        <v>200</v>
      </c>
      <c r="EN214" s="1">
        <v>800</v>
      </c>
      <c r="EO214" s="1">
        <v>0</v>
      </c>
      <c r="EP214" s="1">
        <v>0</v>
      </c>
      <c r="EQ214" s="1">
        <v>0</v>
      </c>
      <c r="ER214" s="1">
        <v>50</v>
      </c>
      <c r="ES214" s="1">
        <v>20</v>
      </c>
      <c r="ET214" s="1">
        <v>80</v>
      </c>
      <c r="EU214" s="1">
        <v>2.3405882352941174</v>
      </c>
      <c r="EV214" s="18">
        <v>0.81411764705882328</v>
      </c>
      <c r="EW214" s="18">
        <v>3.8670588235294114</v>
      </c>
      <c r="EX214" s="18">
        <v>203.52941176470586</v>
      </c>
      <c r="EY214" s="7">
        <v>152.64705882352939</v>
      </c>
      <c r="EZ214" s="7">
        <v>254.41176470588235</v>
      </c>
      <c r="FA214" s="7">
        <v>396.88235294117646</v>
      </c>
      <c r="FB214" s="7">
        <v>371.44117647058823</v>
      </c>
      <c r="FC214" s="7">
        <v>422.3235294117647</v>
      </c>
      <c r="FD214" s="7">
        <v>0</v>
      </c>
      <c r="FE214" s="7">
        <v>0</v>
      </c>
      <c r="FF214" s="7">
        <v>30.52941176470588</v>
      </c>
      <c r="FG214" s="7">
        <v>44.776470588235291</v>
      </c>
      <c r="FH214" s="7">
        <v>24.423529411764704</v>
      </c>
      <c r="FI214" s="7">
        <v>65.129411764705878</v>
      </c>
      <c r="FJ214" s="7">
        <v>2.0352941176470587</v>
      </c>
      <c r="FK214" s="7">
        <v>0</v>
      </c>
      <c r="FL214" s="7">
        <v>4.0705882352941174</v>
      </c>
      <c r="FO214" s="1">
        <v>220</v>
      </c>
      <c r="FP214" s="1">
        <v>220</v>
      </c>
      <c r="FR214" s="12" t="s">
        <v>638</v>
      </c>
      <c r="FS214" s="1" t="s">
        <v>638</v>
      </c>
      <c r="FT214" s="12">
        <v>182</v>
      </c>
      <c r="FU214" s="12"/>
      <c r="FV214" s="12">
        <v>182</v>
      </c>
      <c r="FW214" s="12">
        <v>182</v>
      </c>
      <c r="FX214" s="1">
        <v>182</v>
      </c>
      <c r="FY214" s="12" t="s">
        <v>637</v>
      </c>
      <c r="FZ214" s="12" t="s">
        <v>636</v>
      </c>
      <c r="GA214" s="1">
        <v>202</v>
      </c>
      <c r="GB214" s="1">
        <v>202</v>
      </c>
      <c r="GD214" s="1" t="s">
        <v>640</v>
      </c>
      <c r="GE214" s="1">
        <v>211</v>
      </c>
      <c r="GF214" s="1">
        <v>214</v>
      </c>
      <c r="GG214" s="1">
        <v>220</v>
      </c>
      <c r="GH214" s="1">
        <v>214</v>
      </c>
      <c r="GK214" s="1" t="s">
        <v>639</v>
      </c>
    </row>
    <row r="215" spans="1:193" ht="12.75" customHeight="1" x14ac:dyDescent="0.2">
      <c r="A215" s="1" t="s">
        <v>81</v>
      </c>
      <c r="D215" s="1" t="s">
        <v>81</v>
      </c>
      <c r="E215" s="1" t="s">
        <v>129</v>
      </c>
      <c r="F215" s="1">
        <v>1</v>
      </c>
      <c r="G215" s="1">
        <v>2040</v>
      </c>
      <c r="H215" s="1">
        <v>1</v>
      </c>
      <c r="I215" s="1">
        <v>1</v>
      </c>
      <c r="J215" s="1">
        <v>0</v>
      </c>
      <c r="K215" s="10">
        <v>1638.9</v>
      </c>
      <c r="L215" s="10">
        <v>1094.8500000000001</v>
      </c>
      <c r="M215" s="10">
        <v>2182.9500000000003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8"/>
      <c r="BQ215" s="10">
        <v>171.45000000000002</v>
      </c>
      <c r="BR215" s="10">
        <v>59.400000000000006</v>
      </c>
      <c r="BS215" s="10">
        <v>283.5</v>
      </c>
      <c r="BT215" s="10">
        <f>Tabelle58971121[[#This Row],[Mindestauslastung durch]]*Tabelle58971121[[#This Row],[installierte Leistung MW durch]]</f>
        <v>0</v>
      </c>
      <c r="BU215" s="10">
        <f>Tabelle58971121[[#This Row],[Mindestauslastung min]]*Tabelle58971121[[#This Row],[installierte Leistung MW min]]</f>
        <v>0</v>
      </c>
      <c r="BV215" s="18">
        <f>Tabelle58971121[[#This Row],[Mindestauslastung max]]*Tabelle58971121[[#This Row],[installierte Leistung MW max]]</f>
        <v>0</v>
      </c>
      <c r="BW215" s="8">
        <v>0</v>
      </c>
      <c r="BX215" s="8">
        <v>0</v>
      </c>
      <c r="BY215" s="8">
        <v>0</v>
      </c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41">
        <v>0.86</v>
      </c>
      <c r="DC215" s="41">
        <v>0.83</v>
      </c>
      <c r="DD215" s="41">
        <v>0.89</v>
      </c>
      <c r="DE215" s="10">
        <f>Tabelle58971121[[#This Row],[Durchschnittsauslastung min]]*Tabelle58971121[[#This Row],[installierte Leistung MW min]]</f>
        <v>1147.0680000000002</v>
      </c>
      <c r="DF215" s="10">
        <f>Tabelle58971121[[#This Row],[Durchschnittsauslastung durch]]*Tabelle58971121[[#This Row],[installierte Leistung MW durch]]</f>
        <v>1582.146</v>
      </c>
      <c r="DG215" s="48">
        <f>Tabelle58971121[[#This Row],[Durchschnittsauslastung max]]*Tabelle58971121[[#This Row],[installierte Leistung MW max]]</f>
        <v>2205.9540000000002</v>
      </c>
      <c r="DH215" s="87">
        <f>Tabelle58971121[[#This Row],[Maximalauslastung durch]]*Tabelle58971121[[#This Row],[installierte Leistung MW min]]</f>
        <v>1267.1100000000001</v>
      </c>
      <c r="DI215" s="48">
        <f>Tabelle58971121[[#This Row],[Maximalauslastung durch]]*Tabelle58971121[[#This Row],[installierte Leistung MW durch]]</f>
        <v>1810.8899999999999</v>
      </c>
      <c r="DJ215" s="10">
        <f>Tabelle58971121[[#This Row],[Maximalauslastung max]]*Tabelle58971121[[#This Row],[installierte Leistung MW durch]]</f>
        <v>1829.952</v>
      </c>
      <c r="DK215" s="8">
        <v>0.95</v>
      </c>
      <c r="DL215" s="8">
        <v>0.94</v>
      </c>
      <c r="DM215" s="8">
        <v>0.96</v>
      </c>
      <c r="DN215" s="10">
        <v>1906.2</v>
      </c>
      <c r="DO215" s="10">
        <v>1333.8000000000002</v>
      </c>
      <c r="DP215" s="10">
        <v>2478.6000000000004</v>
      </c>
      <c r="DQ215" s="1">
        <v>1.4624999999999999</v>
      </c>
      <c r="DR215" s="1">
        <v>0.25</v>
      </c>
      <c r="DS215" s="53">
        <v>3</v>
      </c>
      <c r="DT215" s="1">
        <v>1.625</v>
      </c>
      <c r="DU215" s="1">
        <v>0.5</v>
      </c>
      <c r="DV215" s="53">
        <v>3</v>
      </c>
      <c r="DW215" s="1">
        <v>5.2</v>
      </c>
      <c r="DX215" s="1">
        <v>4.7</v>
      </c>
      <c r="DY215" s="53">
        <v>5.7</v>
      </c>
      <c r="DZ215" s="1">
        <v>6</v>
      </c>
      <c r="EA215" s="1">
        <v>4.8</v>
      </c>
      <c r="EB215" s="53">
        <v>7.2</v>
      </c>
      <c r="EC215" s="1">
        <v>11.2</v>
      </c>
      <c r="ED215" s="1">
        <v>11.2</v>
      </c>
      <c r="EE215" s="53">
        <v>11.2</v>
      </c>
      <c r="EF215" s="1">
        <v>6.6</v>
      </c>
      <c r="EG215" s="1">
        <v>4.8999999999999995</v>
      </c>
      <c r="EH215" s="53">
        <v>8.2999999999999989</v>
      </c>
      <c r="EJ215" s="1" t="s">
        <v>641</v>
      </c>
      <c r="EL215" s="1">
        <v>500</v>
      </c>
      <c r="EM215" s="1">
        <v>200</v>
      </c>
      <c r="EN215" s="1">
        <v>800</v>
      </c>
      <c r="EO215" s="1">
        <v>0</v>
      </c>
      <c r="EP215" s="1">
        <v>0</v>
      </c>
      <c r="EQ215" s="1">
        <v>0</v>
      </c>
      <c r="ER215" s="1">
        <v>50</v>
      </c>
      <c r="ES215" s="1">
        <v>20</v>
      </c>
      <c r="ET215" s="1">
        <v>80</v>
      </c>
      <c r="EU215" s="1">
        <v>2.3405882352941174</v>
      </c>
      <c r="EV215" s="18">
        <v>0.81411764705882328</v>
      </c>
      <c r="EW215" s="18">
        <v>3.8670588235294114</v>
      </c>
      <c r="EX215" s="18">
        <v>203.52941176470586</v>
      </c>
      <c r="EY215" s="7">
        <v>152.64705882352939</v>
      </c>
      <c r="EZ215" s="7">
        <v>254.41176470588235</v>
      </c>
      <c r="FA215" s="7">
        <v>396.88235294117646</v>
      </c>
      <c r="FB215" s="7">
        <v>371.44117647058823</v>
      </c>
      <c r="FC215" s="7">
        <v>422.3235294117647</v>
      </c>
      <c r="FD215" s="7">
        <v>0</v>
      </c>
      <c r="FE215" s="7">
        <v>0</v>
      </c>
      <c r="FF215" s="7">
        <v>30.52941176470588</v>
      </c>
      <c r="FG215" s="7">
        <v>44.776470588235291</v>
      </c>
      <c r="FH215" s="7">
        <v>24.423529411764704</v>
      </c>
      <c r="FI215" s="7">
        <v>65.129411764705878</v>
      </c>
      <c r="FJ215" s="7">
        <v>2.0352941176470587</v>
      </c>
      <c r="FK215" s="7">
        <v>0</v>
      </c>
      <c r="FL215" s="7">
        <v>4.0705882352941174</v>
      </c>
      <c r="FO215" s="1">
        <v>220</v>
      </c>
      <c r="FP215" s="1">
        <v>220</v>
      </c>
      <c r="FR215" s="12" t="s">
        <v>638</v>
      </c>
      <c r="FS215" s="1" t="s">
        <v>638</v>
      </c>
      <c r="FT215" s="12">
        <v>182</v>
      </c>
      <c r="FU215" s="12"/>
      <c r="FV215" s="12">
        <v>182</v>
      </c>
      <c r="FW215" s="12">
        <v>182</v>
      </c>
      <c r="FX215" s="1">
        <v>182</v>
      </c>
      <c r="FY215" s="12" t="s">
        <v>637</v>
      </c>
      <c r="FZ215" s="12" t="s">
        <v>636</v>
      </c>
      <c r="GA215" s="1">
        <v>202</v>
      </c>
      <c r="GB215" s="1">
        <v>202</v>
      </c>
      <c r="GD215" s="1" t="s">
        <v>640</v>
      </c>
      <c r="GE215" s="1">
        <v>211</v>
      </c>
      <c r="GF215" s="1">
        <v>214</v>
      </c>
      <c r="GG215" s="1">
        <v>220</v>
      </c>
      <c r="GH215" s="1">
        <v>214</v>
      </c>
      <c r="GK215" s="1" t="s">
        <v>639</v>
      </c>
    </row>
    <row r="216" spans="1:193" ht="12.75" customHeight="1" x14ac:dyDescent="0.2">
      <c r="A216" s="1" t="s">
        <v>81</v>
      </c>
      <c r="D216" s="1" t="s">
        <v>81</v>
      </c>
      <c r="E216" s="1" t="s">
        <v>129</v>
      </c>
      <c r="F216" s="1">
        <v>1</v>
      </c>
      <c r="G216" s="1">
        <v>2045</v>
      </c>
      <c r="H216" s="1">
        <v>1</v>
      </c>
      <c r="I216" s="1">
        <v>1</v>
      </c>
      <c r="J216" s="1">
        <v>0</v>
      </c>
      <c r="K216" s="10">
        <v>1772.44</v>
      </c>
      <c r="L216" s="10">
        <v>1184.06</v>
      </c>
      <c r="M216" s="10">
        <v>2360.8200000000002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8"/>
      <c r="BQ216" s="10">
        <v>185.42</v>
      </c>
      <c r="BR216" s="10">
        <v>64.239999999999995</v>
      </c>
      <c r="BS216" s="10">
        <v>306.59999999999997</v>
      </c>
      <c r="BT216" s="10">
        <f>Tabelle58971121[[#This Row],[Mindestauslastung durch]]*Tabelle58971121[[#This Row],[installierte Leistung MW durch]]</f>
        <v>0</v>
      </c>
      <c r="BU216" s="10">
        <f>Tabelle58971121[[#This Row],[Mindestauslastung min]]*Tabelle58971121[[#This Row],[installierte Leistung MW min]]</f>
        <v>0</v>
      </c>
      <c r="BV216" s="18">
        <f>Tabelle58971121[[#This Row],[Mindestauslastung max]]*Tabelle58971121[[#This Row],[installierte Leistung MW max]]</f>
        <v>0</v>
      </c>
      <c r="BW216" s="8">
        <v>0</v>
      </c>
      <c r="BX216" s="8">
        <v>0</v>
      </c>
      <c r="BY216" s="8">
        <v>0</v>
      </c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41">
        <v>0.86</v>
      </c>
      <c r="DC216" s="41">
        <v>0.83</v>
      </c>
      <c r="DD216" s="41">
        <v>0.89</v>
      </c>
      <c r="DE216" s="10">
        <f>Tabelle58971121[[#This Row],[Durchschnittsauslastung min]]*Tabelle58971121[[#This Row],[installierte Leistung MW min]]</f>
        <v>1240.5328</v>
      </c>
      <c r="DF216" s="10">
        <f>Tabelle58971121[[#This Row],[Durchschnittsauslastung durch]]*Tabelle58971121[[#This Row],[installierte Leistung MW durch]]</f>
        <v>1711.0616</v>
      </c>
      <c r="DG216" s="48">
        <f>Tabelle58971121[[#This Row],[Durchschnittsauslastung max]]*Tabelle58971121[[#This Row],[installierte Leistung MW max]]</f>
        <v>2385.6983999999998</v>
      </c>
      <c r="DH216" s="87">
        <f>Tabelle58971121[[#This Row],[Maximalauslastung durch]]*Tabelle58971121[[#This Row],[installierte Leistung MW min]]</f>
        <v>1370.356</v>
      </c>
      <c r="DI216" s="48">
        <f>Tabelle58971121[[#This Row],[Maximalauslastung durch]]*Tabelle58971121[[#This Row],[installierte Leistung MW durch]]</f>
        <v>1958.444</v>
      </c>
      <c r="DJ216" s="10">
        <f>Tabelle58971121[[#This Row],[Maximalauslastung max]]*Tabelle58971121[[#This Row],[installierte Leistung MW durch]]</f>
        <v>1979.0591999999999</v>
      </c>
      <c r="DK216" s="8">
        <v>0.95</v>
      </c>
      <c r="DL216" s="8">
        <v>0.94</v>
      </c>
      <c r="DM216" s="8">
        <v>0.96</v>
      </c>
      <c r="DN216" s="10">
        <v>2061.52</v>
      </c>
      <c r="DO216" s="10">
        <v>1442.48</v>
      </c>
      <c r="DP216" s="10">
        <v>2680.56</v>
      </c>
      <c r="DQ216" s="1">
        <v>1.4624999999999999</v>
      </c>
      <c r="DR216" s="1">
        <v>0.25</v>
      </c>
      <c r="DS216" s="53">
        <v>3</v>
      </c>
      <c r="DT216" s="1">
        <v>1.625</v>
      </c>
      <c r="DU216" s="1">
        <v>0.5</v>
      </c>
      <c r="DV216" s="53">
        <v>3</v>
      </c>
      <c r="DW216" s="1">
        <v>5.2</v>
      </c>
      <c r="DX216" s="1">
        <v>4.7</v>
      </c>
      <c r="DY216" s="53">
        <v>5.7</v>
      </c>
      <c r="DZ216" s="1">
        <v>6</v>
      </c>
      <c r="EA216" s="1">
        <v>4.8</v>
      </c>
      <c r="EB216" s="53">
        <v>7.2</v>
      </c>
      <c r="EC216" s="1">
        <v>11.2</v>
      </c>
      <c r="ED216" s="1">
        <v>11.2</v>
      </c>
      <c r="EE216" s="53">
        <v>11.2</v>
      </c>
      <c r="EF216" s="1">
        <v>6.6</v>
      </c>
      <c r="EG216" s="1">
        <v>4.8999999999999995</v>
      </c>
      <c r="EH216" s="53">
        <v>8.2999999999999989</v>
      </c>
      <c r="EJ216" s="1" t="s">
        <v>641</v>
      </c>
      <c r="EL216" s="1">
        <v>500</v>
      </c>
      <c r="EM216" s="1">
        <v>200</v>
      </c>
      <c r="EN216" s="1">
        <v>800</v>
      </c>
      <c r="EO216" s="1">
        <v>0</v>
      </c>
      <c r="EP216" s="1">
        <v>0</v>
      </c>
      <c r="EQ216" s="1">
        <v>0</v>
      </c>
      <c r="ER216" s="1">
        <v>50</v>
      </c>
      <c r="ES216" s="1">
        <v>20</v>
      </c>
      <c r="ET216" s="1">
        <v>80</v>
      </c>
      <c r="EU216" s="1">
        <v>2.3405882352941174</v>
      </c>
      <c r="EV216" s="18">
        <v>0.81411764705882328</v>
      </c>
      <c r="EW216" s="18">
        <v>3.8670588235294114</v>
      </c>
      <c r="EX216" s="18">
        <v>203.52941176470586</v>
      </c>
      <c r="EY216" s="7">
        <v>152.64705882352939</v>
      </c>
      <c r="EZ216" s="7">
        <v>254.41176470588235</v>
      </c>
      <c r="FA216" s="7">
        <v>396.88235294117646</v>
      </c>
      <c r="FB216" s="7">
        <v>371.44117647058823</v>
      </c>
      <c r="FC216" s="7">
        <v>422.3235294117647</v>
      </c>
      <c r="FD216" s="7">
        <v>0</v>
      </c>
      <c r="FE216" s="7">
        <v>0</v>
      </c>
      <c r="FF216" s="7">
        <v>30.52941176470588</v>
      </c>
      <c r="FG216" s="7">
        <v>44.776470588235291</v>
      </c>
      <c r="FH216" s="7">
        <v>24.423529411764704</v>
      </c>
      <c r="FI216" s="7">
        <v>65.129411764705878</v>
      </c>
      <c r="FJ216" s="7">
        <v>2.0352941176470587</v>
      </c>
      <c r="FK216" s="7">
        <v>0</v>
      </c>
      <c r="FL216" s="7">
        <v>4.0705882352941174</v>
      </c>
      <c r="FO216" s="1">
        <v>220</v>
      </c>
      <c r="FP216" s="1">
        <v>220</v>
      </c>
      <c r="FR216" s="12" t="s">
        <v>638</v>
      </c>
      <c r="FS216" s="1" t="s">
        <v>638</v>
      </c>
      <c r="FT216" s="12">
        <v>182</v>
      </c>
      <c r="FU216" s="12"/>
      <c r="FV216" s="12">
        <v>182</v>
      </c>
      <c r="FW216" s="12">
        <v>182</v>
      </c>
      <c r="FX216" s="1">
        <v>182</v>
      </c>
      <c r="FY216" s="12" t="s">
        <v>637</v>
      </c>
      <c r="FZ216" s="12" t="s">
        <v>636</v>
      </c>
      <c r="GA216" s="1">
        <v>202</v>
      </c>
      <c r="GB216" s="1">
        <v>202</v>
      </c>
      <c r="GD216" s="1" t="s">
        <v>640</v>
      </c>
      <c r="GE216" s="1">
        <v>211</v>
      </c>
      <c r="GF216" s="1">
        <v>214</v>
      </c>
      <c r="GG216" s="1">
        <v>220</v>
      </c>
      <c r="GH216" s="1">
        <v>214</v>
      </c>
      <c r="GK216" s="1" t="s">
        <v>639</v>
      </c>
    </row>
    <row r="217" spans="1:193" ht="12.75" customHeight="1" x14ac:dyDescent="0.2">
      <c r="A217" s="1" t="s">
        <v>81</v>
      </c>
      <c r="D217" s="1" t="s">
        <v>81</v>
      </c>
      <c r="E217" s="1" t="s">
        <v>129</v>
      </c>
      <c r="F217" s="1">
        <v>1</v>
      </c>
      <c r="G217" s="1">
        <v>2050</v>
      </c>
      <c r="H217" s="1">
        <v>1</v>
      </c>
      <c r="I217" s="1">
        <v>1</v>
      </c>
      <c r="J217" s="1">
        <v>0</v>
      </c>
      <c r="K217" s="10">
        <v>1905.98</v>
      </c>
      <c r="L217" s="10">
        <v>1273.27</v>
      </c>
      <c r="M217" s="10">
        <v>2538.69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8"/>
      <c r="BQ217" s="10">
        <v>199.39000000000001</v>
      </c>
      <c r="BR217" s="10">
        <v>69.08</v>
      </c>
      <c r="BS217" s="10">
        <v>329.7</v>
      </c>
      <c r="BT217" s="10">
        <f>Tabelle58971121[[#This Row],[Mindestauslastung durch]]*Tabelle58971121[[#This Row],[installierte Leistung MW durch]]</f>
        <v>0</v>
      </c>
      <c r="BU217" s="10">
        <f>Tabelle58971121[[#This Row],[Mindestauslastung min]]*Tabelle58971121[[#This Row],[installierte Leistung MW min]]</f>
        <v>0</v>
      </c>
      <c r="BV217" s="18">
        <f>Tabelle58971121[[#This Row],[Mindestauslastung max]]*Tabelle58971121[[#This Row],[installierte Leistung MW max]]</f>
        <v>0</v>
      </c>
      <c r="BW217" s="8">
        <v>0</v>
      </c>
      <c r="BX217" s="8">
        <v>0</v>
      </c>
      <c r="BY217" s="8">
        <v>0</v>
      </c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41">
        <v>0.86</v>
      </c>
      <c r="DC217" s="41">
        <v>0.83</v>
      </c>
      <c r="DD217" s="41">
        <v>0.89</v>
      </c>
      <c r="DE217" s="10">
        <f>Tabelle58971121[[#This Row],[Durchschnittsauslastung min]]*Tabelle58971121[[#This Row],[installierte Leistung MW min]]</f>
        <v>1333.9976000000001</v>
      </c>
      <c r="DF217" s="10">
        <f>Tabelle58971121[[#This Row],[Durchschnittsauslastung durch]]*Tabelle58971121[[#This Row],[installierte Leistung MW durch]]</f>
        <v>1839.9772</v>
      </c>
      <c r="DG217" s="48">
        <f>Tabelle58971121[[#This Row],[Durchschnittsauslastung max]]*Tabelle58971121[[#This Row],[installierte Leistung MW max]]</f>
        <v>2565.4427999999998</v>
      </c>
      <c r="DH217" s="87">
        <f>Tabelle58971121[[#This Row],[Maximalauslastung durch]]*Tabelle58971121[[#This Row],[installierte Leistung MW min]]</f>
        <v>1473.6020000000001</v>
      </c>
      <c r="DI217" s="48">
        <f>Tabelle58971121[[#This Row],[Maximalauslastung durch]]*Tabelle58971121[[#This Row],[installierte Leistung MW durch]]</f>
        <v>2105.998</v>
      </c>
      <c r="DJ217" s="10">
        <f>Tabelle58971121[[#This Row],[Maximalauslastung max]]*Tabelle58971121[[#This Row],[installierte Leistung MW durch]]</f>
        <v>2128.1664000000001</v>
      </c>
      <c r="DK217" s="8">
        <v>0.95</v>
      </c>
      <c r="DL217" s="8">
        <v>0.94</v>
      </c>
      <c r="DM217" s="8">
        <v>0.96</v>
      </c>
      <c r="DN217" s="10">
        <v>2216.84</v>
      </c>
      <c r="DO217" s="10">
        <v>1551.16</v>
      </c>
      <c r="DP217" s="10">
        <v>2882.52</v>
      </c>
      <c r="DQ217" s="1">
        <v>1.4624999999999999</v>
      </c>
      <c r="DR217" s="1">
        <v>0.25</v>
      </c>
      <c r="DS217" s="53">
        <v>3</v>
      </c>
      <c r="DT217" s="1">
        <v>1.625</v>
      </c>
      <c r="DU217" s="1">
        <v>0.5</v>
      </c>
      <c r="DV217" s="53">
        <v>3</v>
      </c>
      <c r="DW217" s="1">
        <v>5.2</v>
      </c>
      <c r="DX217" s="1">
        <v>4.7</v>
      </c>
      <c r="DY217" s="53">
        <v>5.7</v>
      </c>
      <c r="DZ217" s="1">
        <v>6</v>
      </c>
      <c r="EA217" s="1">
        <v>4.8</v>
      </c>
      <c r="EB217" s="53">
        <v>7.2</v>
      </c>
      <c r="EC217" s="1">
        <v>11.2</v>
      </c>
      <c r="ED217" s="1">
        <v>11.2</v>
      </c>
      <c r="EE217" s="53">
        <v>11.2</v>
      </c>
      <c r="EF217" s="1">
        <v>6.6</v>
      </c>
      <c r="EG217" s="1">
        <v>4.8999999999999995</v>
      </c>
      <c r="EH217" s="53">
        <v>8.2999999999999989</v>
      </c>
      <c r="EJ217" s="1" t="s">
        <v>641</v>
      </c>
      <c r="EL217" s="1">
        <v>500</v>
      </c>
      <c r="EM217" s="1">
        <v>200</v>
      </c>
      <c r="EN217" s="1">
        <v>800</v>
      </c>
      <c r="EO217" s="1">
        <v>0</v>
      </c>
      <c r="EP217" s="1">
        <v>0</v>
      </c>
      <c r="EQ217" s="1">
        <v>0</v>
      </c>
      <c r="ER217" s="1">
        <v>50</v>
      </c>
      <c r="ES217" s="1">
        <v>20</v>
      </c>
      <c r="ET217" s="1">
        <v>80</v>
      </c>
      <c r="EU217" s="1">
        <v>2.3405882352941174</v>
      </c>
      <c r="EV217" s="18">
        <v>0.81411764705882328</v>
      </c>
      <c r="EW217" s="18">
        <v>3.8670588235294114</v>
      </c>
      <c r="EX217" s="18">
        <v>203.52941176470586</v>
      </c>
      <c r="EY217" s="7">
        <v>152.64705882352939</v>
      </c>
      <c r="EZ217" s="7">
        <v>254.41176470588235</v>
      </c>
      <c r="FA217" s="7">
        <v>396.88235294117646</v>
      </c>
      <c r="FB217" s="7">
        <v>371.44117647058823</v>
      </c>
      <c r="FC217" s="7">
        <v>422.3235294117647</v>
      </c>
      <c r="FD217" s="7">
        <v>0</v>
      </c>
      <c r="FE217" s="7">
        <v>0</v>
      </c>
      <c r="FF217" s="7">
        <v>30.52941176470588</v>
      </c>
      <c r="FG217" s="7">
        <v>44.776470588235291</v>
      </c>
      <c r="FH217" s="7">
        <v>24.423529411764704</v>
      </c>
      <c r="FI217" s="7">
        <v>65.129411764705878</v>
      </c>
      <c r="FJ217" s="7">
        <v>2.0352941176470587</v>
      </c>
      <c r="FK217" s="7">
        <v>0</v>
      </c>
      <c r="FL217" s="7">
        <v>4.0705882352941174</v>
      </c>
      <c r="FO217" s="1">
        <v>220</v>
      </c>
      <c r="FP217" s="1">
        <v>220</v>
      </c>
      <c r="FR217" s="12" t="s">
        <v>638</v>
      </c>
      <c r="FS217" s="1" t="s">
        <v>638</v>
      </c>
      <c r="FT217" s="12">
        <v>182</v>
      </c>
      <c r="FU217" s="12"/>
      <c r="FV217" s="12">
        <v>182</v>
      </c>
      <c r="FW217" s="12">
        <v>182</v>
      </c>
      <c r="FX217" s="1">
        <v>182</v>
      </c>
      <c r="FY217" s="12" t="s">
        <v>637</v>
      </c>
      <c r="FZ217" s="12" t="s">
        <v>636</v>
      </c>
      <c r="GA217" s="1">
        <v>202</v>
      </c>
      <c r="GB217" s="1">
        <v>202</v>
      </c>
      <c r="GD217" s="1" t="s">
        <v>640</v>
      </c>
      <c r="GE217" s="1">
        <v>211</v>
      </c>
      <c r="GF217" s="1">
        <v>214</v>
      </c>
      <c r="GG217" s="1">
        <v>220</v>
      </c>
      <c r="GH217" s="1">
        <v>214</v>
      </c>
      <c r="GK217" s="1" t="s">
        <v>639</v>
      </c>
    </row>
    <row r="218" spans="1:193" ht="12.75" customHeight="1" x14ac:dyDescent="0.2">
      <c r="A218" s="1" t="s">
        <v>41</v>
      </c>
      <c r="D218" s="1" t="s">
        <v>571</v>
      </c>
      <c r="E218" s="1" t="s">
        <v>129</v>
      </c>
      <c r="F218" s="1">
        <v>1</v>
      </c>
      <c r="G218" s="1">
        <v>2015</v>
      </c>
      <c r="H218" s="1">
        <v>1</v>
      </c>
      <c r="I218" s="1">
        <v>1</v>
      </c>
      <c r="J218" s="1">
        <v>0</v>
      </c>
      <c r="K218" s="10">
        <v>146</v>
      </c>
      <c r="L218" s="10">
        <v>114</v>
      </c>
      <c r="M218" s="10">
        <v>178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8"/>
      <c r="BQ218" s="10">
        <v>27</v>
      </c>
      <c r="BR218" s="10">
        <v>9</v>
      </c>
      <c r="BS218" s="10">
        <v>45</v>
      </c>
      <c r="BT218" s="10">
        <f>Tabelle58971121[[#This Row],[Mindestauslastung durch]]*Tabelle58971121[[#This Row],[installierte Leistung MW durch]]</f>
        <v>0</v>
      </c>
      <c r="BU218" s="10">
        <f>Tabelle58971121[[#This Row],[Mindestauslastung min]]*Tabelle58971121[[#This Row],[installierte Leistung MW min]]</f>
        <v>0</v>
      </c>
      <c r="BV218" s="18">
        <f>Tabelle58971121[[#This Row],[Mindestauslastung max]]*Tabelle58971121[[#This Row],[installierte Leistung MW max]]</f>
        <v>0</v>
      </c>
      <c r="BW218" s="8">
        <v>0</v>
      </c>
      <c r="BX218" s="8">
        <v>0</v>
      </c>
      <c r="BY218" s="8">
        <v>0</v>
      </c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41">
        <v>0.8</v>
      </c>
      <c r="DC218" s="41">
        <v>0.72</v>
      </c>
      <c r="DD218" s="41">
        <v>0.88</v>
      </c>
      <c r="DE218" s="10">
        <f>Tabelle58971121[[#This Row],[Durchschnittsauslastung min]]*Tabelle58971121[[#This Row],[installierte Leistung MW min]]</f>
        <v>128.80000000000001</v>
      </c>
      <c r="DF218" s="10">
        <f>Tabelle58971121[[#This Row],[Durchschnittsauslastung durch]]*Tabelle58971121[[#This Row],[installierte Leistung MW durch]]</f>
        <v>131.76</v>
      </c>
      <c r="DG218" s="48">
        <f>Tabelle58971121[[#This Row],[Durchschnittsauslastung max]]*Tabelle58971121[[#This Row],[installierte Leistung MW max]]</f>
        <v>180.4</v>
      </c>
      <c r="DH218" s="87">
        <f>Tabelle58971121[[#This Row],[Maximalauslastung durch]]*Tabelle58971121[[#This Row],[installierte Leistung MW min]]</f>
        <v>152.94999999999999</v>
      </c>
      <c r="DI218" s="48">
        <f>Tabelle58971121[[#This Row],[Maximalauslastung durch]]*Tabelle58971121[[#This Row],[installierte Leistung MW durch]]</f>
        <v>173.85</v>
      </c>
      <c r="DJ218" s="10">
        <f>Tabelle58971121[[#This Row],[Maximalauslastung max]]*Tabelle58971121[[#This Row],[installierte Leistung MW durch]]</f>
        <v>175.68</v>
      </c>
      <c r="DK218" s="8">
        <v>0.95</v>
      </c>
      <c r="DL218" s="8">
        <v>0.94</v>
      </c>
      <c r="DM218" s="8">
        <v>0.96</v>
      </c>
      <c r="DN218" s="10">
        <v>183</v>
      </c>
      <c r="DO218" s="10">
        <v>161</v>
      </c>
      <c r="DP218" s="10">
        <v>205</v>
      </c>
      <c r="DQ218" s="1">
        <v>0.24374999999999999</v>
      </c>
      <c r="DR218" s="1">
        <v>2.7777777777777778E-4</v>
      </c>
      <c r="DS218" s="53">
        <v>1</v>
      </c>
      <c r="DT218" s="1">
        <v>0.24374999999999999</v>
      </c>
      <c r="DU218" s="1">
        <v>2.7777777777777778E-4</v>
      </c>
      <c r="DV218" s="53">
        <v>1</v>
      </c>
      <c r="DW218" s="1">
        <v>2.8</v>
      </c>
      <c r="DX218" s="1">
        <v>2.5</v>
      </c>
      <c r="DY218" s="53">
        <v>3.0999999999999996</v>
      </c>
      <c r="DZ218" s="1">
        <v>3</v>
      </c>
      <c r="EA218" s="1">
        <v>2.7</v>
      </c>
      <c r="EB218" s="53">
        <v>3.3</v>
      </c>
      <c r="EC218" s="1">
        <v>5.8</v>
      </c>
      <c r="ED218" s="1">
        <v>5.8</v>
      </c>
      <c r="EE218" s="53">
        <v>5.8</v>
      </c>
      <c r="EF218" s="1">
        <v>3.6</v>
      </c>
      <c r="EG218" s="1">
        <v>2.9000000000000004</v>
      </c>
      <c r="EH218" s="53">
        <v>4.3</v>
      </c>
      <c r="EJ218" s="1" t="s">
        <v>641</v>
      </c>
      <c r="EL218" s="1">
        <v>315</v>
      </c>
      <c r="EM218" s="1">
        <v>265</v>
      </c>
      <c r="EN218" s="1">
        <v>365</v>
      </c>
      <c r="EO218" s="1">
        <v>35</v>
      </c>
      <c r="EP218" s="1">
        <v>20</v>
      </c>
      <c r="EQ218" s="1">
        <v>50</v>
      </c>
      <c r="ER218" s="1">
        <v>315</v>
      </c>
      <c r="ES218" s="1">
        <v>265</v>
      </c>
      <c r="ET218" s="1">
        <v>365</v>
      </c>
      <c r="EU218" s="1">
        <v>7.8358823529411765</v>
      </c>
      <c r="EV218" s="18">
        <v>4.7829411764705885</v>
      </c>
      <c r="EW218" s="18">
        <v>10.888823529411763</v>
      </c>
      <c r="EX218" s="18">
        <v>223.88235294117646</v>
      </c>
      <c r="EY218" s="7">
        <v>183.17647058823528</v>
      </c>
      <c r="EZ218" s="7">
        <v>264.58823529411762</v>
      </c>
      <c r="FA218" s="7">
        <v>260.51764705882351</v>
      </c>
      <c r="FB218" s="7">
        <v>227.95294117647057</v>
      </c>
      <c r="FC218" s="7">
        <v>293.08235294117645</v>
      </c>
      <c r="FD218" s="7">
        <v>0</v>
      </c>
      <c r="FE218" s="7">
        <v>0</v>
      </c>
      <c r="FF218" s="7">
        <v>0</v>
      </c>
      <c r="FG218" s="7">
        <v>0</v>
      </c>
      <c r="FH218" s="7">
        <v>0</v>
      </c>
      <c r="FI218" s="7">
        <v>0</v>
      </c>
      <c r="FJ218" s="7">
        <v>2.0352941176470587</v>
      </c>
      <c r="FK218" s="7">
        <v>0</v>
      </c>
      <c r="FL218" s="7">
        <v>4.0705882352941174</v>
      </c>
      <c r="FO218" s="1">
        <v>220</v>
      </c>
      <c r="FP218" s="1">
        <v>220</v>
      </c>
      <c r="FR218" s="12" t="s">
        <v>638</v>
      </c>
      <c r="FS218" s="1" t="s">
        <v>638</v>
      </c>
      <c r="FT218" s="12">
        <v>182</v>
      </c>
      <c r="FU218" s="12"/>
      <c r="FV218" s="12">
        <v>182</v>
      </c>
      <c r="FW218" s="12">
        <v>182</v>
      </c>
      <c r="FX218" s="1">
        <v>182</v>
      </c>
      <c r="FY218" s="12" t="s">
        <v>637</v>
      </c>
      <c r="FZ218" s="12" t="s">
        <v>636</v>
      </c>
      <c r="GA218" s="1">
        <v>202</v>
      </c>
      <c r="GB218" s="1">
        <v>202</v>
      </c>
      <c r="GD218" s="1" t="s">
        <v>640</v>
      </c>
      <c r="GE218" s="1">
        <v>211</v>
      </c>
      <c r="GF218" s="1">
        <v>214</v>
      </c>
      <c r="GG218" s="1">
        <v>220</v>
      </c>
      <c r="GH218" s="1">
        <v>214</v>
      </c>
      <c r="GK218" s="1" t="s">
        <v>639</v>
      </c>
    </row>
    <row r="219" spans="1:193" ht="12.75" customHeight="1" x14ac:dyDescent="0.2">
      <c r="A219" s="1" t="s">
        <v>41</v>
      </c>
      <c r="D219" s="1" t="s">
        <v>571</v>
      </c>
      <c r="E219" s="1" t="s">
        <v>129</v>
      </c>
      <c r="F219" s="1">
        <v>1</v>
      </c>
      <c r="G219" s="1">
        <v>2020</v>
      </c>
      <c r="H219" s="1">
        <v>1</v>
      </c>
      <c r="I219" s="1">
        <v>1</v>
      </c>
      <c r="J219" s="1">
        <v>0</v>
      </c>
      <c r="K219" s="10">
        <v>147.46</v>
      </c>
      <c r="L219" s="10">
        <v>115.14</v>
      </c>
      <c r="M219" s="10">
        <v>179.78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8"/>
      <c r="BQ219" s="10">
        <v>27.27</v>
      </c>
      <c r="BR219" s="10">
        <v>9.09</v>
      </c>
      <c r="BS219" s="10">
        <v>45.45</v>
      </c>
      <c r="BT219" s="10">
        <f>Tabelle58971121[[#This Row],[Mindestauslastung durch]]*Tabelle58971121[[#This Row],[installierte Leistung MW durch]]</f>
        <v>0</v>
      </c>
      <c r="BU219" s="10">
        <f>Tabelle58971121[[#This Row],[Mindestauslastung min]]*Tabelle58971121[[#This Row],[installierte Leistung MW min]]</f>
        <v>0</v>
      </c>
      <c r="BV219" s="18">
        <f>Tabelle58971121[[#This Row],[Mindestauslastung max]]*Tabelle58971121[[#This Row],[installierte Leistung MW max]]</f>
        <v>0</v>
      </c>
      <c r="BW219" s="8">
        <v>0</v>
      </c>
      <c r="BX219" s="8">
        <v>0</v>
      </c>
      <c r="BY219" s="8">
        <v>0</v>
      </c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41">
        <v>0.8</v>
      </c>
      <c r="DC219" s="41">
        <v>0.72</v>
      </c>
      <c r="DD219" s="41">
        <v>0.88</v>
      </c>
      <c r="DE219" s="10">
        <f>Tabelle58971121[[#This Row],[Durchschnittsauslastung min]]*Tabelle58971121[[#This Row],[installierte Leistung MW min]]</f>
        <v>130.08800000000002</v>
      </c>
      <c r="DF219" s="10">
        <f>Tabelle58971121[[#This Row],[Durchschnittsauslastung durch]]*Tabelle58971121[[#This Row],[installierte Leistung MW durch]]</f>
        <v>133.07760000000002</v>
      </c>
      <c r="DG219" s="48">
        <f>Tabelle58971121[[#This Row],[Durchschnittsauslastung max]]*Tabelle58971121[[#This Row],[installierte Leistung MW max]]</f>
        <v>182.20400000000001</v>
      </c>
      <c r="DH219" s="87">
        <f>Tabelle58971121[[#This Row],[Maximalauslastung durch]]*Tabelle58971121[[#This Row],[installierte Leistung MW min]]</f>
        <v>154.4795</v>
      </c>
      <c r="DI219" s="48">
        <f>Tabelle58971121[[#This Row],[Maximalauslastung durch]]*Tabelle58971121[[#This Row],[installierte Leistung MW durch]]</f>
        <v>175.58850000000001</v>
      </c>
      <c r="DJ219" s="10">
        <f>Tabelle58971121[[#This Row],[Maximalauslastung max]]*Tabelle58971121[[#This Row],[installierte Leistung MW durch]]</f>
        <v>177.43680000000001</v>
      </c>
      <c r="DK219" s="8">
        <v>0.95</v>
      </c>
      <c r="DL219" s="8">
        <v>0.94</v>
      </c>
      <c r="DM219" s="8">
        <v>0.96</v>
      </c>
      <c r="DN219" s="10">
        <v>184.83</v>
      </c>
      <c r="DO219" s="10">
        <v>162.61000000000001</v>
      </c>
      <c r="DP219" s="10">
        <v>207.05</v>
      </c>
      <c r="DQ219" s="1">
        <v>0.24374999999999999</v>
      </c>
      <c r="DR219" s="1">
        <v>2.7777777777777778E-4</v>
      </c>
      <c r="DS219" s="53">
        <v>1</v>
      </c>
      <c r="DT219" s="1">
        <v>0.24374999999999999</v>
      </c>
      <c r="DU219" s="1">
        <v>2.7777777777777778E-4</v>
      </c>
      <c r="DV219" s="53">
        <v>1</v>
      </c>
      <c r="DW219" s="1">
        <v>2.8</v>
      </c>
      <c r="DX219" s="1">
        <v>2.5</v>
      </c>
      <c r="DY219" s="53">
        <v>3.0999999999999996</v>
      </c>
      <c r="DZ219" s="1">
        <v>3</v>
      </c>
      <c r="EA219" s="1">
        <v>2.7</v>
      </c>
      <c r="EB219" s="53">
        <v>3.3</v>
      </c>
      <c r="EC219" s="1">
        <v>5.8</v>
      </c>
      <c r="ED219" s="1">
        <v>5.8</v>
      </c>
      <c r="EE219" s="53">
        <v>5.8</v>
      </c>
      <c r="EF219" s="1">
        <v>3.6</v>
      </c>
      <c r="EG219" s="1">
        <v>2.9000000000000004</v>
      </c>
      <c r="EH219" s="53">
        <v>4.3</v>
      </c>
      <c r="EJ219" s="1" t="s">
        <v>641</v>
      </c>
      <c r="EL219" s="1">
        <v>315</v>
      </c>
      <c r="EM219" s="1">
        <v>265</v>
      </c>
      <c r="EN219" s="1">
        <v>365</v>
      </c>
      <c r="EO219" s="1">
        <v>35</v>
      </c>
      <c r="EP219" s="1">
        <v>20</v>
      </c>
      <c r="EQ219" s="1">
        <v>50</v>
      </c>
      <c r="ER219" s="1">
        <v>315</v>
      </c>
      <c r="ES219" s="1">
        <v>265</v>
      </c>
      <c r="ET219" s="1">
        <v>365</v>
      </c>
      <c r="EU219" s="1">
        <v>7.8358823529411765</v>
      </c>
      <c r="EV219" s="18">
        <v>4.7829411764705885</v>
      </c>
      <c r="EW219" s="18">
        <v>10.888823529411763</v>
      </c>
      <c r="EX219" s="18">
        <v>223.88235294117646</v>
      </c>
      <c r="EY219" s="7">
        <v>183.17647058823528</v>
      </c>
      <c r="EZ219" s="7">
        <v>264.58823529411762</v>
      </c>
      <c r="FA219" s="7">
        <v>260.51764705882351</v>
      </c>
      <c r="FB219" s="7">
        <v>227.95294117647057</v>
      </c>
      <c r="FC219" s="7">
        <v>293.08235294117645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7">
        <v>2.0352941176470587</v>
      </c>
      <c r="FK219" s="7">
        <v>0</v>
      </c>
      <c r="FL219" s="7">
        <v>4.0705882352941174</v>
      </c>
      <c r="FO219" s="1">
        <v>220</v>
      </c>
      <c r="FP219" s="1">
        <v>220</v>
      </c>
      <c r="FR219" s="12" t="s">
        <v>638</v>
      </c>
      <c r="FS219" s="1" t="s">
        <v>638</v>
      </c>
      <c r="FT219" s="12">
        <v>182</v>
      </c>
      <c r="FU219" s="12"/>
      <c r="FV219" s="12">
        <v>182</v>
      </c>
      <c r="FW219" s="12">
        <v>182</v>
      </c>
      <c r="FX219" s="1">
        <v>182</v>
      </c>
      <c r="FY219" s="12" t="s">
        <v>637</v>
      </c>
      <c r="FZ219" s="12" t="s">
        <v>636</v>
      </c>
      <c r="GA219" s="1">
        <v>202</v>
      </c>
      <c r="GB219" s="1">
        <v>202</v>
      </c>
      <c r="GD219" s="1" t="s">
        <v>640</v>
      </c>
      <c r="GE219" s="1">
        <v>211</v>
      </c>
      <c r="GF219" s="1">
        <v>214</v>
      </c>
      <c r="GG219" s="1">
        <v>220</v>
      </c>
      <c r="GH219" s="1">
        <v>214</v>
      </c>
      <c r="GK219" s="1" t="s">
        <v>639</v>
      </c>
    </row>
    <row r="220" spans="1:193" ht="12.75" customHeight="1" x14ac:dyDescent="0.2">
      <c r="A220" s="1" t="s">
        <v>41</v>
      </c>
      <c r="D220" s="1" t="s">
        <v>571</v>
      </c>
      <c r="E220" s="1" t="s">
        <v>129</v>
      </c>
      <c r="F220" s="1">
        <v>1</v>
      </c>
      <c r="G220" s="1">
        <v>2025</v>
      </c>
      <c r="H220" s="1">
        <v>1</v>
      </c>
      <c r="I220" s="1">
        <v>1</v>
      </c>
      <c r="J220" s="1">
        <v>0</v>
      </c>
      <c r="K220" s="10">
        <v>148.92000000000002</v>
      </c>
      <c r="L220" s="10">
        <v>116.28</v>
      </c>
      <c r="M220" s="10">
        <v>181.56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8"/>
      <c r="BQ220" s="10">
        <v>27.54</v>
      </c>
      <c r="BR220" s="10">
        <v>9.18</v>
      </c>
      <c r="BS220" s="10">
        <v>45.9</v>
      </c>
      <c r="BT220" s="10">
        <f>Tabelle58971121[[#This Row],[Mindestauslastung durch]]*Tabelle58971121[[#This Row],[installierte Leistung MW durch]]</f>
        <v>0</v>
      </c>
      <c r="BU220" s="10">
        <f>Tabelle58971121[[#This Row],[Mindestauslastung min]]*Tabelle58971121[[#This Row],[installierte Leistung MW min]]</f>
        <v>0</v>
      </c>
      <c r="BV220" s="18">
        <f>Tabelle58971121[[#This Row],[Mindestauslastung max]]*Tabelle58971121[[#This Row],[installierte Leistung MW max]]</f>
        <v>0</v>
      </c>
      <c r="BW220" s="8">
        <v>0</v>
      </c>
      <c r="BX220" s="8">
        <v>0</v>
      </c>
      <c r="BY220" s="8">
        <v>0</v>
      </c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41">
        <v>0.8</v>
      </c>
      <c r="DC220" s="41">
        <v>0.72</v>
      </c>
      <c r="DD220" s="41">
        <v>0.88</v>
      </c>
      <c r="DE220" s="10">
        <f>Tabelle58971121[[#This Row],[Durchschnittsauslastung min]]*Tabelle58971121[[#This Row],[installierte Leistung MW min]]</f>
        <v>131.376</v>
      </c>
      <c r="DF220" s="10">
        <f>Tabelle58971121[[#This Row],[Durchschnittsauslastung durch]]*Tabelle58971121[[#This Row],[installierte Leistung MW durch]]</f>
        <v>134.39519999999999</v>
      </c>
      <c r="DG220" s="48">
        <f>Tabelle58971121[[#This Row],[Durchschnittsauslastung max]]*Tabelle58971121[[#This Row],[installierte Leistung MW max]]</f>
        <v>184.00800000000001</v>
      </c>
      <c r="DH220" s="87">
        <f>Tabelle58971121[[#This Row],[Maximalauslastung durch]]*Tabelle58971121[[#This Row],[installierte Leistung MW min]]</f>
        <v>156.00899999999999</v>
      </c>
      <c r="DI220" s="48">
        <f>Tabelle58971121[[#This Row],[Maximalauslastung durch]]*Tabelle58971121[[#This Row],[installierte Leistung MW durch]]</f>
        <v>177.327</v>
      </c>
      <c r="DJ220" s="10">
        <f>Tabelle58971121[[#This Row],[Maximalauslastung max]]*Tabelle58971121[[#This Row],[installierte Leistung MW durch]]</f>
        <v>179.1936</v>
      </c>
      <c r="DK220" s="8">
        <v>0.95</v>
      </c>
      <c r="DL220" s="8">
        <v>0.94</v>
      </c>
      <c r="DM220" s="8">
        <v>0.96</v>
      </c>
      <c r="DN220" s="10">
        <v>186.66</v>
      </c>
      <c r="DO220" s="10">
        <v>164.22</v>
      </c>
      <c r="DP220" s="10">
        <v>209.1</v>
      </c>
      <c r="DQ220" s="1">
        <v>0.24374999999999999</v>
      </c>
      <c r="DR220" s="1">
        <v>2.7777777777777778E-4</v>
      </c>
      <c r="DS220" s="53">
        <v>1</v>
      </c>
      <c r="DT220" s="1">
        <v>0.24374999999999999</v>
      </c>
      <c r="DU220" s="1">
        <v>2.7777777777777778E-4</v>
      </c>
      <c r="DV220" s="53">
        <v>1</v>
      </c>
      <c r="DW220" s="1">
        <v>2.8</v>
      </c>
      <c r="DX220" s="1">
        <v>2.5</v>
      </c>
      <c r="DY220" s="53">
        <v>3.0999999999999996</v>
      </c>
      <c r="DZ220" s="1">
        <v>3</v>
      </c>
      <c r="EA220" s="1">
        <v>2.7</v>
      </c>
      <c r="EB220" s="53">
        <v>3.3</v>
      </c>
      <c r="EC220" s="1">
        <v>5.8</v>
      </c>
      <c r="ED220" s="1">
        <v>5.8</v>
      </c>
      <c r="EE220" s="53">
        <v>5.8</v>
      </c>
      <c r="EF220" s="1">
        <v>3.6</v>
      </c>
      <c r="EG220" s="1">
        <v>2.9000000000000004</v>
      </c>
      <c r="EH220" s="53">
        <v>4.3</v>
      </c>
      <c r="EJ220" s="1" t="s">
        <v>641</v>
      </c>
      <c r="EL220" s="1">
        <v>315</v>
      </c>
      <c r="EM220" s="1">
        <v>265</v>
      </c>
      <c r="EN220" s="1">
        <v>365</v>
      </c>
      <c r="EO220" s="1">
        <v>35</v>
      </c>
      <c r="EP220" s="1">
        <v>20</v>
      </c>
      <c r="EQ220" s="1">
        <v>50</v>
      </c>
      <c r="ER220" s="1">
        <v>315</v>
      </c>
      <c r="ES220" s="1">
        <v>265</v>
      </c>
      <c r="ET220" s="1">
        <v>365</v>
      </c>
      <c r="EU220" s="1">
        <v>7.8358823529411765</v>
      </c>
      <c r="EV220" s="18">
        <v>4.7829411764705885</v>
      </c>
      <c r="EW220" s="18">
        <v>10.888823529411763</v>
      </c>
      <c r="EX220" s="18">
        <v>223.88235294117646</v>
      </c>
      <c r="EY220" s="7">
        <v>183.17647058823528</v>
      </c>
      <c r="EZ220" s="7">
        <v>264.58823529411762</v>
      </c>
      <c r="FA220" s="7">
        <v>260.51764705882351</v>
      </c>
      <c r="FB220" s="7">
        <v>227.95294117647057</v>
      </c>
      <c r="FC220" s="7">
        <v>293.08235294117645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  <c r="FI220" s="7">
        <v>0</v>
      </c>
      <c r="FJ220" s="7">
        <v>2.0352941176470587</v>
      </c>
      <c r="FK220" s="7">
        <v>0</v>
      </c>
      <c r="FL220" s="7">
        <v>4.0705882352941174</v>
      </c>
      <c r="FO220" s="1">
        <v>220</v>
      </c>
      <c r="FP220" s="1">
        <v>220</v>
      </c>
      <c r="FR220" s="12" t="s">
        <v>638</v>
      </c>
      <c r="FS220" s="1" t="s">
        <v>638</v>
      </c>
      <c r="FT220" s="12">
        <v>182</v>
      </c>
      <c r="FU220" s="12"/>
      <c r="FV220" s="12">
        <v>182</v>
      </c>
      <c r="FW220" s="12">
        <v>182</v>
      </c>
      <c r="FX220" s="1">
        <v>182</v>
      </c>
      <c r="FY220" s="12" t="s">
        <v>637</v>
      </c>
      <c r="FZ220" s="12" t="s">
        <v>636</v>
      </c>
      <c r="GA220" s="1">
        <v>202</v>
      </c>
      <c r="GB220" s="1">
        <v>202</v>
      </c>
      <c r="GD220" s="1" t="s">
        <v>640</v>
      </c>
      <c r="GE220" s="1">
        <v>211</v>
      </c>
      <c r="GF220" s="1">
        <v>214</v>
      </c>
      <c r="GG220" s="1">
        <v>220</v>
      </c>
      <c r="GH220" s="1">
        <v>214</v>
      </c>
      <c r="GK220" s="1" t="s">
        <v>639</v>
      </c>
    </row>
    <row r="221" spans="1:193" ht="12.75" customHeight="1" x14ac:dyDescent="0.2">
      <c r="A221" s="1" t="s">
        <v>41</v>
      </c>
      <c r="D221" s="1" t="s">
        <v>571</v>
      </c>
      <c r="E221" s="1" t="s">
        <v>129</v>
      </c>
      <c r="F221" s="1">
        <v>1</v>
      </c>
      <c r="G221" s="1">
        <v>2030</v>
      </c>
      <c r="H221" s="1">
        <v>1</v>
      </c>
      <c r="I221" s="1">
        <v>1</v>
      </c>
      <c r="J221" s="1">
        <v>0</v>
      </c>
      <c r="K221" s="10">
        <v>150.38</v>
      </c>
      <c r="L221" s="10">
        <v>117.42</v>
      </c>
      <c r="M221" s="10">
        <v>183.34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8"/>
      <c r="BQ221" s="10">
        <v>27.810000000000002</v>
      </c>
      <c r="BR221" s="10">
        <v>9.27</v>
      </c>
      <c r="BS221" s="10">
        <v>46.35</v>
      </c>
      <c r="BT221" s="10">
        <f>Tabelle58971121[[#This Row],[Mindestauslastung durch]]*Tabelle58971121[[#This Row],[installierte Leistung MW durch]]</f>
        <v>0</v>
      </c>
      <c r="BU221" s="10">
        <f>Tabelle58971121[[#This Row],[Mindestauslastung min]]*Tabelle58971121[[#This Row],[installierte Leistung MW min]]</f>
        <v>0</v>
      </c>
      <c r="BV221" s="18">
        <f>Tabelle58971121[[#This Row],[Mindestauslastung max]]*Tabelle58971121[[#This Row],[installierte Leistung MW max]]</f>
        <v>0</v>
      </c>
      <c r="BW221" s="8">
        <v>0</v>
      </c>
      <c r="BX221" s="8">
        <v>0</v>
      </c>
      <c r="BY221" s="8">
        <v>0</v>
      </c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41">
        <v>0.8</v>
      </c>
      <c r="DC221" s="41">
        <v>0.72</v>
      </c>
      <c r="DD221" s="41">
        <v>0.88</v>
      </c>
      <c r="DE221" s="10">
        <f>Tabelle58971121[[#This Row],[Durchschnittsauslastung min]]*Tabelle58971121[[#This Row],[installierte Leistung MW min]]</f>
        <v>132.66400000000002</v>
      </c>
      <c r="DF221" s="10">
        <f>Tabelle58971121[[#This Row],[Durchschnittsauslastung durch]]*Tabelle58971121[[#This Row],[installierte Leistung MW durch]]</f>
        <v>135.71280000000002</v>
      </c>
      <c r="DG221" s="48">
        <f>Tabelle58971121[[#This Row],[Durchschnittsauslastung max]]*Tabelle58971121[[#This Row],[installierte Leistung MW max]]</f>
        <v>185.81200000000001</v>
      </c>
      <c r="DH221" s="87">
        <f>Tabelle58971121[[#This Row],[Maximalauslastung durch]]*Tabelle58971121[[#This Row],[installierte Leistung MW min]]</f>
        <v>157.5385</v>
      </c>
      <c r="DI221" s="48">
        <f>Tabelle58971121[[#This Row],[Maximalauslastung durch]]*Tabelle58971121[[#This Row],[installierte Leistung MW durch]]</f>
        <v>179.06550000000001</v>
      </c>
      <c r="DJ221" s="10">
        <f>Tabelle58971121[[#This Row],[Maximalauslastung max]]*Tabelle58971121[[#This Row],[installierte Leistung MW durch]]</f>
        <v>180.9504</v>
      </c>
      <c r="DK221" s="8">
        <v>0.95</v>
      </c>
      <c r="DL221" s="8">
        <v>0.94</v>
      </c>
      <c r="DM221" s="8">
        <v>0.96</v>
      </c>
      <c r="DN221" s="10">
        <v>188.49</v>
      </c>
      <c r="DO221" s="10">
        <v>165.83</v>
      </c>
      <c r="DP221" s="10">
        <v>211.15</v>
      </c>
      <c r="DQ221" s="1">
        <v>0.24374999999999999</v>
      </c>
      <c r="DR221" s="1">
        <v>2.7777777777777778E-4</v>
      </c>
      <c r="DS221" s="53">
        <v>1</v>
      </c>
      <c r="DT221" s="1">
        <v>0.24374999999999999</v>
      </c>
      <c r="DU221" s="1">
        <v>2.7777777777777778E-4</v>
      </c>
      <c r="DV221" s="53">
        <v>1</v>
      </c>
      <c r="DW221" s="1">
        <v>2.8</v>
      </c>
      <c r="DX221" s="1">
        <v>2.5</v>
      </c>
      <c r="DY221" s="53">
        <v>3.0999999999999996</v>
      </c>
      <c r="DZ221" s="1">
        <v>3</v>
      </c>
      <c r="EA221" s="1">
        <v>2.7</v>
      </c>
      <c r="EB221" s="53">
        <v>3.3</v>
      </c>
      <c r="EC221" s="1">
        <v>5.8</v>
      </c>
      <c r="ED221" s="1">
        <v>5.8</v>
      </c>
      <c r="EE221" s="53">
        <v>5.8</v>
      </c>
      <c r="EF221" s="1">
        <v>3.6</v>
      </c>
      <c r="EG221" s="1">
        <v>2.9000000000000004</v>
      </c>
      <c r="EH221" s="53">
        <v>4.3</v>
      </c>
      <c r="EJ221" s="1" t="s">
        <v>641</v>
      </c>
      <c r="EL221" s="1">
        <v>315</v>
      </c>
      <c r="EM221" s="1">
        <v>265</v>
      </c>
      <c r="EN221" s="1">
        <v>365</v>
      </c>
      <c r="EO221" s="1">
        <v>35</v>
      </c>
      <c r="EP221" s="1">
        <v>20</v>
      </c>
      <c r="EQ221" s="1">
        <v>50</v>
      </c>
      <c r="ER221" s="1">
        <v>315</v>
      </c>
      <c r="ES221" s="1">
        <v>265</v>
      </c>
      <c r="ET221" s="1">
        <v>365</v>
      </c>
      <c r="EU221" s="1">
        <v>7.8358823529411765</v>
      </c>
      <c r="EV221" s="18">
        <v>4.7829411764705885</v>
      </c>
      <c r="EW221" s="18">
        <v>10.888823529411763</v>
      </c>
      <c r="EX221" s="18">
        <v>223.88235294117646</v>
      </c>
      <c r="EY221" s="7">
        <v>183.17647058823528</v>
      </c>
      <c r="EZ221" s="7">
        <v>264.58823529411762</v>
      </c>
      <c r="FA221" s="7">
        <v>260.51764705882351</v>
      </c>
      <c r="FB221" s="7">
        <v>227.95294117647057</v>
      </c>
      <c r="FC221" s="7">
        <v>293.08235294117645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7">
        <v>2.0352941176470587</v>
      </c>
      <c r="FK221" s="7">
        <v>0</v>
      </c>
      <c r="FL221" s="7">
        <v>4.0705882352941174</v>
      </c>
      <c r="FO221" s="1">
        <v>220</v>
      </c>
      <c r="FP221" s="1">
        <v>220</v>
      </c>
      <c r="FR221" s="12" t="s">
        <v>638</v>
      </c>
      <c r="FS221" s="1" t="s">
        <v>638</v>
      </c>
      <c r="FT221" s="12">
        <v>182</v>
      </c>
      <c r="FU221" s="12"/>
      <c r="FV221" s="12">
        <v>182</v>
      </c>
      <c r="FW221" s="12">
        <v>182</v>
      </c>
      <c r="FX221" s="1">
        <v>182</v>
      </c>
      <c r="FY221" s="12" t="s">
        <v>637</v>
      </c>
      <c r="FZ221" s="12" t="s">
        <v>636</v>
      </c>
      <c r="GA221" s="1">
        <v>202</v>
      </c>
      <c r="GB221" s="1">
        <v>202</v>
      </c>
      <c r="GD221" s="1" t="s">
        <v>640</v>
      </c>
      <c r="GE221" s="1">
        <v>211</v>
      </c>
      <c r="GF221" s="1">
        <v>214</v>
      </c>
      <c r="GG221" s="1">
        <v>220</v>
      </c>
      <c r="GH221" s="1">
        <v>214</v>
      </c>
      <c r="GK221" s="1" t="s">
        <v>639</v>
      </c>
    </row>
    <row r="222" spans="1:193" ht="12.75" customHeight="1" x14ac:dyDescent="0.2">
      <c r="A222" s="1" t="s">
        <v>41</v>
      </c>
      <c r="D222" s="1" t="s">
        <v>571</v>
      </c>
      <c r="E222" s="1" t="s">
        <v>129</v>
      </c>
      <c r="F222" s="1">
        <v>1</v>
      </c>
      <c r="G222" s="1">
        <v>2035</v>
      </c>
      <c r="H222" s="1">
        <v>1</v>
      </c>
      <c r="I222" s="1">
        <v>1</v>
      </c>
      <c r="J222" s="1">
        <v>0</v>
      </c>
      <c r="K222" s="10">
        <v>151.84</v>
      </c>
      <c r="L222" s="10">
        <v>118.56</v>
      </c>
      <c r="M222" s="10">
        <v>185.12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8"/>
      <c r="BQ222" s="10">
        <v>28.080000000000002</v>
      </c>
      <c r="BR222" s="10">
        <v>9.36</v>
      </c>
      <c r="BS222" s="10">
        <v>46.800000000000004</v>
      </c>
      <c r="BT222" s="10">
        <f>Tabelle58971121[[#This Row],[Mindestauslastung durch]]*Tabelle58971121[[#This Row],[installierte Leistung MW durch]]</f>
        <v>0</v>
      </c>
      <c r="BU222" s="10">
        <f>Tabelle58971121[[#This Row],[Mindestauslastung min]]*Tabelle58971121[[#This Row],[installierte Leistung MW min]]</f>
        <v>0</v>
      </c>
      <c r="BV222" s="18">
        <f>Tabelle58971121[[#This Row],[Mindestauslastung max]]*Tabelle58971121[[#This Row],[installierte Leistung MW max]]</f>
        <v>0</v>
      </c>
      <c r="BW222" s="8">
        <v>0</v>
      </c>
      <c r="BX222" s="8">
        <v>0</v>
      </c>
      <c r="BY222" s="8">
        <v>0</v>
      </c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41">
        <v>0.8</v>
      </c>
      <c r="DC222" s="41">
        <v>0.72</v>
      </c>
      <c r="DD222" s="41">
        <v>0.88</v>
      </c>
      <c r="DE222" s="10">
        <f>Tabelle58971121[[#This Row],[Durchschnittsauslastung min]]*Tabelle58971121[[#This Row],[installierte Leistung MW min]]</f>
        <v>133.952</v>
      </c>
      <c r="DF222" s="10">
        <f>Tabelle58971121[[#This Row],[Durchschnittsauslastung durch]]*Tabelle58971121[[#This Row],[installierte Leistung MW durch]]</f>
        <v>137.03039999999999</v>
      </c>
      <c r="DG222" s="48">
        <f>Tabelle58971121[[#This Row],[Durchschnittsauslastung max]]*Tabelle58971121[[#This Row],[installierte Leistung MW max]]</f>
        <v>187.61600000000001</v>
      </c>
      <c r="DH222" s="87">
        <f>Tabelle58971121[[#This Row],[Maximalauslastung durch]]*Tabelle58971121[[#This Row],[installierte Leistung MW min]]</f>
        <v>159.06799999999998</v>
      </c>
      <c r="DI222" s="48">
        <f>Tabelle58971121[[#This Row],[Maximalauslastung durch]]*Tabelle58971121[[#This Row],[installierte Leistung MW durch]]</f>
        <v>180.80399999999997</v>
      </c>
      <c r="DJ222" s="10">
        <f>Tabelle58971121[[#This Row],[Maximalauslastung max]]*Tabelle58971121[[#This Row],[installierte Leistung MW durch]]</f>
        <v>182.7072</v>
      </c>
      <c r="DK222" s="8">
        <v>0.95</v>
      </c>
      <c r="DL222" s="8">
        <v>0.94</v>
      </c>
      <c r="DM222" s="8">
        <v>0.96</v>
      </c>
      <c r="DN222" s="10">
        <v>190.32</v>
      </c>
      <c r="DO222" s="10">
        <v>167.44</v>
      </c>
      <c r="DP222" s="10">
        <v>213.20000000000002</v>
      </c>
      <c r="DQ222" s="1">
        <v>0.24374999999999999</v>
      </c>
      <c r="DR222" s="1">
        <v>2.7777777777777778E-4</v>
      </c>
      <c r="DS222" s="53">
        <v>1</v>
      </c>
      <c r="DT222" s="1">
        <v>0.24374999999999999</v>
      </c>
      <c r="DU222" s="1">
        <v>2.7777777777777778E-4</v>
      </c>
      <c r="DV222" s="53">
        <v>1</v>
      </c>
      <c r="DW222" s="1">
        <v>2.8</v>
      </c>
      <c r="DX222" s="1">
        <v>2.5</v>
      </c>
      <c r="DY222" s="53">
        <v>3.0999999999999996</v>
      </c>
      <c r="DZ222" s="1">
        <v>3</v>
      </c>
      <c r="EA222" s="1">
        <v>2.7</v>
      </c>
      <c r="EB222" s="53">
        <v>3.3</v>
      </c>
      <c r="EC222" s="1">
        <v>5.8</v>
      </c>
      <c r="ED222" s="1">
        <v>5.8</v>
      </c>
      <c r="EE222" s="53">
        <v>5.8</v>
      </c>
      <c r="EF222" s="1">
        <v>3.6</v>
      </c>
      <c r="EG222" s="1">
        <v>2.9000000000000004</v>
      </c>
      <c r="EH222" s="53">
        <v>4.3</v>
      </c>
      <c r="EJ222" s="1" t="s">
        <v>641</v>
      </c>
      <c r="EL222" s="1">
        <v>315</v>
      </c>
      <c r="EM222" s="1">
        <v>265</v>
      </c>
      <c r="EN222" s="1">
        <v>365</v>
      </c>
      <c r="EO222" s="1">
        <v>35</v>
      </c>
      <c r="EP222" s="1">
        <v>20</v>
      </c>
      <c r="EQ222" s="1">
        <v>50</v>
      </c>
      <c r="ER222" s="1">
        <v>315</v>
      </c>
      <c r="ES222" s="1">
        <v>265</v>
      </c>
      <c r="ET222" s="1">
        <v>365</v>
      </c>
      <c r="EU222" s="1">
        <v>7.8358823529411765</v>
      </c>
      <c r="EV222" s="18">
        <v>4.7829411764705885</v>
      </c>
      <c r="EW222" s="18">
        <v>10.888823529411763</v>
      </c>
      <c r="EX222" s="18">
        <v>223.88235294117646</v>
      </c>
      <c r="EY222" s="7">
        <v>183.17647058823528</v>
      </c>
      <c r="EZ222" s="7">
        <v>264.58823529411762</v>
      </c>
      <c r="FA222" s="7">
        <v>260.51764705882351</v>
      </c>
      <c r="FB222" s="7">
        <v>227.95294117647057</v>
      </c>
      <c r="FC222" s="7">
        <v>293.08235294117645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2.0352941176470587</v>
      </c>
      <c r="FK222" s="7">
        <v>0</v>
      </c>
      <c r="FL222" s="7">
        <v>4.0705882352941174</v>
      </c>
      <c r="FO222" s="1">
        <v>220</v>
      </c>
      <c r="FP222" s="1">
        <v>220</v>
      </c>
      <c r="FR222" s="12" t="s">
        <v>638</v>
      </c>
      <c r="FS222" s="1" t="s">
        <v>638</v>
      </c>
      <c r="FT222" s="12">
        <v>182</v>
      </c>
      <c r="FU222" s="12"/>
      <c r="FV222" s="12">
        <v>182</v>
      </c>
      <c r="FW222" s="12">
        <v>182</v>
      </c>
      <c r="FX222" s="1">
        <v>182</v>
      </c>
      <c r="FY222" s="12" t="s">
        <v>637</v>
      </c>
      <c r="FZ222" s="12" t="s">
        <v>636</v>
      </c>
      <c r="GA222" s="1">
        <v>202</v>
      </c>
      <c r="GB222" s="1">
        <v>202</v>
      </c>
      <c r="GD222" s="1" t="s">
        <v>640</v>
      </c>
      <c r="GE222" s="1">
        <v>211</v>
      </c>
      <c r="GF222" s="1">
        <v>214</v>
      </c>
      <c r="GG222" s="1">
        <v>220</v>
      </c>
      <c r="GH222" s="1">
        <v>214</v>
      </c>
      <c r="GK222" s="1" t="s">
        <v>639</v>
      </c>
    </row>
    <row r="223" spans="1:193" ht="12.75" customHeight="1" x14ac:dyDescent="0.2">
      <c r="A223" s="1" t="s">
        <v>41</v>
      </c>
      <c r="D223" s="1" t="s">
        <v>571</v>
      </c>
      <c r="E223" s="1" t="s">
        <v>129</v>
      </c>
      <c r="F223" s="1">
        <v>1</v>
      </c>
      <c r="G223" s="1">
        <v>2040</v>
      </c>
      <c r="H223" s="1">
        <v>1</v>
      </c>
      <c r="I223" s="1">
        <v>1</v>
      </c>
      <c r="J223" s="1">
        <v>0</v>
      </c>
      <c r="K223" s="10">
        <v>153.30000000000001</v>
      </c>
      <c r="L223" s="10">
        <v>119.7</v>
      </c>
      <c r="M223" s="10">
        <v>186.9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8"/>
      <c r="BQ223" s="10">
        <v>28.35</v>
      </c>
      <c r="BR223" s="10">
        <v>9.4500000000000011</v>
      </c>
      <c r="BS223" s="10">
        <v>47.25</v>
      </c>
      <c r="BT223" s="10">
        <f>Tabelle58971121[[#This Row],[Mindestauslastung durch]]*Tabelle58971121[[#This Row],[installierte Leistung MW durch]]</f>
        <v>0</v>
      </c>
      <c r="BU223" s="10">
        <f>Tabelle58971121[[#This Row],[Mindestauslastung min]]*Tabelle58971121[[#This Row],[installierte Leistung MW min]]</f>
        <v>0</v>
      </c>
      <c r="BV223" s="18">
        <f>Tabelle58971121[[#This Row],[Mindestauslastung max]]*Tabelle58971121[[#This Row],[installierte Leistung MW max]]</f>
        <v>0</v>
      </c>
      <c r="BW223" s="8">
        <v>0</v>
      </c>
      <c r="BX223" s="8">
        <v>0</v>
      </c>
      <c r="BY223" s="8">
        <v>0</v>
      </c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41">
        <v>0.8</v>
      </c>
      <c r="DC223" s="41">
        <v>0.72</v>
      </c>
      <c r="DD223" s="41">
        <v>0.88</v>
      </c>
      <c r="DE223" s="10">
        <f>Tabelle58971121[[#This Row],[Durchschnittsauslastung min]]*Tabelle58971121[[#This Row],[installierte Leistung MW min]]</f>
        <v>135.24</v>
      </c>
      <c r="DF223" s="10">
        <f>Tabelle58971121[[#This Row],[Durchschnittsauslastung durch]]*Tabelle58971121[[#This Row],[installierte Leistung MW durch]]</f>
        <v>138.34800000000001</v>
      </c>
      <c r="DG223" s="48">
        <f>Tabelle58971121[[#This Row],[Durchschnittsauslastung max]]*Tabelle58971121[[#This Row],[installierte Leistung MW max]]</f>
        <v>189.42</v>
      </c>
      <c r="DH223" s="87">
        <f>Tabelle58971121[[#This Row],[Maximalauslastung durch]]*Tabelle58971121[[#This Row],[installierte Leistung MW min]]</f>
        <v>160.5975</v>
      </c>
      <c r="DI223" s="48">
        <f>Tabelle58971121[[#This Row],[Maximalauslastung durch]]*Tabelle58971121[[#This Row],[installierte Leistung MW durch]]</f>
        <v>182.54249999999999</v>
      </c>
      <c r="DJ223" s="10">
        <f>Tabelle58971121[[#This Row],[Maximalauslastung max]]*Tabelle58971121[[#This Row],[installierte Leistung MW durch]]</f>
        <v>184.464</v>
      </c>
      <c r="DK223" s="8">
        <v>0.95</v>
      </c>
      <c r="DL223" s="8">
        <v>0.94</v>
      </c>
      <c r="DM223" s="8">
        <v>0.96</v>
      </c>
      <c r="DN223" s="10">
        <v>192.15</v>
      </c>
      <c r="DO223" s="10">
        <v>169.05</v>
      </c>
      <c r="DP223" s="10">
        <v>215.25</v>
      </c>
      <c r="DQ223" s="1">
        <v>0.24374999999999999</v>
      </c>
      <c r="DR223" s="1">
        <v>2.7777777777777778E-4</v>
      </c>
      <c r="DS223" s="53">
        <v>1</v>
      </c>
      <c r="DT223" s="1">
        <v>0.24374999999999999</v>
      </c>
      <c r="DU223" s="1">
        <v>2.7777777777777778E-4</v>
      </c>
      <c r="DV223" s="53">
        <v>1</v>
      </c>
      <c r="DW223" s="1">
        <v>2.8</v>
      </c>
      <c r="DX223" s="1">
        <v>2.5</v>
      </c>
      <c r="DY223" s="53">
        <v>3.0999999999999996</v>
      </c>
      <c r="DZ223" s="1">
        <v>3</v>
      </c>
      <c r="EA223" s="1">
        <v>2.7</v>
      </c>
      <c r="EB223" s="53">
        <v>3.3</v>
      </c>
      <c r="EC223" s="1">
        <v>5.8</v>
      </c>
      <c r="ED223" s="1">
        <v>5.8</v>
      </c>
      <c r="EE223" s="53">
        <v>5.8</v>
      </c>
      <c r="EF223" s="1">
        <v>3.6</v>
      </c>
      <c r="EG223" s="1">
        <v>2.9000000000000004</v>
      </c>
      <c r="EH223" s="53">
        <v>4.3</v>
      </c>
      <c r="EJ223" s="1" t="s">
        <v>641</v>
      </c>
      <c r="EL223" s="1">
        <v>315</v>
      </c>
      <c r="EM223" s="1">
        <v>265</v>
      </c>
      <c r="EN223" s="1">
        <v>365</v>
      </c>
      <c r="EO223" s="1">
        <v>35</v>
      </c>
      <c r="EP223" s="1">
        <v>20</v>
      </c>
      <c r="EQ223" s="1">
        <v>50</v>
      </c>
      <c r="ER223" s="1">
        <v>315</v>
      </c>
      <c r="ES223" s="1">
        <v>265</v>
      </c>
      <c r="ET223" s="1">
        <v>365</v>
      </c>
      <c r="EU223" s="1">
        <v>7.8358823529411765</v>
      </c>
      <c r="EV223" s="18">
        <v>4.7829411764705885</v>
      </c>
      <c r="EW223" s="18">
        <v>10.888823529411763</v>
      </c>
      <c r="EX223" s="18">
        <v>223.88235294117646</v>
      </c>
      <c r="EY223" s="7">
        <v>183.17647058823528</v>
      </c>
      <c r="EZ223" s="7">
        <v>264.58823529411762</v>
      </c>
      <c r="FA223" s="7">
        <v>260.51764705882351</v>
      </c>
      <c r="FB223" s="7">
        <v>227.95294117647057</v>
      </c>
      <c r="FC223" s="7">
        <v>293.08235294117645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7">
        <v>2.0352941176470587</v>
      </c>
      <c r="FK223" s="7">
        <v>0</v>
      </c>
      <c r="FL223" s="7">
        <v>4.0705882352941174</v>
      </c>
      <c r="FO223" s="1">
        <v>220</v>
      </c>
      <c r="FP223" s="1">
        <v>220</v>
      </c>
      <c r="FR223" s="12" t="s">
        <v>638</v>
      </c>
      <c r="FS223" s="1" t="s">
        <v>638</v>
      </c>
      <c r="FT223" s="12">
        <v>182</v>
      </c>
      <c r="FU223" s="12"/>
      <c r="FV223" s="12">
        <v>182</v>
      </c>
      <c r="FW223" s="12">
        <v>182</v>
      </c>
      <c r="FX223" s="1">
        <v>182</v>
      </c>
      <c r="FY223" s="12" t="s">
        <v>637</v>
      </c>
      <c r="FZ223" s="12" t="s">
        <v>636</v>
      </c>
      <c r="GA223" s="1">
        <v>202</v>
      </c>
      <c r="GB223" s="1">
        <v>202</v>
      </c>
      <c r="GD223" s="1" t="s">
        <v>640</v>
      </c>
      <c r="GE223" s="1">
        <v>211</v>
      </c>
      <c r="GF223" s="1">
        <v>214</v>
      </c>
      <c r="GG223" s="1">
        <v>220</v>
      </c>
      <c r="GH223" s="1">
        <v>214</v>
      </c>
      <c r="GK223" s="1" t="s">
        <v>639</v>
      </c>
    </row>
    <row r="224" spans="1:193" ht="12.75" customHeight="1" x14ac:dyDescent="0.2">
      <c r="A224" s="1" t="s">
        <v>41</v>
      </c>
      <c r="D224" s="1" t="s">
        <v>571</v>
      </c>
      <c r="E224" s="1" t="s">
        <v>129</v>
      </c>
      <c r="F224" s="1">
        <v>1</v>
      </c>
      <c r="G224" s="1">
        <v>2045</v>
      </c>
      <c r="H224" s="1">
        <v>1</v>
      </c>
      <c r="I224" s="1">
        <v>1</v>
      </c>
      <c r="J224" s="1">
        <v>0</v>
      </c>
      <c r="K224" s="10">
        <v>154.76000000000002</v>
      </c>
      <c r="L224" s="10">
        <v>120.84</v>
      </c>
      <c r="M224" s="10">
        <v>188.68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8"/>
      <c r="BQ224" s="10">
        <v>28.62</v>
      </c>
      <c r="BR224" s="10">
        <v>9.5400000000000009</v>
      </c>
      <c r="BS224" s="10">
        <v>47.7</v>
      </c>
      <c r="BT224" s="10">
        <f>Tabelle58971121[[#This Row],[Mindestauslastung durch]]*Tabelle58971121[[#This Row],[installierte Leistung MW durch]]</f>
        <v>0</v>
      </c>
      <c r="BU224" s="10">
        <f>Tabelle58971121[[#This Row],[Mindestauslastung min]]*Tabelle58971121[[#This Row],[installierte Leistung MW min]]</f>
        <v>0</v>
      </c>
      <c r="BV224" s="18">
        <f>Tabelle58971121[[#This Row],[Mindestauslastung max]]*Tabelle58971121[[#This Row],[installierte Leistung MW max]]</f>
        <v>0</v>
      </c>
      <c r="BW224" s="8">
        <v>0</v>
      </c>
      <c r="BX224" s="8">
        <v>0</v>
      </c>
      <c r="BY224" s="8">
        <v>0</v>
      </c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41">
        <v>0.8</v>
      </c>
      <c r="DC224" s="41">
        <v>0.72</v>
      </c>
      <c r="DD224" s="41">
        <v>0.88</v>
      </c>
      <c r="DE224" s="10">
        <f>Tabelle58971121[[#This Row],[Durchschnittsauslastung min]]*Tabelle58971121[[#This Row],[installierte Leistung MW min]]</f>
        <v>136.52799999999999</v>
      </c>
      <c r="DF224" s="10">
        <f>Tabelle58971121[[#This Row],[Durchschnittsauslastung durch]]*Tabelle58971121[[#This Row],[installierte Leistung MW durch]]</f>
        <v>139.66560000000001</v>
      </c>
      <c r="DG224" s="48">
        <f>Tabelle58971121[[#This Row],[Durchschnittsauslastung max]]*Tabelle58971121[[#This Row],[installierte Leistung MW max]]</f>
        <v>191.22400000000002</v>
      </c>
      <c r="DH224" s="87">
        <f>Tabelle58971121[[#This Row],[Maximalauslastung durch]]*Tabelle58971121[[#This Row],[installierte Leistung MW min]]</f>
        <v>162.12699999999998</v>
      </c>
      <c r="DI224" s="48">
        <f>Tabelle58971121[[#This Row],[Maximalauslastung durch]]*Tabelle58971121[[#This Row],[installierte Leistung MW durch]]</f>
        <v>184.28100000000001</v>
      </c>
      <c r="DJ224" s="10">
        <f>Tabelle58971121[[#This Row],[Maximalauslastung max]]*Tabelle58971121[[#This Row],[installierte Leistung MW durch]]</f>
        <v>186.2208</v>
      </c>
      <c r="DK224" s="8">
        <v>0.95</v>
      </c>
      <c r="DL224" s="8">
        <v>0.94</v>
      </c>
      <c r="DM224" s="8">
        <v>0.96</v>
      </c>
      <c r="DN224" s="10">
        <v>193.98000000000002</v>
      </c>
      <c r="DO224" s="10">
        <v>170.66</v>
      </c>
      <c r="DP224" s="10">
        <v>217.3</v>
      </c>
      <c r="DQ224" s="1">
        <v>0.24374999999999999</v>
      </c>
      <c r="DR224" s="1">
        <v>2.7777777777777778E-4</v>
      </c>
      <c r="DS224" s="53">
        <v>1</v>
      </c>
      <c r="DT224" s="1">
        <v>0.24374999999999999</v>
      </c>
      <c r="DU224" s="1">
        <v>2.7777777777777778E-4</v>
      </c>
      <c r="DV224" s="53">
        <v>1</v>
      </c>
      <c r="DW224" s="1">
        <v>2.8</v>
      </c>
      <c r="DX224" s="1">
        <v>2.5</v>
      </c>
      <c r="DY224" s="53">
        <v>3.0999999999999996</v>
      </c>
      <c r="DZ224" s="1">
        <v>3</v>
      </c>
      <c r="EA224" s="1">
        <v>2.7</v>
      </c>
      <c r="EB224" s="53">
        <v>3.3</v>
      </c>
      <c r="EC224" s="1">
        <v>5.8</v>
      </c>
      <c r="ED224" s="1">
        <v>5.8</v>
      </c>
      <c r="EE224" s="53">
        <v>5.8</v>
      </c>
      <c r="EF224" s="1">
        <v>3.6</v>
      </c>
      <c r="EG224" s="1">
        <v>2.9000000000000004</v>
      </c>
      <c r="EH224" s="53">
        <v>4.3</v>
      </c>
      <c r="EJ224" s="1" t="s">
        <v>641</v>
      </c>
      <c r="EL224" s="1">
        <v>315</v>
      </c>
      <c r="EM224" s="1">
        <v>265</v>
      </c>
      <c r="EN224" s="1">
        <v>365</v>
      </c>
      <c r="EO224" s="1">
        <v>35</v>
      </c>
      <c r="EP224" s="1">
        <v>20</v>
      </c>
      <c r="EQ224" s="1">
        <v>50</v>
      </c>
      <c r="ER224" s="1">
        <v>315</v>
      </c>
      <c r="ES224" s="1">
        <v>265</v>
      </c>
      <c r="ET224" s="1">
        <v>365</v>
      </c>
      <c r="EU224" s="1">
        <v>7.8358823529411765</v>
      </c>
      <c r="EV224" s="18">
        <v>4.7829411764705885</v>
      </c>
      <c r="EW224" s="18">
        <v>10.888823529411763</v>
      </c>
      <c r="EX224" s="18">
        <v>223.88235294117646</v>
      </c>
      <c r="EY224" s="7">
        <v>183.17647058823528</v>
      </c>
      <c r="EZ224" s="7">
        <v>264.58823529411762</v>
      </c>
      <c r="FA224" s="7">
        <v>260.51764705882351</v>
      </c>
      <c r="FB224" s="7">
        <v>227.95294117647057</v>
      </c>
      <c r="FC224" s="7">
        <v>293.08235294117645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7">
        <v>2.0352941176470587</v>
      </c>
      <c r="FK224" s="7">
        <v>0</v>
      </c>
      <c r="FL224" s="7">
        <v>4.0705882352941174</v>
      </c>
      <c r="FO224" s="1">
        <v>220</v>
      </c>
      <c r="FP224" s="1">
        <v>220</v>
      </c>
      <c r="FR224" s="12" t="s">
        <v>638</v>
      </c>
      <c r="FS224" s="1" t="s">
        <v>638</v>
      </c>
      <c r="FT224" s="12">
        <v>182</v>
      </c>
      <c r="FU224" s="12"/>
      <c r="FV224" s="12">
        <v>182</v>
      </c>
      <c r="FW224" s="12">
        <v>182</v>
      </c>
      <c r="FX224" s="1">
        <v>182</v>
      </c>
      <c r="FY224" s="12" t="s">
        <v>637</v>
      </c>
      <c r="FZ224" s="12" t="s">
        <v>636</v>
      </c>
      <c r="GA224" s="1">
        <v>202</v>
      </c>
      <c r="GB224" s="1">
        <v>202</v>
      </c>
      <c r="GD224" s="1" t="s">
        <v>640</v>
      </c>
      <c r="GE224" s="1">
        <v>211</v>
      </c>
      <c r="GF224" s="1">
        <v>214</v>
      </c>
      <c r="GG224" s="1">
        <v>220</v>
      </c>
      <c r="GH224" s="1">
        <v>214</v>
      </c>
      <c r="GK224" s="1" t="s">
        <v>639</v>
      </c>
    </row>
    <row r="225" spans="1:193" ht="12.75" customHeight="1" x14ac:dyDescent="0.2">
      <c r="A225" s="1" t="s">
        <v>41</v>
      </c>
      <c r="D225" s="1" t="s">
        <v>571</v>
      </c>
      <c r="E225" s="1" t="s">
        <v>129</v>
      </c>
      <c r="F225" s="1">
        <v>1</v>
      </c>
      <c r="G225" s="1">
        <v>2050</v>
      </c>
      <c r="H225" s="1">
        <v>1</v>
      </c>
      <c r="I225" s="1">
        <v>1</v>
      </c>
      <c r="J225" s="1">
        <v>0</v>
      </c>
      <c r="K225" s="10">
        <v>156.22</v>
      </c>
      <c r="L225" s="10">
        <v>121.98</v>
      </c>
      <c r="M225" s="10">
        <v>190.46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8"/>
      <c r="BQ225" s="10">
        <v>28.89</v>
      </c>
      <c r="BR225" s="10">
        <v>9.6300000000000008</v>
      </c>
      <c r="BS225" s="10">
        <v>48.150000000000006</v>
      </c>
      <c r="BT225" s="10">
        <f>Tabelle58971121[[#This Row],[Mindestauslastung durch]]*Tabelle58971121[[#This Row],[installierte Leistung MW durch]]</f>
        <v>0</v>
      </c>
      <c r="BU225" s="10">
        <f>Tabelle58971121[[#This Row],[Mindestauslastung min]]*Tabelle58971121[[#This Row],[installierte Leistung MW min]]</f>
        <v>0</v>
      </c>
      <c r="BV225" s="18">
        <f>Tabelle58971121[[#This Row],[Mindestauslastung max]]*Tabelle58971121[[#This Row],[installierte Leistung MW max]]</f>
        <v>0</v>
      </c>
      <c r="BW225" s="8">
        <v>0</v>
      </c>
      <c r="BX225" s="8">
        <v>0</v>
      </c>
      <c r="BY225" s="8">
        <v>0</v>
      </c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41">
        <v>0.8</v>
      </c>
      <c r="DC225" s="41">
        <v>0.72</v>
      </c>
      <c r="DD225" s="41">
        <v>0.88</v>
      </c>
      <c r="DE225" s="10">
        <f>Tabelle58971121[[#This Row],[Durchschnittsauslastung min]]*Tabelle58971121[[#This Row],[installierte Leistung MW min]]</f>
        <v>137.816</v>
      </c>
      <c r="DF225" s="10">
        <f>Tabelle58971121[[#This Row],[Durchschnittsauslastung durch]]*Tabelle58971121[[#This Row],[installierte Leistung MW durch]]</f>
        <v>140.98319999999998</v>
      </c>
      <c r="DG225" s="48">
        <f>Tabelle58971121[[#This Row],[Durchschnittsauslastung max]]*Tabelle58971121[[#This Row],[installierte Leistung MW max]]</f>
        <v>193.02800000000002</v>
      </c>
      <c r="DH225" s="87">
        <f>Tabelle58971121[[#This Row],[Maximalauslastung durch]]*Tabelle58971121[[#This Row],[installierte Leistung MW min]]</f>
        <v>163.65649999999999</v>
      </c>
      <c r="DI225" s="48">
        <f>Tabelle58971121[[#This Row],[Maximalauslastung durch]]*Tabelle58971121[[#This Row],[installierte Leistung MW durch]]</f>
        <v>186.01949999999999</v>
      </c>
      <c r="DJ225" s="10">
        <f>Tabelle58971121[[#This Row],[Maximalauslastung max]]*Tabelle58971121[[#This Row],[installierte Leistung MW durch]]</f>
        <v>187.9776</v>
      </c>
      <c r="DK225" s="8">
        <v>0.95</v>
      </c>
      <c r="DL225" s="8">
        <v>0.94</v>
      </c>
      <c r="DM225" s="8">
        <v>0.96</v>
      </c>
      <c r="DN225" s="10">
        <v>195.81</v>
      </c>
      <c r="DO225" s="10">
        <v>172.27</v>
      </c>
      <c r="DP225" s="10">
        <v>219.35000000000002</v>
      </c>
      <c r="DQ225" s="1">
        <v>0.24374999999999999</v>
      </c>
      <c r="DR225" s="1">
        <v>2.7777777777777778E-4</v>
      </c>
      <c r="DS225" s="53">
        <v>1</v>
      </c>
      <c r="DT225" s="1">
        <v>0.24374999999999999</v>
      </c>
      <c r="DU225" s="1">
        <v>2.7777777777777778E-4</v>
      </c>
      <c r="DV225" s="53">
        <v>1</v>
      </c>
      <c r="DW225" s="1">
        <v>2.8</v>
      </c>
      <c r="DX225" s="1">
        <v>2.5</v>
      </c>
      <c r="DY225" s="53">
        <v>3.0999999999999996</v>
      </c>
      <c r="DZ225" s="1">
        <v>3</v>
      </c>
      <c r="EA225" s="1">
        <v>2.7</v>
      </c>
      <c r="EB225" s="53">
        <v>3.3</v>
      </c>
      <c r="EC225" s="1">
        <v>5.8</v>
      </c>
      <c r="ED225" s="1">
        <v>5.8</v>
      </c>
      <c r="EE225" s="53">
        <v>5.8</v>
      </c>
      <c r="EF225" s="1">
        <v>3.6</v>
      </c>
      <c r="EG225" s="1">
        <v>2.9000000000000004</v>
      </c>
      <c r="EH225" s="53">
        <v>4.3</v>
      </c>
      <c r="EJ225" s="1" t="s">
        <v>641</v>
      </c>
      <c r="EL225" s="1">
        <v>315</v>
      </c>
      <c r="EM225" s="1">
        <v>265</v>
      </c>
      <c r="EN225" s="1">
        <v>365</v>
      </c>
      <c r="EO225" s="1">
        <v>35</v>
      </c>
      <c r="EP225" s="1">
        <v>20</v>
      </c>
      <c r="EQ225" s="1">
        <v>50</v>
      </c>
      <c r="ER225" s="1">
        <v>315</v>
      </c>
      <c r="ES225" s="1">
        <v>265</v>
      </c>
      <c r="ET225" s="1">
        <v>365</v>
      </c>
      <c r="EU225" s="1">
        <v>7.8358823529411765</v>
      </c>
      <c r="EV225" s="18">
        <v>4.7829411764705885</v>
      </c>
      <c r="EW225" s="18">
        <v>10.888823529411763</v>
      </c>
      <c r="EX225" s="18">
        <v>223.88235294117646</v>
      </c>
      <c r="EY225" s="7">
        <v>183.17647058823528</v>
      </c>
      <c r="EZ225" s="7">
        <v>264.58823529411762</v>
      </c>
      <c r="FA225" s="7">
        <v>260.51764705882351</v>
      </c>
      <c r="FB225" s="7">
        <v>227.95294117647057</v>
      </c>
      <c r="FC225" s="7">
        <v>293.08235294117645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  <c r="FI225" s="7">
        <v>0</v>
      </c>
      <c r="FJ225" s="7">
        <v>2.0352941176470587</v>
      </c>
      <c r="FK225" s="7">
        <v>0</v>
      </c>
      <c r="FL225" s="7">
        <v>4.0705882352941174</v>
      </c>
      <c r="FO225" s="1">
        <v>220</v>
      </c>
      <c r="FP225" s="1">
        <v>220</v>
      </c>
      <c r="FR225" s="12" t="s">
        <v>638</v>
      </c>
      <c r="FS225" s="1" t="s">
        <v>638</v>
      </c>
      <c r="FT225" s="12">
        <v>182</v>
      </c>
      <c r="FU225" s="12"/>
      <c r="FV225" s="12">
        <v>182</v>
      </c>
      <c r="FW225" s="12">
        <v>182</v>
      </c>
      <c r="FX225" s="1">
        <v>182</v>
      </c>
      <c r="FY225" s="12" t="s">
        <v>637</v>
      </c>
      <c r="FZ225" s="12" t="s">
        <v>636</v>
      </c>
      <c r="GA225" s="1">
        <v>202</v>
      </c>
      <c r="GB225" s="1">
        <v>202</v>
      </c>
      <c r="GD225" s="1" t="s">
        <v>640</v>
      </c>
      <c r="GE225" s="1">
        <v>211</v>
      </c>
      <c r="GF225" s="1">
        <v>214</v>
      </c>
      <c r="GG225" s="1">
        <v>220</v>
      </c>
      <c r="GH225" s="1">
        <v>214</v>
      </c>
      <c r="GK225" s="1" t="s">
        <v>639</v>
      </c>
    </row>
    <row r="226" spans="1:193" ht="12.75" customHeight="1" x14ac:dyDescent="0.2">
      <c r="A226" s="1" t="s">
        <v>80</v>
      </c>
      <c r="D226" s="1" t="s">
        <v>578</v>
      </c>
      <c r="E226" s="1" t="s">
        <v>129</v>
      </c>
      <c r="F226" s="1">
        <v>1</v>
      </c>
      <c r="G226" s="1">
        <v>2015</v>
      </c>
      <c r="H226" s="1">
        <v>1</v>
      </c>
      <c r="I226" s="1">
        <v>1</v>
      </c>
      <c r="J226" s="1">
        <v>0</v>
      </c>
      <c r="K226" s="10">
        <v>588</v>
      </c>
      <c r="L226" s="10">
        <v>391</v>
      </c>
      <c r="M226" s="10">
        <v>785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8"/>
      <c r="BQ226" s="10">
        <v>71</v>
      </c>
      <c r="BR226" s="10">
        <v>21</v>
      </c>
      <c r="BS226" s="10">
        <v>121</v>
      </c>
      <c r="BT226" s="10">
        <f>Tabelle58971121[[#This Row],[Mindestauslastung durch]]*Tabelle58971121[[#This Row],[installierte Leistung MW durch]]</f>
        <v>0</v>
      </c>
      <c r="BU226" s="10">
        <f>Tabelle58971121[[#This Row],[Mindestauslastung min]]*Tabelle58971121[[#This Row],[installierte Leistung MW min]]</f>
        <v>0</v>
      </c>
      <c r="BV226" s="18">
        <f>Tabelle58971121[[#This Row],[Mindestauslastung max]]*Tabelle58971121[[#This Row],[installierte Leistung MW max]]</f>
        <v>0</v>
      </c>
      <c r="BW226" s="8">
        <v>0</v>
      </c>
      <c r="BX226" s="8">
        <v>0</v>
      </c>
      <c r="BY226" s="8">
        <v>0</v>
      </c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41">
        <v>0.84730659025787969</v>
      </c>
      <c r="DC226" s="41">
        <v>0.80401221995926675</v>
      </c>
      <c r="DD226" s="41">
        <v>0.89307182320441991</v>
      </c>
      <c r="DE226" s="10">
        <f>Tabelle58971121[[#This Row],[Durchschnittsauslastung min]]*Tabelle58971121[[#This Row],[installierte Leistung MW min]]</f>
        <v>416.87484240687678</v>
      </c>
      <c r="DF226" s="10">
        <f>Tabelle58971121[[#This Row],[Durchschnittsauslastung durch]]*Tabelle58971121[[#This Row],[installierte Leistung MW durch]]</f>
        <v>557.18046843177183</v>
      </c>
      <c r="DG226" s="48">
        <f>Tabelle58971121[[#This Row],[Durchschnittsauslastung max]]*Tabelle58971121[[#This Row],[installierte Leistung MW max]]</f>
        <v>798.40620994475137</v>
      </c>
      <c r="DH226" s="87">
        <f>Tabelle58971121[[#This Row],[Maximalauslastung durch]]*Tabelle58971121[[#This Row],[installierte Leistung MW min]]</f>
        <v>467.40000000000009</v>
      </c>
      <c r="DI226" s="48">
        <f>Tabelle58971121[[#This Row],[Maximalauslastung durch]]*Tabelle58971121[[#This Row],[installierte Leistung MW durch]]</f>
        <v>658.35000000000014</v>
      </c>
      <c r="DJ226" s="10">
        <f>Tabelle58971121[[#This Row],[Maximalauslastung max]]*Tabelle58971121[[#This Row],[installierte Leistung MW durch]]</f>
        <v>665.27999999999986</v>
      </c>
      <c r="DK226" s="8">
        <v>0.95000000000000018</v>
      </c>
      <c r="DL226" s="8">
        <v>0.94</v>
      </c>
      <c r="DM226" s="8">
        <v>0.95999999999999985</v>
      </c>
      <c r="DN226" s="10">
        <v>693</v>
      </c>
      <c r="DO226" s="10">
        <v>492</v>
      </c>
      <c r="DP226" s="10">
        <v>894</v>
      </c>
      <c r="DQ226" s="1">
        <v>0.24916666666666665</v>
      </c>
      <c r="DR226" s="1">
        <v>8.3333333333333332E-3</v>
      </c>
      <c r="DS226" s="53">
        <v>0.5</v>
      </c>
      <c r="DT226" s="1">
        <v>0.77166666666666672</v>
      </c>
      <c r="DU226" s="1">
        <v>8.3333333333333329E-2</v>
      </c>
      <c r="DV226" s="53">
        <v>3</v>
      </c>
      <c r="DW226" s="1">
        <v>1.3</v>
      </c>
      <c r="DX226" s="1">
        <v>0.5</v>
      </c>
      <c r="DY226" s="53">
        <v>2.4</v>
      </c>
      <c r="DZ226" s="1">
        <v>3</v>
      </c>
      <c r="EA226" s="1">
        <v>1</v>
      </c>
      <c r="EB226" s="53">
        <v>5</v>
      </c>
      <c r="EC226" s="1">
        <v>4.3</v>
      </c>
      <c r="ED226" s="1">
        <v>4.3</v>
      </c>
      <c r="EE226" s="53">
        <v>4.3</v>
      </c>
      <c r="EF226" s="1">
        <v>3.4</v>
      </c>
      <c r="EG226" s="1">
        <v>1.6</v>
      </c>
      <c r="EH226" s="53">
        <v>5.8999999999999995</v>
      </c>
      <c r="EJ226" s="1" t="s">
        <v>641</v>
      </c>
      <c r="EL226" s="1">
        <v>2525</v>
      </c>
      <c r="EM226" s="1">
        <v>2010</v>
      </c>
      <c r="EN226" s="1">
        <v>3040</v>
      </c>
      <c r="EO226" s="1">
        <v>0</v>
      </c>
      <c r="EP226" s="1">
        <v>0</v>
      </c>
      <c r="EQ226" s="1">
        <v>0</v>
      </c>
      <c r="ER226" s="1">
        <v>50</v>
      </c>
      <c r="ES226" s="1">
        <v>20</v>
      </c>
      <c r="ET226" s="1">
        <v>80</v>
      </c>
      <c r="EU226" s="1">
        <v>2.3405882352941174</v>
      </c>
      <c r="EV226" s="18">
        <v>0.81411764705882328</v>
      </c>
      <c r="EW226" s="18">
        <v>3.8670588235294114</v>
      </c>
      <c r="EX226" s="18">
        <v>178.08823529411762</v>
      </c>
      <c r="EY226" s="7">
        <v>50.882352941176464</v>
      </c>
      <c r="EZ226" s="7">
        <v>305.29411764705878</v>
      </c>
      <c r="FA226" s="7">
        <v>433.00882352941176</v>
      </c>
      <c r="FB226" s="7">
        <v>384.16176470588232</v>
      </c>
      <c r="FC226" s="7">
        <v>481.85588235294114</v>
      </c>
      <c r="FD226" s="7">
        <v>0</v>
      </c>
      <c r="FE226" s="7">
        <v>0</v>
      </c>
      <c r="FF226" s="7">
        <v>30.52941176470588</v>
      </c>
      <c r="FG226" s="7">
        <v>44.776470588235291</v>
      </c>
      <c r="FH226" s="7">
        <v>24.423529411764704</v>
      </c>
      <c r="FI226" s="7">
        <v>65.129411764705878</v>
      </c>
      <c r="FJ226" s="7">
        <v>2.0352941176470587</v>
      </c>
      <c r="FK226" s="7">
        <v>0</v>
      </c>
      <c r="FL226" s="7">
        <v>4.0705882352941174</v>
      </c>
      <c r="FO226" s="1">
        <v>220</v>
      </c>
      <c r="FP226" s="1">
        <v>220</v>
      </c>
      <c r="FR226" s="12" t="s">
        <v>638</v>
      </c>
      <c r="FS226" s="1" t="s">
        <v>638</v>
      </c>
      <c r="FT226" s="12">
        <v>182</v>
      </c>
      <c r="FU226" s="12"/>
      <c r="FV226" s="12">
        <v>182</v>
      </c>
      <c r="FW226" s="12">
        <v>182</v>
      </c>
      <c r="FX226" s="1">
        <v>182</v>
      </c>
      <c r="FY226" s="12" t="s">
        <v>637</v>
      </c>
      <c r="FZ226" s="12" t="s">
        <v>636</v>
      </c>
      <c r="GA226" s="1">
        <v>202</v>
      </c>
      <c r="GB226" s="1">
        <v>202</v>
      </c>
      <c r="GD226" s="1" t="s">
        <v>640</v>
      </c>
      <c r="GE226" s="1">
        <v>211</v>
      </c>
      <c r="GF226" s="1">
        <v>214</v>
      </c>
      <c r="GG226" s="1">
        <v>220</v>
      </c>
      <c r="GH226" s="1">
        <v>214</v>
      </c>
      <c r="GK226" s="1" t="s">
        <v>639</v>
      </c>
    </row>
    <row r="227" spans="1:193" ht="12.75" customHeight="1" x14ac:dyDescent="0.2">
      <c r="A227" s="1" t="s">
        <v>80</v>
      </c>
      <c r="D227" s="1" t="s">
        <v>578</v>
      </c>
      <c r="E227" s="1" t="s">
        <v>129</v>
      </c>
      <c r="F227" s="1">
        <v>1</v>
      </c>
      <c r="G227" s="1">
        <v>2020</v>
      </c>
      <c r="H227" s="1">
        <v>1</v>
      </c>
      <c r="I227" s="1">
        <v>1</v>
      </c>
      <c r="J227" s="1">
        <v>0</v>
      </c>
      <c r="K227" s="10">
        <v>638.8535463258786</v>
      </c>
      <c r="L227" s="10">
        <v>424.81587859424934</v>
      </c>
      <c r="M227" s="10">
        <v>852.89121405750802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8"/>
      <c r="BQ227" s="10">
        <v>77.140479233226841</v>
      </c>
      <c r="BR227" s="10">
        <v>22.8161980830671</v>
      </c>
      <c r="BS227" s="10">
        <v>131.46476038338659</v>
      </c>
      <c r="BT227" s="10">
        <f>Tabelle58971121[[#This Row],[Mindestauslastung durch]]*Tabelle58971121[[#This Row],[installierte Leistung MW durch]]</f>
        <v>0</v>
      </c>
      <c r="BU227" s="10">
        <f>Tabelle58971121[[#This Row],[Mindestauslastung min]]*Tabelle58971121[[#This Row],[installierte Leistung MW min]]</f>
        <v>0</v>
      </c>
      <c r="BV227" s="18">
        <f>Tabelle58971121[[#This Row],[Mindestauslastung max]]*Tabelle58971121[[#This Row],[installierte Leistung MW max]]</f>
        <v>0</v>
      </c>
      <c r="BW227" s="8">
        <v>0</v>
      </c>
      <c r="BX227" s="8">
        <v>0</v>
      </c>
      <c r="BY227" s="8">
        <v>0</v>
      </c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41">
        <v>0.84754284054603546</v>
      </c>
      <c r="DC227" s="41">
        <v>0.80262852163810638</v>
      </c>
      <c r="DD227" s="41">
        <v>0.89245715945396453</v>
      </c>
      <c r="DE227" s="10">
        <f>Tabelle58971121[[#This Row],[Durchschnittsauslastung min]]*Tabelle58971121[[#This Row],[installierte Leistung MW min]]</f>
        <v>452.51298223495701</v>
      </c>
      <c r="DF227" s="10">
        <f>Tabelle58971121[[#This Row],[Durchschnittsauslastung durch]]*Tabelle58971121[[#This Row],[installierte Leistung MW durch]]</f>
        <v>603.6039928366763</v>
      </c>
      <c r="DG227" s="48">
        <f>Tabelle58971121[[#This Row],[Durchschnittsauslastung max]]*Tabelle58971121[[#This Row],[installierte Leistung MW max]]</f>
        <v>865.82311805157588</v>
      </c>
      <c r="DH227" s="87">
        <f>Tabelle58971121[[#This Row],[Maximalauslastung durch]]*Tabelle58971121[[#This Row],[installierte Leistung MW min]]</f>
        <v>507.2160515759312</v>
      </c>
      <c r="DI227" s="48">
        <f>Tabelle58971121[[#This Row],[Maximalauslastung durch]]*Tabelle58971121[[#This Row],[installierte Leistung MW durch]]</f>
        <v>714.43236532951289</v>
      </c>
      <c r="DJ227" s="10">
        <f>Tabelle58971121[[#This Row],[Maximalauslastung max]]*Tabelle58971121[[#This Row],[installierte Leistung MW durch]]</f>
        <v>721.95270601719199</v>
      </c>
      <c r="DK227" s="8">
        <v>0.95</v>
      </c>
      <c r="DL227" s="8">
        <v>0.94000000000000017</v>
      </c>
      <c r="DM227" s="8">
        <v>0.96</v>
      </c>
      <c r="DN227" s="10">
        <v>752.03406876790837</v>
      </c>
      <c r="DO227" s="10">
        <v>533.91163323782234</v>
      </c>
      <c r="DP227" s="10">
        <v>970.15650429799427</v>
      </c>
      <c r="DQ227" s="1">
        <v>0.21050960886823503</v>
      </c>
      <c r="DR227" s="1">
        <v>8.3333333333333332E-3</v>
      </c>
      <c r="DS227" s="53">
        <v>0.5</v>
      </c>
      <c r="DT227" s="1">
        <v>0.77166666666666672</v>
      </c>
      <c r="DU227" s="1">
        <v>8.3333333333333329E-2</v>
      </c>
      <c r="DV227" s="53">
        <v>3</v>
      </c>
      <c r="DW227" s="1">
        <v>0.77200116177751965</v>
      </c>
      <c r="DX227" s="1">
        <v>0.5</v>
      </c>
      <c r="DY227" s="53">
        <v>2.4</v>
      </c>
      <c r="DZ227" s="1">
        <v>2.2457159453964568</v>
      </c>
      <c r="EA227" s="1">
        <v>1</v>
      </c>
      <c r="EB227" s="53">
        <v>5</v>
      </c>
      <c r="EC227" s="1">
        <v>3.0177171071739766</v>
      </c>
      <c r="ED227" s="1">
        <v>2.3674418604651164</v>
      </c>
      <c r="EE227" s="53">
        <v>2.6029526238088847</v>
      </c>
      <c r="EF227" s="1">
        <v>2.4948591344757483</v>
      </c>
      <c r="EG227" s="1">
        <v>1.6</v>
      </c>
      <c r="EH227" s="53">
        <v>5.8999999999999995</v>
      </c>
      <c r="EJ227" s="1" t="s">
        <v>641</v>
      </c>
      <c r="EL227" s="1">
        <v>2525</v>
      </c>
      <c r="EM227" s="1">
        <v>2010</v>
      </c>
      <c r="EN227" s="1">
        <v>3040</v>
      </c>
      <c r="EO227" s="1">
        <v>0</v>
      </c>
      <c r="EP227" s="1">
        <v>0</v>
      </c>
      <c r="EQ227" s="1">
        <v>0</v>
      </c>
      <c r="ER227" s="1">
        <v>50</v>
      </c>
      <c r="ES227" s="1">
        <v>20</v>
      </c>
      <c r="ET227" s="1">
        <v>80</v>
      </c>
      <c r="EU227" s="1">
        <v>2.3405882352941174</v>
      </c>
      <c r="EV227" s="18">
        <v>0.81411764705882328</v>
      </c>
      <c r="EW227" s="18">
        <v>3.8670588235294114</v>
      </c>
      <c r="EX227" s="18">
        <v>178.08823529411762</v>
      </c>
      <c r="EY227" s="7">
        <v>50.882352941176464</v>
      </c>
      <c r="EZ227" s="7">
        <v>305.29411764705878</v>
      </c>
      <c r="FA227" s="7">
        <v>433.00882352941176</v>
      </c>
      <c r="FB227" s="7">
        <v>384.16176470588232</v>
      </c>
      <c r="FC227" s="7">
        <v>481.85588235294114</v>
      </c>
      <c r="FD227" s="7">
        <v>0</v>
      </c>
      <c r="FE227" s="7">
        <v>0</v>
      </c>
      <c r="FF227" s="7">
        <v>30.52941176470588</v>
      </c>
      <c r="FG227" s="7">
        <v>44.776470588235291</v>
      </c>
      <c r="FH227" s="7">
        <v>24.423529411764704</v>
      </c>
      <c r="FI227" s="7">
        <v>65.129411764705878</v>
      </c>
      <c r="FJ227" s="7">
        <v>2.0352941176470587</v>
      </c>
      <c r="FK227" s="7">
        <v>0</v>
      </c>
      <c r="FL227" s="7">
        <v>4.0705882352941174</v>
      </c>
      <c r="FO227" s="1">
        <v>220</v>
      </c>
      <c r="FP227" s="1">
        <v>220</v>
      </c>
      <c r="FR227" s="12" t="s">
        <v>638</v>
      </c>
      <c r="FS227" s="1" t="s">
        <v>638</v>
      </c>
      <c r="FT227" s="12">
        <v>182</v>
      </c>
      <c r="FU227" s="12"/>
      <c r="FV227" s="12">
        <v>182</v>
      </c>
      <c r="FW227" s="12">
        <v>182</v>
      </c>
      <c r="FX227" s="1">
        <v>182</v>
      </c>
      <c r="FY227" s="12" t="s">
        <v>637</v>
      </c>
      <c r="FZ227" s="12" t="s">
        <v>636</v>
      </c>
      <c r="GA227" s="1">
        <v>202</v>
      </c>
      <c r="GB227" s="1">
        <v>202</v>
      </c>
      <c r="GD227" s="1" t="s">
        <v>640</v>
      </c>
      <c r="GE227" s="1">
        <v>211</v>
      </c>
      <c r="GF227" s="1">
        <v>214</v>
      </c>
      <c r="GG227" s="1">
        <v>220</v>
      </c>
      <c r="GH227" s="1">
        <v>214</v>
      </c>
      <c r="GK227" s="1" t="s">
        <v>639</v>
      </c>
    </row>
    <row r="228" spans="1:193" ht="12.75" customHeight="1" x14ac:dyDescent="0.2">
      <c r="A228" s="1" t="s">
        <v>80</v>
      </c>
      <c r="D228" s="1" t="s">
        <v>578</v>
      </c>
      <c r="E228" s="1" t="s">
        <v>129</v>
      </c>
      <c r="F228" s="1">
        <v>1</v>
      </c>
      <c r="G228" s="1">
        <v>2025</v>
      </c>
      <c r="H228" s="1">
        <v>1</v>
      </c>
      <c r="I228" s="1">
        <v>1</v>
      </c>
      <c r="J228" s="1">
        <v>0</v>
      </c>
      <c r="K228" s="10">
        <v>695.8267049463517</v>
      </c>
      <c r="L228" s="10">
        <v>462.70109121432569</v>
      </c>
      <c r="M228" s="10">
        <v>928.95231867837765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8"/>
      <c r="BQ228" s="10">
        <v>84.019891243522054</v>
      </c>
      <c r="BR228" s="10">
        <v>24.850953748083988</v>
      </c>
      <c r="BS228" s="10">
        <v>143.18882873896013</v>
      </c>
      <c r="BT228" s="10">
        <f>Tabelle58971121[[#This Row],[Mindestauslastung durch]]*Tabelle58971121[[#This Row],[installierte Leistung MW durch]]</f>
        <v>0</v>
      </c>
      <c r="BU228" s="10">
        <f>Tabelle58971121[[#This Row],[Mindestauslastung min]]*Tabelle58971121[[#This Row],[installierte Leistung MW min]]</f>
        <v>0</v>
      </c>
      <c r="BV228" s="18">
        <f>Tabelle58971121[[#This Row],[Mindestauslastung max]]*Tabelle58971121[[#This Row],[installierte Leistung MW max]]</f>
        <v>0</v>
      </c>
      <c r="BW228" s="8">
        <v>0</v>
      </c>
      <c r="BX228" s="8">
        <v>0</v>
      </c>
      <c r="BY228" s="8">
        <v>0</v>
      </c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41">
        <v>0.84778156249239667</v>
      </c>
      <c r="DC228" s="41">
        <v>0.80334468747719034</v>
      </c>
      <c r="DD228" s="41">
        <v>0.89221843750760332</v>
      </c>
      <c r="DE228" s="10">
        <f>Tabelle58971121[[#This Row],[Durchschnittsauslastung min]]*Tabelle58971121[[#This Row],[installierte Leistung MW min]]</f>
        <v>491.21998968481364</v>
      </c>
      <c r="DF228" s="10">
        <f>Tabelle58971121[[#This Row],[Durchschnittsauslastung durch]]*Tabelle58971121[[#This Row],[installierte Leistung MW durch]]</f>
        <v>655.63498882521492</v>
      </c>
      <c r="DG228" s="48">
        <f>Tabelle58971121[[#This Row],[Durchschnittsauslastung max]]*Tabelle58971121[[#This Row],[installierte Leistung MW max]]</f>
        <v>939.36781031518626</v>
      </c>
      <c r="DH228" s="87">
        <f>Tabelle58971121[[#This Row],[Maximalauslastung durch]]*Tabelle58971121[[#This Row],[installierte Leistung MW min]]</f>
        <v>550.44720343839538</v>
      </c>
      <c r="DI228" s="48">
        <f>Tabelle58971121[[#This Row],[Maximalauslastung durch]]*Tabelle58971121[[#This Row],[installierte Leistung MW durch]]</f>
        <v>775.3250243553008</v>
      </c>
      <c r="DJ228" s="10">
        <f>Tabelle58971121[[#This Row],[Maximalauslastung max]]*Tabelle58971121[[#This Row],[installierte Leistung MW durch]]</f>
        <v>783.48634040114609</v>
      </c>
      <c r="DK228" s="8">
        <v>0.95</v>
      </c>
      <c r="DL228" s="8">
        <v>0.94000000000000017</v>
      </c>
      <c r="DM228" s="8">
        <v>0.96</v>
      </c>
      <c r="DN228" s="10">
        <v>816.13160458452717</v>
      </c>
      <c r="DO228" s="10">
        <v>579.41810888252144</v>
      </c>
      <c r="DP228" s="10">
        <v>1052.8451002865329</v>
      </c>
      <c r="DQ228" s="1">
        <v>0.20928615889313315</v>
      </c>
      <c r="DR228" s="1">
        <v>8.3333333333333332E-3</v>
      </c>
      <c r="DS228" s="53">
        <v>0.5</v>
      </c>
      <c r="DT228" s="1">
        <v>0.77166666666666672</v>
      </c>
      <c r="DU228" s="1">
        <v>8.3333333333333329E-2</v>
      </c>
      <c r="DV228" s="53">
        <v>3</v>
      </c>
      <c r="DW228" s="1">
        <v>0.75529062553222559</v>
      </c>
      <c r="DX228" s="1">
        <v>0.5</v>
      </c>
      <c r="DY228" s="53">
        <v>2.4</v>
      </c>
      <c r="DZ228" s="1">
        <v>2.2218437507603221</v>
      </c>
      <c r="EA228" s="1">
        <v>1</v>
      </c>
      <c r="EB228" s="53">
        <v>5</v>
      </c>
      <c r="EC228" s="1">
        <v>2.9771343762925482</v>
      </c>
      <c r="ED228" s="1">
        <v>2.3502905100064559</v>
      </c>
      <c r="EE228" s="53">
        <v>2.5656282837869906</v>
      </c>
      <c r="EF228" s="1">
        <v>2.4662125009123868</v>
      </c>
      <c r="EG228" s="1">
        <v>1.6</v>
      </c>
      <c r="EH228" s="53">
        <v>5.8999999999999995</v>
      </c>
      <c r="EJ228" s="1" t="s">
        <v>641</v>
      </c>
      <c r="EL228" s="1">
        <v>2525</v>
      </c>
      <c r="EM228" s="1">
        <v>2010</v>
      </c>
      <c r="EN228" s="1">
        <v>3040</v>
      </c>
      <c r="EO228" s="1">
        <v>0</v>
      </c>
      <c r="EP228" s="1">
        <v>0</v>
      </c>
      <c r="EQ228" s="1">
        <v>0</v>
      </c>
      <c r="ER228" s="1">
        <v>50</v>
      </c>
      <c r="ES228" s="1">
        <v>20</v>
      </c>
      <c r="ET228" s="1">
        <v>80</v>
      </c>
      <c r="EU228" s="1">
        <v>2.3405882352941174</v>
      </c>
      <c r="EV228" s="18">
        <v>0.81411764705882328</v>
      </c>
      <c r="EW228" s="18">
        <v>3.8670588235294114</v>
      </c>
      <c r="EX228" s="18">
        <v>178.08823529411762</v>
      </c>
      <c r="EY228" s="7">
        <v>50.882352941176464</v>
      </c>
      <c r="EZ228" s="7">
        <v>305.29411764705878</v>
      </c>
      <c r="FA228" s="7">
        <v>433.00882352941176</v>
      </c>
      <c r="FB228" s="7">
        <v>384.16176470588232</v>
      </c>
      <c r="FC228" s="7">
        <v>481.85588235294114</v>
      </c>
      <c r="FD228" s="7">
        <v>0</v>
      </c>
      <c r="FE228" s="7">
        <v>0</v>
      </c>
      <c r="FF228" s="7">
        <v>30.52941176470588</v>
      </c>
      <c r="FG228" s="7">
        <v>44.776470588235291</v>
      </c>
      <c r="FH228" s="7">
        <v>24.423529411764704</v>
      </c>
      <c r="FI228" s="7">
        <v>65.129411764705878</v>
      </c>
      <c r="FJ228" s="7">
        <v>2.0352941176470587</v>
      </c>
      <c r="FK228" s="7">
        <v>0</v>
      </c>
      <c r="FL228" s="7">
        <v>4.0705882352941174</v>
      </c>
      <c r="FO228" s="1">
        <v>220</v>
      </c>
      <c r="FP228" s="1">
        <v>220</v>
      </c>
      <c r="FR228" s="12" t="s">
        <v>638</v>
      </c>
      <c r="FS228" s="1" t="s">
        <v>638</v>
      </c>
      <c r="FT228" s="12">
        <v>182</v>
      </c>
      <c r="FU228" s="12"/>
      <c r="FV228" s="12">
        <v>182</v>
      </c>
      <c r="FW228" s="12">
        <v>182</v>
      </c>
      <c r="FX228" s="1">
        <v>182</v>
      </c>
      <c r="FY228" s="12" t="s">
        <v>637</v>
      </c>
      <c r="FZ228" s="12" t="s">
        <v>636</v>
      </c>
      <c r="GA228" s="1">
        <v>202</v>
      </c>
      <c r="GB228" s="1">
        <v>202</v>
      </c>
      <c r="GD228" s="1" t="s">
        <v>640</v>
      </c>
      <c r="GE228" s="1">
        <v>211</v>
      </c>
      <c r="GF228" s="1">
        <v>214</v>
      </c>
      <c r="GG228" s="1">
        <v>220</v>
      </c>
      <c r="GH228" s="1">
        <v>214</v>
      </c>
      <c r="GK228" s="1" t="s">
        <v>639</v>
      </c>
    </row>
    <row r="229" spans="1:193" ht="12.75" customHeight="1" x14ac:dyDescent="0.2">
      <c r="A229" s="1" t="s">
        <v>80</v>
      </c>
      <c r="D229" s="1" t="s">
        <v>578</v>
      </c>
      <c r="E229" s="1" t="s">
        <v>129</v>
      </c>
      <c r="F229" s="1">
        <v>1</v>
      </c>
      <c r="G229" s="1">
        <v>2030</v>
      </c>
      <c r="H229" s="1">
        <v>1</v>
      </c>
      <c r="I229" s="1">
        <v>1</v>
      </c>
      <c r="J229" s="1">
        <v>0</v>
      </c>
      <c r="K229" s="10">
        <v>716.79484548767221</v>
      </c>
      <c r="L229" s="10">
        <v>476.6441914722447</v>
      </c>
      <c r="M229" s="10">
        <v>956.94549950309988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8"/>
      <c r="BQ229" s="10">
        <v>86.551758553783543</v>
      </c>
      <c r="BR229" s="10">
        <v>25.59981591027401</v>
      </c>
      <c r="BS229" s="10">
        <v>147.50370119729311</v>
      </c>
      <c r="BT229" s="10">
        <f>Tabelle58971121[[#This Row],[Mindestauslastung durch]]*Tabelle58971121[[#This Row],[installierte Leistung MW durch]]</f>
        <v>0</v>
      </c>
      <c r="BU229" s="10">
        <f>Tabelle58971121[[#This Row],[Mindestauslastung min]]*Tabelle58971121[[#This Row],[installierte Leistung MW min]]</f>
        <v>0</v>
      </c>
      <c r="BV229" s="18">
        <f>Tabelle58971121[[#This Row],[Mindestauslastung max]]*Tabelle58971121[[#This Row],[installierte Leistung MW max]]</f>
        <v>0</v>
      </c>
      <c r="BW229" s="8">
        <v>0</v>
      </c>
      <c r="BX229" s="8">
        <v>0</v>
      </c>
      <c r="BY229" s="8">
        <v>0</v>
      </c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41">
        <v>0.84786474847380633</v>
      </c>
      <c r="DC229" s="41">
        <v>0.80359424542141877</v>
      </c>
      <c r="DD229" s="41">
        <v>0.89213525152619377</v>
      </c>
      <c r="DE229" s="10">
        <f>Tabelle58971121[[#This Row],[Durchschnittsauslastung min]]*Tabelle58971121[[#This Row],[installierte Leistung MW min]]</f>
        <v>505.14528137535819</v>
      </c>
      <c r="DF229" s="10">
        <f>Tabelle58971121[[#This Row],[Durchschnittsauslastung durch]]*Tabelle58971121[[#This Row],[installierte Leistung MW durch]]</f>
        <v>674.36445558739251</v>
      </c>
      <c r="DG229" s="48">
        <f>Tabelle58971121[[#This Row],[Durchschnittsauslastung max]]*Tabelle58971121[[#This Row],[installierte Leistung MW max]]</f>
        <v>965.81253524355293</v>
      </c>
      <c r="DH229" s="87">
        <f>Tabelle58971121[[#This Row],[Maximalauslastung durch]]*Tabelle58971121[[#This Row],[installierte Leistung MW min]]</f>
        <v>565.99595415472777</v>
      </c>
      <c r="DI229" s="48">
        <f>Tabelle58971121[[#This Row],[Maximalauslastung durch]]*Tabelle58971121[[#This Row],[installierte Leistung MW durch]]</f>
        <v>797.22600859598845</v>
      </c>
      <c r="DJ229" s="10">
        <f>Tabelle58971121[[#This Row],[Maximalauslastung max]]*Tabelle58971121[[#This Row],[installierte Leistung MW durch]]</f>
        <v>805.6178613180515</v>
      </c>
      <c r="DK229" s="8">
        <v>0.95</v>
      </c>
      <c r="DL229" s="8">
        <v>0.94000000000000017</v>
      </c>
      <c r="DM229" s="8">
        <v>0.96</v>
      </c>
      <c r="DN229" s="10">
        <v>839.18527220630369</v>
      </c>
      <c r="DO229" s="10">
        <v>595.78521489971342</v>
      </c>
      <c r="DP229" s="10">
        <v>1082.5853295128938</v>
      </c>
      <c r="DQ229" s="1">
        <v>0.20885983073840958</v>
      </c>
      <c r="DR229" s="1">
        <v>8.3333333333333332E-3</v>
      </c>
      <c r="DS229" s="53">
        <v>0.5</v>
      </c>
      <c r="DT229" s="1">
        <v>0.77166666666666672</v>
      </c>
      <c r="DU229" s="1">
        <v>8.3333333333333329E-2</v>
      </c>
      <c r="DV229" s="53">
        <v>3</v>
      </c>
      <c r="DW229" s="1">
        <v>0.74946760683356195</v>
      </c>
      <c r="DX229" s="1">
        <v>0.5</v>
      </c>
      <c r="DY229" s="53">
        <v>2.4</v>
      </c>
      <c r="DZ229" s="1">
        <v>2.2135251526193742</v>
      </c>
      <c r="EA229" s="1">
        <v>1</v>
      </c>
      <c r="EB229" s="53">
        <v>5</v>
      </c>
      <c r="EC229" s="1">
        <v>2.9629927594529364</v>
      </c>
      <c r="ED229" s="1">
        <v>2.3443609022556395</v>
      </c>
      <c r="EE229" s="53">
        <v>2.5525340143542774</v>
      </c>
      <c r="EF229" s="1">
        <v>2.4562301831432491</v>
      </c>
      <c r="EG229" s="1">
        <v>1.6</v>
      </c>
      <c r="EH229" s="53">
        <v>5.8999999999999995</v>
      </c>
      <c r="EJ229" s="1" t="s">
        <v>641</v>
      </c>
      <c r="EL229" s="1">
        <v>2525</v>
      </c>
      <c r="EM229" s="1">
        <v>2010</v>
      </c>
      <c r="EN229" s="1">
        <v>3040</v>
      </c>
      <c r="EO229" s="1">
        <v>0</v>
      </c>
      <c r="EP229" s="1">
        <v>0</v>
      </c>
      <c r="EQ229" s="1">
        <v>0</v>
      </c>
      <c r="ER229" s="1">
        <v>50</v>
      </c>
      <c r="ES229" s="1">
        <v>20</v>
      </c>
      <c r="ET229" s="1">
        <v>80</v>
      </c>
      <c r="EU229" s="1">
        <v>2.3405882352941174</v>
      </c>
      <c r="EV229" s="18">
        <v>0.81411764705882328</v>
      </c>
      <c r="EW229" s="18">
        <v>3.8670588235294114</v>
      </c>
      <c r="EX229" s="18">
        <v>178.08823529411762</v>
      </c>
      <c r="EY229" s="7">
        <v>50.882352941176464</v>
      </c>
      <c r="EZ229" s="7">
        <v>305.29411764705878</v>
      </c>
      <c r="FA229" s="7">
        <v>433.00882352941176</v>
      </c>
      <c r="FB229" s="7">
        <v>384.16176470588232</v>
      </c>
      <c r="FC229" s="7">
        <v>481.85588235294114</v>
      </c>
      <c r="FD229" s="7">
        <v>0</v>
      </c>
      <c r="FE229" s="7">
        <v>0</v>
      </c>
      <c r="FF229" s="7">
        <v>30.52941176470588</v>
      </c>
      <c r="FG229" s="7">
        <v>44.776470588235291</v>
      </c>
      <c r="FH229" s="7">
        <v>24.423529411764704</v>
      </c>
      <c r="FI229" s="7">
        <v>65.129411764705878</v>
      </c>
      <c r="FJ229" s="7">
        <v>2.0352941176470587</v>
      </c>
      <c r="FK229" s="7">
        <v>0</v>
      </c>
      <c r="FL229" s="7">
        <v>4.0705882352941174</v>
      </c>
      <c r="FO229" s="1">
        <v>220</v>
      </c>
      <c r="FP229" s="1">
        <v>220</v>
      </c>
      <c r="FR229" s="12" t="s">
        <v>638</v>
      </c>
      <c r="FS229" s="1" t="s">
        <v>638</v>
      </c>
      <c r="FT229" s="12">
        <v>182</v>
      </c>
      <c r="FU229" s="12"/>
      <c r="FV229" s="12">
        <v>182</v>
      </c>
      <c r="FW229" s="12">
        <v>182</v>
      </c>
      <c r="FX229" s="1">
        <v>182</v>
      </c>
      <c r="FY229" s="12" t="s">
        <v>637</v>
      </c>
      <c r="FZ229" s="12" t="s">
        <v>636</v>
      </c>
      <c r="GA229" s="1">
        <v>202</v>
      </c>
      <c r="GB229" s="1">
        <v>202</v>
      </c>
      <c r="GD229" s="1" t="s">
        <v>640</v>
      </c>
      <c r="GE229" s="1">
        <v>211</v>
      </c>
      <c r="GF229" s="1">
        <v>214</v>
      </c>
      <c r="GG229" s="1">
        <v>220</v>
      </c>
      <c r="GH229" s="1">
        <v>214</v>
      </c>
      <c r="GK229" s="1" t="s">
        <v>639</v>
      </c>
    </row>
    <row r="230" spans="1:193" ht="12.75" customHeight="1" x14ac:dyDescent="0.2">
      <c r="A230" s="1" t="s">
        <v>80</v>
      </c>
      <c r="D230" s="1" t="s">
        <v>578</v>
      </c>
      <c r="E230" s="1" t="s">
        <v>129</v>
      </c>
      <c r="F230" s="1">
        <v>1</v>
      </c>
      <c r="G230" s="1">
        <v>2035</v>
      </c>
      <c r="H230" s="1">
        <v>1</v>
      </c>
      <c r="I230" s="1">
        <v>1</v>
      </c>
      <c r="J230" s="1">
        <v>0</v>
      </c>
      <c r="K230" s="10">
        <v>743.38463121783889</v>
      </c>
      <c r="L230" s="10">
        <v>494.3254945683247</v>
      </c>
      <c r="M230" s="10">
        <v>992.4437678673529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8"/>
      <c r="BQ230" s="10">
        <v>89.76242995997714</v>
      </c>
      <c r="BR230" s="10">
        <v>26.54945111492281</v>
      </c>
      <c r="BS230" s="10">
        <v>152.97540880503146</v>
      </c>
      <c r="BT230" s="10">
        <f>Tabelle58971121[[#This Row],[Mindestauslastung durch]]*Tabelle58971121[[#This Row],[installierte Leistung MW durch]]</f>
        <v>0</v>
      </c>
      <c r="BU230" s="10">
        <f>Tabelle58971121[[#This Row],[Mindestauslastung min]]*Tabelle58971121[[#This Row],[installierte Leistung MW min]]</f>
        <v>0</v>
      </c>
      <c r="BV230" s="18">
        <f>Tabelle58971121[[#This Row],[Mindestauslastung max]]*Tabelle58971121[[#This Row],[installierte Leistung MW max]]</f>
        <v>0</v>
      </c>
      <c r="BW230" s="8">
        <v>0</v>
      </c>
      <c r="BX230" s="8">
        <v>0</v>
      </c>
      <c r="BY230" s="8">
        <v>0</v>
      </c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41">
        <v>0.84795769010863353</v>
      </c>
      <c r="DC230" s="41">
        <v>0.8038730703259005</v>
      </c>
      <c r="DD230" s="41">
        <v>0.89204230989136646</v>
      </c>
      <c r="DE230" s="10">
        <f>Tabelle58971121[[#This Row],[Durchschnittsauslastung min]]*Tabelle58971121[[#This Row],[installierte Leistung MW min]]</f>
        <v>522.68938108882526</v>
      </c>
      <c r="DF230" s="10">
        <f>Tabelle58971121[[#This Row],[Durchschnittsauslastung durch]]*Tabelle58971121[[#This Row],[installierte Leistung MW durch]]</f>
        <v>697.95127650429799</v>
      </c>
      <c r="DG230" s="48">
        <f>Tabelle58971121[[#This Row],[Durchschnittsauslastung max]]*Tabelle58971121[[#This Row],[installierte Leistung MW max]]</f>
        <v>999.14234097421195</v>
      </c>
      <c r="DH230" s="87">
        <f>Tabelle58971121[[#This Row],[Maximalauslastung durch]]*Tabelle58971121[[#This Row],[installierte Leistung MW min]]</f>
        <v>585.5892550143268</v>
      </c>
      <c r="DI230" s="48">
        <f>Tabelle58971121[[#This Row],[Maximalauslastung durch]]*Tabelle58971121[[#This Row],[installierte Leistung MW durch]]</f>
        <v>824.82388968481393</v>
      </c>
      <c r="DJ230" s="10">
        <f>Tabelle58971121[[#This Row],[Maximalauslastung max]]*Tabelle58971121[[#This Row],[installierte Leistung MW durch]]</f>
        <v>833.50624641833815</v>
      </c>
      <c r="DK230" s="8">
        <v>0.95000000000000018</v>
      </c>
      <c r="DL230" s="8">
        <v>0.94</v>
      </c>
      <c r="DM230" s="8">
        <v>0.96</v>
      </c>
      <c r="DN230" s="10">
        <v>868.23567335243558</v>
      </c>
      <c r="DO230" s="10">
        <v>616.40974212034382</v>
      </c>
      <c r="DP230" s="10">
        <v>1120.0616045845272</v>
      </c>
      <c r="DQ230" s="1">
        <v>0.20838350485991994</v>
      </c>
      <c r="DR230" s="1">
        <v>8.3333333333333332E-3</v>
      </c>
      <c r="DS230" s="53">
        <v>0.5</v>
      </c>
      <c r="DT230" s="1">
        <v>0.77166666666666683</v>
      </c>
      <c r="DU230" s="1">
        <v>8.3333333333333329E-2</v>
      </c>
      <c r="DV230" s="53">
        <v>3</v>
      </c>
      <c r="DW230" s="1">
        <v>0.74296169239565468</v>
      </c>
      <c r="DX230" s="1">
        <v>0.5</v>
      </c>
      <c r="DY230" s="53">
        <v>2.4</v>
      </c>
      <c r="DZ230" s="1">
        <v>2.2042309891366498</v>
      </c>
      <c r="EA230" s="1">
        <v>1</v>
      </c>
      <c r="EB230" s="53">
        <v>5</v>
      </c>
      <c r="EC230" s="1">
        <v>2.9471926815323046</v>
      </c>
      <c r="ED230" s="1">
        <v>2.3377643504531727</v>
      </c>
      <c r="EE230" s="53">
        <v>2.5378497947870589</v>
      </c>
      <c r="EF230" s="1">
        <v>2.4450771869639798</v>
      </c>
      <c r="EG230" s="1">
        <v>1.6</v>
      </c>
      <c r="EH230" s="53">
        <v>5.8999999999999995</v>
      </c>
      <c r="EJ230" s="1" t="s">
        <v>641</v>
      </c>
      <c r="EL230" s="1">
        <v>2525</v>
      </c>
      <c r="EM230" s="1">
        <v>2010</v>
      </c>
      <c r="EN230" s="1">
        <v>3040</v>
      </c>
      <c r="EO230" s="1">
        <v>0</v>
      </c>
      <c r="EP230" s="1">
        <v>0</v>
      </c>
      <c r="EQ230" s="1">
        <v>0</v>
      </c>
      <c r="ER230" s="1">
        <v>50</v>
      </c>
      <c r="ES230" s="1">
        <v>20</v>
      </c>
      <c r="ET230" s="1">
        <v>80</v>
      </c>
      <c r="EU230" s="1">
        <v>2.3405882352941174</v>
      </c>
      <c r="EV230" s="18">
        <v>0.81411764705882328</v>
      </c>
      <c r="EW230" s="18">
        <v>3.8670588235294114</v>
      </c>
      <c r="EX230" s="18">
        <v>178.08823529411762</v>
      </c>
      <c r="EY230" s="7">
        <v>50.882352941176464</v>
      </c>
      <c r="EZ230" s="7">
        <v>305.29411764705878</v>
      </c>
      <c r="FA230" s="7">
        <v>433.00882352941176</v>
      </c>
      <c r="FB230" s="7">
        <v>384.16176470588232</v>
      </c>
      <c r="FC230" s="7">
        <v>481.85588235294114</v>
      </c>
      <c r="FD230" s="7">
        <v>0</v>
      </c>
      <c r="FE230" s="7">
        <v>0</v>
      </c>
      <c r="FF230" s="7">
        <v>30.52941176470588</v>
      </c>
      <c r="FG230" s="7">
        <v>44.776470588235291</v>
      </c>
      <c r="FH230" s="7">
        <v>24.423529411764704</v>
      </c>
      <c r="FI230" s="7">
        <v>65.129411764705878</v>
      </c>
      <c r="FJ230" s="7">
        <v>2.0352941176470587</v>
      </c>
      <c r="FK230" s="7">
        <v>0</v>
      </c>
      <c r="FL230" s="7">
        <v>4.0705882352941174</v>
      </c>
      <c r="FO230" s="1">
        <v>220</v>
      </c>
      <c r="FP230" s="1">
        <v>220</v>
      </c>
      <c r="FR230" s="12" t="s">
        <v>638</v>
      </c>
      <c r="FS230" s="1" t="s">
        <v>638</v>
      </c>
      <c r="FT230" s="12">
        <v>182</v>
      </c>
      <c r="FU230" s="12"/>
      <c r="FV230" s="12">
        <v>182</v>
      </c>
      <c r="FW230" s="12">
        <v>182</v>
      </c>
      <c r="FX230" s="1">
        <v>182</v>
      </c>
      <c r="FY230" s="12" t="s">
        <v>637</v>
      </c>
      <c r="FZ230" s="12" t="s">
        <v>636</v>
      </c>
      <c r="GA230" s="1">
        <v>202</v>
      </c>
      <c r="GB230" s="1">
        <v>202</v>
      </c>
      <c r="GD230" s="1" t="s">
        <v>640</v>
      </c>
      <c r="GE230" s="1">
        <v>211</v>
      </c>
      <c r="GF230" s="1">
        <v>214</v>
      </c>
      <c r="GG230" s="1">
        <v>220</v>
      </c>
      <c r="GH230" s="1">
        <v>214</v>
      </c>
      <c r="GK230" s="1" t="s">
        <v>639</v>
      </c>
    </row>
    <row r="231" spans="1:193" ht="12.75" customHeight="1" x14ac:dyDescent="0.2">
      <c r="A231" s="1" t="s">
        <v>80</v>
      </c>
      <c r="D231" s="1" t="s">
        <v>578</v>
      </c>
      <c r="E231" s="1" t="s">
        <v>129</v>
      </c>
      <c r="F231" s="1">
        <v>1</v>
      </c>
      <c r="G231" s="1">
        <v>2040</v>
      </c>
      <c r="H231" s="1">
        <v>1</v>
      </c>
      <c r="I231" s="1">
        <v>1</v>
      </c>
      <c r="J231" s="1">
        <v>0</v>
      </c>
      <c r="K231" s="10">
        <v>769.88687977669986</v>
      </c>
      <c r="L231" s="10">
        <v>511.94858842294144</v>
      </c>
      <c r="M231" s="10">
        <v>1027.8251711304579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8"/>
      <c r="BQ231" s="10">
        <v>92.962531401608317</v>
      </c>
      <c r="BR231" s="10">
        <v>27.495959992024989</v>
      </c>
      <c r="BS231" s="10">
        <v>158.4291028111916</v>
      </c>
      <c r="BT231" s="10">
        <f>Tabelle58971121[[#This Row],[Mindestauslastung durch]]*Tabelle58971121[[#This Row],[installierte Leistung MW durch]]</f>
        <v>0</v>
      </c>
      <c r="BU231" s="10">
        <f>Tabelle58971121[[#This Row],[Mindestauslastung min]]*Tabelle58971121[[#This Row],[installierte Leistung MW min]]</f>
        <v>0</v>
      </c>
      <c r="BV231" s="18">
        <f>Tabelle58971121[[#This Row],[Mindestauslastung max]]*Tabelle58971121[[#This Row],[installierte Leistung MW max]]</f>
        <v>0</v>
      </c>
      <c r="BW231" s="8">
        <v>0</v>
      </c>
      <c r="BX231" s="8">
        <v>0</v>
      </c>
      <c r="BY231" s="8">
        <v>0</v>
      </c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41">
        <v>0.84806340134246028</v>
      </c>
      <c r="DC231" s="41">
        <v>0.80419020402738084</v>
      </c>
      <c r="DD231" s="41">
        <v>0.89193659865753971</v>
      </c>
      <c r="DE231" s="10">
        <f>Tabelle58971121[[#This Row],[Durchschnittsauslastung min]]*Tabelle58971121[[#This Row],[installierte Leistung MW min]]</f>
        <v>539.68354040114616</v>
      </c>
      <c r="DF231" s="10">
        <f>Tabelle58971121[[#This Row],[Durchschnittsauslastung durch]]*Tabelle58971121[[#This Row],[installierte Leistung MW durch]]</f>
        <v>720.83814756446986</v>
      </c>
      <c r="DG231" s="48">
        <f>Tabelle58971121[[#This Row],[Durchschnittsauslastung max]]*Tabelle58971121[[#This Row],[installierte Leistung MW max]]</f>
        <v>1031.3765484240689</v>
      </c>
      <c r="DH231" s="87">
        <f>Tabelle58971121[[#This Row],[Maximalauslastung durch]]*Tabelle58971121[[#This Row],[installierte Leistung MW min]]</f>
        <v>604.55310601719214</v>
      </c>
      <c r="DI231" s="48">
        <f>Tabelle58971121[[#This Row],[Maximalauslastung durch]]*Tabelle58971121[[#This Row],[installierte Leistung MW durch]]</f>
        <v>851.53516762177674</v>
      </c>
      <c r="DJ231" s="10">
        <f>Tabelle58971121[[#This Row],[Maximalauslastung max]]*Tabelle58971121[[#This Row],[installierte Leistung MW durch]]</f>
        <v>860.49869570200576</v>
      </c>
      <c r="DK231" s="8">
        <v>0.95000000000000018</v>
      </c>
      <c r="DL231" s="8">
        <v>0.94</v>
      </c>
      <c r="DM231" s="8">
        <v>0.96</v>
      </c>
      <c r="DN231" s="10">
        <v>896.35280802292266</v>
      </c>
      <c r="DO231" s="10">
        <v>636.37169054441267</v>
      </c>
      <c r="DP231" s="10">
        <v>1156.3339255014328</v>
      </c>
      <c r="DQ231" s="1">
        <v>0.20784173478655765</v>
      </c>
      <c r="DR231" s="1">
        <v>8.3333333333333332E-3</v>
      </c>
      <c r="DS231" s="53">
        <v>0.5</v>
      </c>
      <c r="DT231" s="1">
        <v>0.77166666666666683</v>
      </c>
      <c r="DU231" s="1">
        <v>8.3333333333333329E-2</v>
      </c>
      <c r="DV231" s="53">
        <v>3</v>
      </c>
      <c r="DW231" s="1">
        <v>0.7355619060277796</v>
      </c>
      <c r="DX231" s="1">
        <v>0.5</v>
      </c>
      <c r="DY231" s="53">
        <v>2.4</v>
      </c>
      <c r="DZ231" s="1">
        <v>2.193659865753971</v>
      </c>
      <c r="EA231" s="1">
        <v>1</v>
      </c>
      <c r="EB231" s="53">
        <v>5</v>
      </c>
      <c r="EC231" s="1">
        <v>2.9292217717817506</v>
      </c>
      <c r="ED231" s="1">
        <v>2.3302977232924693</v>
      </c>
      <c r="EE231" s="53">
        <v>2.521077959576516</v>
      </c>
      <c r="EF231" s="1">
        <v>2.4323918389047652</v>
      </c>
      <c r="EG231" s="1">
        <v>1.6</v>
      </c>
      <c r="EH231" s="53">
        <v>5.8999999999999995</v>
      </c>
      <c r="EJ231" s="1" t="s">
        <v>641</v>
      </c>
      <c r="EL231" s="1">
        <v>2525</v>
      </c>
      <c r="EM231" s="1">
        <v>2010</v>
      </c>
      <c r="EN231" s="1">
        <v>3040</v>
      </c>
      <c r="EO231" s="1">
        <v>0</v>
      </c>
      <c r="EP231" s="1">
        <v>0</v>
      </c>
      <c r="EQ231" s="1">
        <v>0</v>
      </c>
      <c r="ER231" s="1">
        <v>50</v>
      </c>
      <c r="ES231" s="1">
        <v>20</v>
      </c>
      <c r="ET231" s="1">
        <v>80</v>
      </c>
      <c r="EU231" s="1">
        <v>2.3405882352941174</v>
      </c>
      <c r="EV231" s="18">
        <v>0.81411764705882328</v>
      </c>
      <c r="EW231" s="18">
        <v>3.8670588235294114</v>
      </c>
      <c r="EX231" s="18">
        <v>178.08823529411762</v>
      </c>
      <c r="EY231" s="7">
        <v>50.882352941176464</v>
      </c>
      <c r="EZ231" s="7">
        <v>305.29411764705878</v>
      </c>
      <c r="FA231" s="7">
        <v>433.00882352941176</v>
      </c>
      <c r="FB231" s="7">
        <v>384.16176470588232</v>
      </c>
      <c r="FC231" s="7">
        <v>481.85588235294114</v>
      </c>
      <c r="FD231" s="7">
        <v>0</v>
      </c>
      <c r="FE231" s="7">
        <v>0</v>
      </c>
      <c r="FF231" s="7">
        <v>30.52941176470588</v>
      </c>
      <c r="FG231" s="7">
        <v>44.776470588235291</v>
      </c>
      <c r="FH231" s="7">
        <v>24.423529411764704</v>
      </c>
      <c r="FI231" s="7">
        <v>65.129411764705878</v>
      </c>
      <c r="FJ231" s="7">
        <v>2.0352941176470587</v>
      </c>
      <c r="FK231" s="7">
        <v>0</v>
      </c>
      <c r="FL231" s="7">
        <v>4.0705882352941174</v>
      </c>
      <c r="FO231" s="1">
        <v>220</v>
      </c>
      <c r="FP231" s="1">
        <v>220</v>
      </c>
      <c r="FR231" s="12" t="s">
        <v>638</v>
      </c>
      <c r="FS231" s="1" t="s">
        <v>638</v>
      </c>
      <c r="FT231" s="12">
        <v>182</v>
      </c>
      <c r="FU231" s="12"/>
      <c r="FV231" s="12">
        <v>182</v>
      </c>
      <c r="FW231" s="12">
        <v>182</v>
      </c>
      <c r="FX231" s="1">
        <v>182</v>
      </c>
      <c r="FY231" s="12" t="s">
        <v>637</v>
      </c>
      <c r="FZ231" s="12" t="s">
        <v>636</v>
      </c>
      <c r="GA231" s="1">
        <v>202</v>
      </c>
      <c r="GB231" s="1">
        <v>202</v>
      </c>
      <c r="GD231" s="1" t="s">
        <v>640</v>
      </c>
      <c r="GE231" s="1">
        <v>211</v>
      </c>
      <c r="GF231" s="1">
        <v>214</v>
      </c>
      <c r="GG231" s="1">
        <v>220</v>
      </c>
      <c r="GH231" s="1">
        <v>214</v>
      </c>
      <c r="GK231" s="1" t="s">
        <v>639</v>
      </c>
    </row>
    <row r="232" spans="1:193" ht="12.75" customHeight="1" x14ac:dyDescent="0.2">
      <c r="A232" s="1" t="s">
        <v>80</v>
      </c>
      <c r="D232" s="1" t="s">
        <v>578</v>
      </c>
      <c r="E232" s="1" t="s">
        <v>129</v>
      </c>
      <c r="F232" s="1">
        <v>1</v>
      </c>
      <c r="G232" s="1">
        <v>2045</v>
      </c>
      <c r="H232" s="1">
        <v>1</v>
      </c>
      <c r="I232" s="1">
        <v>1</v>
      </c>
      <c r="J232" s="1">
        <v>0</v>
      </c>
      <c r="K232" s="10">
        <v>797.01328298000169</v>
      </c>
      <c r="L232" s="10">
        <v>529.98672388636157</v>
      </c>
      <c r="M232" s="10">
        <v>1064.0398420736412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8"/>
      <c r="BQ232" s="10">
        <v>96.237998455068222</v>
      </c>
      <c r="BR232" s="10">
        <v>28.464760106428628</v>
      </c>
      <c r="BS232" s="10">
        <v>164.01123680370776</v>
      </c>
      <c r="BT232" s="10">
        <f>Tabelle58971121[[#This Row],[Mindestauslastung durch]]*Tabelle58971121[[#This Row],[installierte Leistung MW durch]]</f>
        <v>0</v>
      </c>
      <c r="BU232" s="10">
        <f>Tabelle58971121[[#This Row],[Mindestauslastung min]]*Tabelle58971121[[#This Row],[installierte Leistung MW min]]</f>
        <v>0</v>
      </c>
      <c r="BV232" s="18">
        <f>Tabelle58971121[[#This Row],[Mindestauslastung max]]*Tabelle58971121[[#This Row],[installierte Leistung MW max]]</f>
        <v>0</v>
      </c>
      <c r="BW232" s="8">
        <v>0</v>
      </c>
      <c r="BX232" s="8">
        <v>0</v>
      </c>
      <c r="BY232" s="8">
        <v>0</v>
      </c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41">
        <v>0.84814436529053305</v>
      </c>
      <c r="DC232" s="41">
        <v>0.80443309587159884</v>
      </c>
      <c r="DD232" s="41">
        <v>0.89185563470946705</v>
      </c>
      <c r="DE232" s="10">
        <f>Tabelle58971121[[#This Row],[Durchschnittsauslastung min]]*Tabelle58971121[[#This Row],[installierte Leistung MW min]]</f>
        <v>557.22764011461322</v>
      </c>
      <c r="DF232" s="10">
        <f>Tabelle58971121[[#This Row],[Durchschnittsauslastung durch]]*Tabelle58971121[[#This Row],[installierte Leistung MW durch]]</f>
        <v>744.42496848137523</v>
      </c>
      <c r="DG232" s="48">
        <f>Tabelle58971121[[#This Row],[Durchschnittsauslastung max]]*Tabelle58971121[[#This Row],[installierte Leistung MW max]]</f>
        <v>1064.7063541547277</v>
      </c>
      <c r="DH232" s="87">
        <f>Tabelle58971121[[#This Row],[Maximalauslastung durch]]*Tabelle58971121[[#This Row],[installierte Leistung MW min]]</f>
        <v>624.14640687679082</v>
      </c>
      <c r="DI232" s="48">
        <f>Tabelle58971121[[#This Row],[Maximalauslastung durch]]*Tabelle58971121[[#This Row],[installierte Leistung MW durch]]</f>
        <v>879.13304871060166</v>
      </c>
      <c r="DJ232" s="10">
        <f>Tabelle58971121[[#This Row],[Maximalauslastung max]]*Tabelle58971121[[#This Row],[installierte Leistung MW durch]]</f>
        <v>888.38708080229219</v>
      </c>
      <c r="DK232" s="8">
        <v>0.95</v>
      </c>
      <c r="DL232" s="8">
        <v>0.93999999999999984</v>
      </c>
      <c r="DM232" s="8">
        <v>0.96</v>
      </c>
      <c r="DN232" s="10">
        <v>925.40320916905443</v>
      </c>
      <c r="DO232" s="10">
        <v>656.99621776504296</v>
      </c>
      <c r="DP232" s="10">
        <v>1193.8102005730657</v>
      </c>
      <c r="DQ232" s="1">
        <v>0.20742679455268501</v>
      </c>
      <c r="DR232" s="1">
        <v>8.3333333333333332E-3</v>
      </c>
      <c r="DS232" s="53">
        <v>0.5</v>
      </c>
      <c r="DT232" s="1">
        <v>0.77166666666666683</v>
      </c>
      <c r="DU232" s="1">
        <v>8.3333333333333329E-2</v>
      </c>
      <c r="DV232" s="53">
        <v>3</v>
      </c>
      <c r="DW232" s="1">
        <v>0.72989442966268991</v>
      </c>
      <c r="DX232" s="1">
        <v>0.5</v>
      </c>
      <c r="DY232" s="53">
        <v>2.4</v>
      </c>
      <c r="DZ232" s="1">
        <v>2.1855634709466996</v>
      </c>
      <c r="EA232" s="1">
        <v>1</v>
      </c>
      <c r="EB232" s="53">
        <v>5</v>
      </c>
      <c r="EC232" s="1">
        <v>2.9154579006093897</v>
      </c>
      <c r="ED232" s="1">
        <v>2.324604966139955</v>
      </c>
      <c r="EE232" s="53">
        <v>2.5081817086395954</v>
      </c>
      <c r="EF232" s="1">
        <v>2.42267616513604</v>
      </c>
      <c r="EG232" s="1">
        <v>1.6</v>
      </c>
      <c r="EH232" s="53">
        <v>5.8999999999999995</v>
      </c>
      <c r="EJ232" s="1" t="s">
        <v>641</v>
      </c>
      <c r="EL232" s="1">
        <v>2525</v>
      </c>
      <c r="EM232" s="1">
        <v>2010</v>
      </c>
      <c r="EN232" s="1">
        <v>3040</v>
      </c>
      <c r="EO232" s="1">
        <v>0</v>
      </c>
      <c r="EP232" s="1">
        <v>0</v>
      </c>
      <c r="EQ232" s="1">
        <v>0</v>
      </c>
      <c r="ER232" s="1">
        <v>50</v>
      </c>
      <c r="ES232" s="1">
        <v>20</v>
      </c>
      <c r="ET232" s="1">
        <v>80</v>
      </c>
      <c r="EU232" s="1">
        <v>2.3405882352941174</v>
      </c>
      <c r="EV232" s="18">
        <v>0.81411764705882328</v>
      </c>
      <c r="EW232" s="18">
        <v>3.8670588235294114</v>
      </c>
      <c r="EX232" s="18">
        <v>178.08823529411762</v>
      </c>
      <c r="EY232" s="7">
        <v>50.882352941176464</v>
      </c>
      <c r="EZ232" s="7">
        <v>305.29411764705878</v>
      </c>
      <c r="FA232" s="7">
        <v>433.00882352941176</v>
      </c>
      <c r="FB232" s="7">
        <v>384.16176470588232</v>
      </c>
      <c r="FC232" s="7">
        <v>481.85588235294114</v>
      </c>
      <c r="FD232" s="7">
        <v>0</v>
      </c>
      <c r="FE232" s="7">
        <v>0</v>
      </c>
      <c r="FF232" s="7">
        <v>30.52941176470588</v>
      </c>
      <c r="FG232" s="7">
        <v>44.776470588235291</v>
      </c>
      <c r="FH232" s="7">
        <v>24.423529411764704</v>
      </c>
      <c r="FI232" s="7">
        <v>65.129411764705878</v>
      </c>
      <c r="FJ232" s="7">
        <v>2.0352941176470587</v>
      </c>
      <c r="FK232" s="7">
        <v>0</v>
      </c>
      <c r="FL232" s="7">
        <v>4.0705882352941174</v>
      </c>
      <c r="FO232" s="1">
        <v>220</v>
      </c>
      <c r="FP232" s="1">
        <v>220</v>
      </c>
      <c r="FR232" s="12" t="s">
        <v>638</v>
      </c>
      <c r="FS232" s="1" t="s">
        <v>638</v>
      </c>
      <c r="FT232" s="12">
        <v>182</v>
      </c>
      <c r="FU232" s="12"/>
      <c r="FV232" s="12">
        <v>182</v>
      </c>
      <c r="FW232" s="12">
        <v>182</v>
      </c>
      <c r="FX232" s="1">
        <v>182</v>
      </c>
      <c r="FY232" s="12" t="s">
        <v>637</v>
      </c>
      <c r="FZ232" s="12" t="s">
        <v>636</v>
      </c>
      <c r="GA232" s="1">
        <v>202</v>
      </c>
      <c r="GB232" s="1">
        <v>202</v>
      </c>
      <c r="GD232" s="1" t="s">
        <v>640</v>
      </c>
      <c r="GE232" s="1">
        <v>211</v>
      </c>
      <c r="GF232" s="1">
        <v>214</v>
      </c>
      <c r="GG232" s="1">
        <v>220</v>
      </c>
      <c r="GH232" s="1">
        <v>214</v>
      </c>
      <c r="GK232" s="1" t="s">
        <v>639</v>
      </c>
    </row>
    <row r="233" spans="1:193" ht="12.75" customHeight="1" x14ac:dyDescent="0.2">
      <c r="A233" s="1" t="s">
        <v>80</v>
      </c>
      <c r="D233" s="1" t="s">
        <v>578</v>
      </c>
      <c r="E233" s="1" t="s">
        <v>129</v>
      </c>
      <c r="F233" s="1">
        <v>1</v>
      </c>
      <c r="G233" s="1">
        <v>2050</v>
      </c>
      <c r="H233" s="1">
        <v>1</v>
      </c>
      <c r="I233" s="1">
        <v>1</v>
      </c>
      <c r="J233" s="1">
        <v>0</v>
      </c>
      <c r="K233" s="10">
        <v>824.34708136559379</v>
      </c>
      <c r="L233" s="10">
        <v>548.16277009174689</v>
      </c>
      <c r="M233" s="10">
        <v>1100.5313926394408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8"/>
      <c r="BQ233" s="10">
        <v>99.538508124076799</v>
      </c>
      <c r="BR233" s="10">
        <v>29.440967191628349</v>
      </c>
      <c r="BS233" s="10">
        <v>169.63604905652525</v>
      </c>
      <c r="BT233" s="10">
        <f>Tabelle58971121[[#This Row],[Mindestauslastung durch]]*Tabelle58971121[[#This Row],[installierte Leistung MW durch]]</f>
        <v>0</v>
      </c>
      <c r="BU233" s="10">
        <f>Tabelle58971121[[#This Row],[Mindestauslastung min]]*Tabelle58971121[[#This Row],[installierte Leistung MW min]]</f>
        <v>0</v>
      </c>
      <c r="BV233" s="18">
        <f>Tabelle58971121[[#This Row],[Mindestauslastung max]]*Tabelle58971121[[#This Row],[installierte Leistung MW max]]</f>
        <v>0</v>
      </c>
      <c r="BW233" s="8">
        <v>0</v>
      </c>
      <c r="BX233" s="8">
        <v>0</v>
      </c>
      <c r="BY233" s="8">
        <v>0</v>
      </c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41">
        <v>0.84822040069070259</v>
      </c>
      <c r="DC233" s="41">
        <v>0.80466120207210767</v>
      </c>
      <c r="DD233" s="41">
        <v>0.8917795993092974</v>
      </c>
      <c r="DE233" s="10">
        <f>Tabelle58971121[[#This Row],[Durchschnittsauslastung min]]*Tabelle58971121[[#This Row],[installierte Leistung MW min]]</f>
        <v>574.77173982808029</v>
      </c>
      <c r="DF233" s="10">
        <f>Tabelle58971121[[#This Row],[Durchschnittsauslastung durch]]*Tabelle58971121[[#This Row],[installierte Leistung MW durch]]</f>
        <v>768.01178939828071</v>
      </c>
      <c r="DG233" s="48">
        <f>Tabelle58971121[[#This Row],[Durchschnittsauslastung max]]*Tabelle58971121[[#This Row],[installierte Leistung MW max]]</f>
        <v>1098.0361598853867</v>
      </c>
      <c r="DH233" s="87">
        <f>Tabelle58971121[[#This Row],[Maximalauslastung durch]]*Tabelle58971121[[#This Row],[installierte Leistung MW min]]</f>
        <v>643.73970773638962</v>
      </c>
      <c r="DI233" s="48">
        <f>Tabelle58971121[[#This Row],[Maximalauslastung durch]]*Tabelle58971121[[#This Row],[installierte Leistung MW durch]]</f>
        <v>906.7309297994268</v>
      </c>
      <c r="DJ233" s="10">
        <f>Tabelle58971121[[#This Row],[Maximalauslastung max]]*Tabelle58971121[[#This Row],[installierte Leistung MW durch]]</f>
        <v>916.27546590257873</v>
      </c>
      <c r="DK233" s="8">
        <v>0.95</v>
      </c>
      <c r="DL233" s="8">
        <v>0.94</v>
      </c>
      <c r="DM233" s="8">
        <v>0.96</v>
      </c>
      <c r="DN233" s="10">
        <v>954.45361031518621</v>
      </c>
      <c r="DO233" s="10">
        <v>677.62074498567335</v>
      </c>
      <c r="DP233" s="10">
        <v>1231.2864756446991</v>
      </c>
      <c r="DQ233" s="1">
        <v>0.20703711312681602</v>
      </c>
      <c r="DR233" s="1">
        <v>8.3333333333333332E-3</v>
      </c>
      <c r="DS233" s="53">
        <v>0.5</v>
      </c>
      <c r="DT233" s="1">
        <v>0.77166666666666672</v>
      </c>
      <c r="DU233" s="1">
        <v>8.3333333333333329E-2</v>
      </c>
      <c r="DV233" s="53">
        <v>3</v>
      </c>
      <c r="DW233" s="1">
        <v>0.72457195165082078</v>
      </c>
      <c r="DX233" s="1">
        <v>0.5</v>
      </c>
      <c r="DY233" s="53">
        <v>2.4</v>
      </c>
      <c r="DZ233" s="1">
        <v>2.1779599309297439</v>
      </c>
      <c r="EA233" s="1">
        <v>1</v>
      </c>
      <c r="EB233" s="53">
        <v>5</v>
      </c>
      <c r="EC233" s="1">
        <v>2.9025318825805648</v>
      </c>
      <c r="ED233" s="1">
        <v>2.3192790824685967</v>
      </c>
      <c r="EE233" s="53">
        <v>2.4960301904455431</v>
      </c>
      <c r="EF233" s="1">
        <v>2.4135519171156927</v>
      </c>
      <c r="EG233" s="1">
        <v>1.6</v>
      </c>
      <c r="EH233" s="53">
        <v>5.8999999999999995</v>
      </c>
      <c r="EJ233" s="1" t="s">
        <v>641</v>
      </c>
      <c r="EL233" s="1">
        <v>2525</v>
      </c>
      <c r="EM233" s="1">
        <v>2010</v>
      </c>
      <c r="EN233" s="1">
        <v>3040</v>
      </c>
      <c r="EO233" s="1">
        <v>0</v>
      </c>
      <c r="EP233" s="1">
        <v>0</v>
      </c>
      <c r="EQ233" s="1">
        <v>0</v>
      </c>
      <c r="ER233" s="1">
        <v>50</v>
      </c>
      <c r="ES233" s="1">
        <v>20</v>
      </c>
      <c r="ET233" s="1">
        <v>80</v>
      </c>
      <c r="EU233" s="1">
        <v>2.3405882352941174</v>
      </c>
      <c r="EV233" s="18">
        <v>0.81411764705882328</v>
      </c>
      <c r="EW233" s="18">
        <v>3.8670588235294114</v>
      </c>
      <c r="EX233" s="18">
        <v>178.08823529411762</v>
      </c>
      <c r="EY233" s="7">
        <v>50.882352941176464</v>
      </c>
      <c r="EZ233" s="7">
        <v>305.29411764705878</v>
      </c>
      <c r="FA233" s="7">
        <v>433.00882352941176</v>
      </c>
      <c r="FB233" s="7">
        <v>384.16176470588232</v>
      </c>
      <c r="FC233" s="7">
        <v>481.85588235294114</v>
      </c>
      <c r="FD233" s="7">
        <v>0</v>
      </c>
      <c r="FE233" s="7">
        <v>0</v>
      </c>
      <c r="FF233" s="7">
        <v>30.52941176470588</v>
      </c>
      <c r="FG233" s="7">
        <v>44.776470588235291</v>
      </c>
      <c r="FH233" s="7">
        <v>24.423529411764704</v>
      </c>
      <c r="FI233" s="7">
        <v>65.129411764705878</v>
      </c>
      <c r="FJ233" s="7">
        <v>2.0352941176470587</v>
      </c>
      <c r="FK233" s="7">
        <v>0</v>
      </c>
      <c r="FL233" s="7">
        <v>4.0705882352941174</v>
      </c>
      <c r="FO233" s="1">
        <v>220</v>
      </c>
      <c r="FP233" s="1">
        <v>220</v>
      </c>
      <c r="FR233" s="12" t="s">
        <v>638</v>
      </c>
      <c r="FS233" s="1" t="s">
        <v>638</v>
      </c>
      <c r="FT233" s="12">
        <v>182</v>
      </c>
      <c r="FU233" s="12"/>
      <c r="FV233" s="12">
        <v>182</v>
      </c>
      <c r="FW233" s="12">
        <v>182</v>
      </c>
      <c r="FX233" s="1">
        <v>182</v>
      </c>
      <c r="FY233" s="12" t="s">
        <v>637</v>
      </c>
      <c r="FZ233" s="12" t="s">
        <v>636</v>
      </c>
      <c r="GA233" s="1">
        <v>202</v>
      </c>
      <c r="GB233" s="1">
        <v>202</v>
      </c>
      <c r="GD233" s="1" t="s">
        <v>640</v>
      </c>
      <c r="GE233" s="1">
        <v>211</v>
      </c>
      <c r="GF233" s="1">
        <v>214</v>
      </c>
      <c r="GG233" s="1">
        <v>220</v>
      </c>
      <c r="GH233" s="1">
        <v>214</v>
      </c>
      <c r="GK233" s="1" t="s">
        <v>639</v>
      </c>
    </row>
    <row r="234" spans="1:193" ht="12.75" customHeight="1" x14ac:dyDescent="0.2">
      <c r="A234" s="1" t="s">
        <v>880</v>
      </c>
      <c r="D234" s="1" t="s">
        <v>580</v>
      </c>
      <c r="E234" s="1" t="s">
        <v>129</v>
      </c>
      <c r="F234" s="1">
        <v>1</v>
      </c>
      <c r="G234" s="1">
        <v>2015</v>
      </c>
      <c r="H234" s="1">
        <v>1</v>
      </c>
      <c r="I234" s="1">
        <v>1</v>
      </c>
      <c r="J234" s="1">
        <v>0</v>
      </c>
      <c r="K234" s="10">
        <v>341</v>
      </c>
      <c r="L234" s="10">
        <v>258</v>
      </c>
      <c r="M234" s="10">
        <v>424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8"/>
      <c r="BQ234" s="10">
        <v>62</v>
      </c>
      <c r="BR234" s="10">
        <v>22</v>
      </c>
      <c r="BS234" s="10">
        <v>102</v>
      </c>
      <c r="BT234" s="10">
        <f>Tabelle58971121[[#This Row],[Mindestauslastung durch]]*Tabelle58971121[[#This Row],[installierte Leistung MW durch]]</f>
        <v>0</v>
      </c>
      <c r="BU234" s="10">
        <f>Tabelle58971121[[#This Row],[Mindestauslastung min]]*Tabelle58971121[[#This Row],[installierte Leistung MW min]]</f>
        <v>0</v>
      </c>
      <c r="BV234" s="18">
        <f>Tabelle58971121[[#This Row],[Mindestauslastung max]]*Tabelle58971121[[#This Row],[installierte Leistung MW max]]</f>
        <v>0</v>
      </c>
      <c r="BW234" s="8">
        <v>0</v>
      </c>
      <c r="BX234" s="8">
        <v>0</v>
      </c>
      <c r="BY234" s="8">
        <v>0</v>
      </c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41">
        <v>0.70128691983122371</v>
      </c>
      <c r="DC234" s="41">
        <v>0.66094594594594591</v>
      </c>
      <c r="DD234" s="41">
        <v>0.7415051903114187</v>
      </c>
      <c r="DE234" s="10">
        <f>Tabelle58971121[[#This Row],[Durchschnittsauslastung min]]*Tabelle58971121[[#This Row],[installierte Leistung MW min]]</f>
        <v>278.41090717299579</v>
      </c>
      <c r="DF234" s="10">
        <f>Tabelle58971121[[#This Row],[Durchschnittsauslastung durch]]*Tabelle58971121[[#This Row],[installierte Leistung MW durch]]</f>
        <v>322.54162162162163</v>
      </c>
      <c r="DG234" s="48">
        <f>Tabelle58971121[[#This Row],[Durchschnittsauslastung max]]*Tabelle58971121[[#This Row],[installierte Leistung MW max]]</f>
        <v>429.33150519031142</v>
      </c>
      <c r="DH234" s="87">
        <f>Tabelle58971121[[#This Row],[Maximalauslastung durch]]*Tabelle58971121[[#This Row],[installierte Leistung MW min]]</f>
        <v>328.4546835443038</v>
      </c>
      <c r="DI234" s="48">
        <f>Tabelle58971121[[#This Row],[Maximalauslastung durch]]*Tabelle58971121[[#This Row],[installierte Leistung MW durch]]</f>
        <v>403.74278481012658</v>
      </c>
      <c r="DJ234" s="10">
        <f>Tabelle58971121[[#This Row],[Maximalauslastung max]]*Tabelle58971121[[#This Row],[installierte Leistung MW durch]]</f>
        <v>416.54768166089968</v>
      </c>
      <c r="DK234" s="8">
        <v>0.82734177215189875</v>
      </c>
      <c r="DL234" s="8">
        <v>0.80094594594594581</v>
      </c>
      <c r="DM234" s="8">
        <v>0.85358131487889277</v>
      </c>
      <c r="DN234" s="10">
        <v>488</v>
      </c>
      <c r="DO234" s="10">
        <v>397</v>
      </c>
      <c r="DP234" s="10">
        <v>579</v>
      </c>
      <c r="DQ234" s="1">
        <v>0.16666666666666663</v>
      </c>
      <c r="DR234" s="1">
        <v>8.3333333333333329E-2</v>
      </c>
      <c r="DS234" s="53">
        <v>0.25</v>
      </c>
      <c r="DT234" s="1">
        <v>0.27083333333333331</v>
      </c>
      <c r="DU234" s="1">
        <v>8.3333333333333329E-2</v>
      </c>
      <c r="DV234" s="53">
        <v>0.5</v>
      </c>
      <c r="DW234" s="1">
        <v>9.9499999999999993</v>
      </c>
      <c r="DX234" s="1">
        <v>4</v>
      </c>
      <c r="DY234" s="53">
        <v>16.399999999999999</v>
      </c>
      <c r="DZ234" s="1">
        <v>11.6</v>
      </c>
      <c r="EA234" s="1">
        <v>4.9000000000000004</v>
      </c>
      <c r="EB234" s="53">
        <v>18.899999999999999</v>
      </c>
      <c r="EC234" s="1">
        <v>21.4</v>
      </c>
      <c r="ED234" s="1">
        <v>21.4</v>
      </c>
      <c r="EE234" s="53">
        <v>21.4</v>
      </c>
      <c r="EF234" s="1">
        <v>13.600000000000001</v>
      </c>
      <c r="EG234" s="1">
        <v>4.8</v>
      </c>
      <c r="EH234" s="53">
        <v>24.900000000000002</v>
      </c>
      <c r="EJ234" s="1" t="s">
        <v>643</v>
      </c>
      <c r="EL234" s="1">
        <v>100</v>
      </c>
      <c r="EM234" s="1">
        <v>50</v>
      </c>
      <c r="EN234" s="1">
        <v>150</v>
      </c>
      <c r="EO234" s="1">
        <v>0</v>
      </c>
      <c r="EP234" s="1">
        <v>0</v>
      </c>
      <c r="EQ234" s="1">
        <v>0</v>
      </c>
      <c r="ER234" s="1">
        <v>100</v>
      </c>
      <c r="ES234" s="1">
        <v>50</v>
      </c>
      <c r="ET234" s="1">
        <v>150</v>
      </c>
      <c r="EU234" s="1">
        <v>1.526470588235294</v>
      </c>
      <c r="EV234" s="18">
        <v>0.50882352941176467</v>
      </c>
      <c r="EW234" s="18">
        <v>2.5441176470588234</v>
      </c>
      <c r="EX234" s="18">
        <v>178.08823529411762</v>
      </c>
      <c r="EY234" s="7">
        <v>101.76470588235293</v>
      </c>
      <c r="EZ234" s="7">
        <v>254.41176470588235</v>
      </c>
      <c r="FA234" s="7">
        <v>1330.0647058823529</v>
      </c>
      <c r="FB234" s="7">
        <v>1047.1588235294116</v>
      </c>
      <c r="FC234" s="7">
        <v>1612.9705882352939</v>
      </c>
      <c r="FD234" s="7">
        <v>0</v>
      </c>
      <c r="FE234" s="7">
        <v>0</v>
      </c>
      <c r="FF234" s="7">
        <v>30.52941176470588</v>
      </c>
      <c r="FG234" s="7">
        <v>66.147058823529406</v>
      </c>
      <c r="FH234" s="7">
        <v>25.441176470588232</v>
      </c>
      <c r="FI234" s="7">
        <v>106.85294117647058</v>
      </c>
      <c r="FJ234" s="7">
        <v>19.437058823529412</v>
      </c>
      <c r="FK234" s="7">
        <v>16.384117647058822</v>
      </c>
      <c r="FL234" s="7">
        <v>22.49</v>
      </c>
      <c r="FO234" s="1">
        <v>220</v>
      </c>
      <c r="FP234" s="1">
        <v>220</v>
      </c>
      <c r="FR234" s="12" t="s">
        <v>638</v>
      </c>
      <c r="FS234" s="1" t="s">
        <v>638</v>
      </c>
      <c r="FT234" s="12">
        <v>182</v>
      </c>
      <c r="FU234" s="12"/>
      <c r="FV234" s="12">
        <v>182</v>
      </c>
      <c r="FW234" s="12">
        <v>182</v>
      </c>
      <c r="FX234" s="1">
        <v>182</v>
      </c>
      <c r="FY234" s="12" t="s">
        <v>637</v>
      </c>
      <c r="FZ234" s="12" t="s">
        <v>636</v>
      </c>
      <c r="GA234" s="1">
        <v>202</v>
      </c>
      <c r="GB234" s="1">
        <v>202</v>
      </c>
      <c r="GD234" s="1" t="s">
        <v>640</v>
      </c>
      <c r="GE234" s="1">
        <v>211</v>
      </c>
      <c r="GF234" s="1">
        <v>214</v>
      </c>
      <c r="GG234" s="1">
        <v>220</v>
      </c>
      <c r="GH234" s="1">
        <v>214</v>
      </c>
      <c r="GK234" s="1" t="s">
        <v>639</v>
      </c>
    </row>
    <row r="235" spans="1:193" ht="12.75" customHeight="1" x14ac:dyDescent="0.2">
      <c r="A235" s="1" t="s">
        <v>880</v>
      </c>
      <c r="D235" s="1" t="s">
        <v>580</v>
      </c>
      <c r="E235" s="1" t="s">
        <v>129</v>
      </c>
      <c r="F235" s="1">
        <v>1</v>
      </c>
      <c r="G235" s="1">
        <v>2020</v>
      </c>
      <c r="H235" s="1">
        <v>1</v>
      </c>
      <c r="I235" s="1">
        <v>1</v>
      </c>
      <c r="J235" s="1">
        <v>0</v>
      </c>
      <c r="K235" s="10">
        <v>334.18</v>
      </c>
      <c r="L235" s="10">
        <v>252.84</v>
      </c>
      <c r="M235" s="10">
        <v>415.52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8"/>
      <c r="BQ235" s="10">
        <v>60.76</v>
      </c>
      <c r="BR235" s="10">
        <v>21.56</v>
      </c>
      <c r="BS235" s="10">
        <v>99.96</v>
      </c>
      <c r="BT235" s="10">
        <f>Tabelle58971121[[#This Row],[Mindestauslastung durch]]*Tabelle58971121[[#This Row],[installierte Leistung MW durch]]</f>
        <v>0</v>
      </c>
      <c r="BU235" s="10">
        <f>Tabelle58971121[[#This Row],[Mindestauslastung min]]*Tabelle58971121[[#This Row],[installierte Leistung MW min]]</f>
        <v>0</v>
      </c>
      <c r="BV235" s="18">
        <f>Tabelle58971121[[#This Row],[Mindestauslastung max]]*Tabelle58971121[[#This Row],[installierte Leistung MW max]]</f>
        <v>0</v>
      </c>
      <c r="BW235" s="8">
        <v>0</v>
      </c>
      <c r="BX235" s="8">
        <v>0</v>
      </c>
      <c r="BY235" s="8">
        <v>0</v>
      </c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41">
        <v>0.70128691983122371</v>
      </c>
      <c r="DC235" s="41">
        <v>0.66128691983122356</v>
      </c>
      <c r="DD235" s="41">
        <v>0.74128691983122363</v>
      </c>
      <c r="DE235" s="10">
        <f>Tabelle58971121[[#This Row],[Durchschnittsauslastung min]]*Tabelle58971121[[#This Row],[installierte Leistung MW min]]</f>
        <v>272.84268902953596</v>
      </c>
      <c r="DF235" s="10">
        <f>Tabelle58971121[[#This Row],[Durchschnittsauslastung durch]]*Tabelle58971121[[#This Row],[installierte Leistung MW durch]]</f>
        <v>316.25385654008437</v>
      </c>
      <c r="DG235" s="48">
        <f>Tabelle58971121[[#This Row],[Durchschnittsauslastung max]]*Tabelle58971121[[#This Row],[installierte Leistung MW max]]</f>
        <v>420.62102405063297</v>
      </c>
      <c r="DH235" s="87">
        <f>Tabelle58971121[[#This Row],[Maximalauslastung durch]]*Tabelle58971121[[#This Row],[installierte Leistung MW min]]</f>
        <v>321.88558987341776</v>
      </c>
      <c r="DI235" s="48">
        <f>Tabelle58971121[[#This Row],[Maximalauslastung durch]]*Tabelle58971121[[#This Row],[installierte Leistung MW durch]]</f>
        <v>395.66792911392406</v>
      </c>
      <c r="DJ235" s="10">
        <f>Tabelle58971121[[#This Row],[Maximalauslastung max]]*Tabelle58971121[[#This Row],[installierte Leistung MW durch]]</f>
        <v>408.1284016877637</v>
      </c>
      <c r="DK235" s="8">
        <v>0.82734177215189875</v>
      </c>
      <c r="DL235" s="8">
        <v>0.80128691983122369</v>
      </c>
      <c r="DM235" s="8">
        <v>0.85339662447257381</v>
      </c>
      <c r="DN235" s="10">
        <v>478.24</v>
      </c>
      <c r="DO235" s="10">
        <v>389.06000000000006</v>
      </c>
      <c r="DP235" s="10">
        <v>567.42000000000007</v>
      </c>
      <c r="DQ235" s="1">
        <v>0.16666666666666663</v>
      </c>
      <c r="DR235" s="1">
        <v>8.3333333333333329E-2</v>
      </c>
      <c r="DS235" s="53">
        <v>0.25</v>
      </c>
      <c r="DT235" s="1">
        <v>0.27083333333333337</v>
      </c>
      <c r="DU235" s="1">
        <v>8.3333333333333329E-2</v>
      </c>
      <c r="DV235" s="53">
        <v>0.5</v>
      </c>
      <c r="DW235" s="1">
        <v>10.994303797468355</v>
      </c>
      <c r="DX235" s="1">
        <v>4</v>
      </c>
      <c r="DY235" s="53">
        <v>16.399999999999999</v>
      </c>
      <c r="DZ235" s="1">
        <v>12.781434599156119</v>
      </c>
      <c r="EA235" s="1">
        <v>4.9000000000000004</v>
      </c>
      <c r="EB235" s="53">
        <v>18.899999999999999</v>
      </c>
      <c r="EC235" s="1">
        <v>23.657383966244726</v>
      </c>
      <c r="ED235" s="1">
        <v>15.113513513513514</v>
      </c>
      <c r="EE235" s="53">
        <v>15.053287197231835</v>
      </c>
      <c r="EF235" s="1">
        <v>15.076793248945149</v>
      </c>
      <c r="EG235" s="1">
        <v>4.8</v>
      </c>
      <c r="EH235" s="53">
        <v>24.900000000000002</v>
      </c>
      <c r="EJ235" s="1" t="s">
        <v>643</v>
      </c>
      <c r="EL235" s="1">
        <v>100</v>
      </c>
      <c r="EM235" s="1">
        <v>50</v>
      </c>
      <c r="EN235" s="1">
        <v>150</v>
      </c>
      <c r="EO235" s="1">
        <v>0</v>
      </c>
      <c r="EP235" s="1">
        <v>0</v>
      </c>
      <c r="EQ235" s="1">
        <v>0</v>
      </c>
      <c r="ER235" s="1">
        <v>100</v>
      </c>
      <c r="ES235" s="1">
        <v>50</v>
      </c>
      <c r="ET235" s="1">
        <v>150</v>
      </c>
      <c r="EU235" s="1">
        <v>1.526470588235294</v>
      </c>
      <c r="EV235" s="18">
        <v>0.50882352941176467</v>
      </c>
      <c r="EW235" s="18">
        <v>2.5441176470588234</v>
      </c>
      <c r="EX235" s="18">
        <v>178.08823529411762</v>
      </c>
      <c r="EY235" s="7">
        <v>101.76470588235293</v>
      </c>
      <c r="EZ235" s="7">
        <v>254.41176470588235</v>
      </c>
      <c r="FA235" s="7">
        <v>1330.0647058823529</v>
      </c>
      <c r="FB235" s="7">
        <v>1047.1588235294116</v>
      </c>
      <c r="FC235" s="7">
        <v>1612.9705882352939</v>
      </c>
      <c r="FD235" s="7">
        <v>0</v>
      </c>
      <c r="FE235" s="7">
        <v>0</v>
      </c>
      <c r="FF235" s="7">
        <v>30.52941176470588</v>
      </c>
      <c r="FG235" s="7">
        <v>66.147058823529406</v>
      </c>
      <c r="FH235" s="7">
        <v>25.441176470588232</v>
      </c>
      <c r="FI235" s="7">
        <v>106.85294117647058</v>
      </c>
      <c r="FJ235" s="7">
        <v>19.437058823529412</v>
      </c>
      <c r="FK235" s="7">
        <v>16.384117647058822</v>
      </c>
      <c r="FL235" s="7">
        <v>22.49</v>
      </c>
      <c r="FO235" s="1">
        <v>220</v>
      </c>
      <c r="FP235" s="1">
        <v>220</v>
      </c>
      <c r="FR235" s="12" t="s">
        <v>638</v>
      </c>
      <c r="FS235" s="1" t="s">
        <v>638</v>
      </c>
      <c r="FT235" s="12">
        <v>182</v>
      </c>
      <c r="FU235" s="12"/>
      <c r="FV235" s="12">
        <v>182</v>
      </c>
      <c r="FW235" s="12">
        <v>182</v>
      </c>
      <c r="FX235" s="1">
        <v>182</v>
      </c>
      <c r="FY235" s="12" t="s">
        <v>637</v>
      </c>
      <c r="FZ235" s="12" t="s">
        <v>636</v>
      </c>
      <c r="GA235" s="1">
        <v>202</v>
      </c>
      <c r="GB235" s="1">
        <v>202</v>
      </c>
      <c r="GD235" s="1" t="s">
        <v>640</v>
      </c>
      <c r="GE235" s="1">
        <v>211</v>
      </c>
      <c r="GF235" s="1">
        <v>214</v>
      </c>
      <c r="GG235" s="1">
        <v>220</v>
      </c>
      <c r="GH235" s="1">
        <v>214</v>
      </c>
      <c r="GK235" s="1" t="s">
        <v>639</v>
      </c>
    </row>
    <row r="236" spans="1:193" ht="12.75" customHeight="1" x14ac:dyDescent="0.2">
      <c r="A236" s="1" t="s">
        <v>880</v>
      </c>
      <c r="D236" s="1" t="s">
        <v>580</v>
      </c>
      <c r="E236" s="1" t="s">
        <v>129</v>
      </c>
      <c r="F236" s="1">
        <v>1</v>
      </c>
      <c r="G236" s="1">
        <v>2025</v>
      </c>
      <c r="H236" s="1">
        <v>1</v>
      </c>
      <c r="I236" s="1">
        <v>1</v>
      </c>
      <c r="J236" s="1">
        <v>0</v>
      </c>
      <c r="K236" s="10">
        <v>323.95</v>
      </c>
      <c r="L236" s="10">
        <v>245.10000000000002</v>
      </c>
      <c r="M236" s="10">
        <v>402.79999999999995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8"/>
      <c r="BQ236" s="10">
        <v>58.9</v>
      </c>
      <c r="BR236" s="10">
        <v>20.900000000000002</v>
      </c>
      <c r="BS236" s="10">
        <v>96.899999999999991</v>
      </c>
      <c r="BT236" s="10">
        <f>Tabelle58971121[[#This Row],[Mindestauslastung durch]]*Tabelle58971121[[#This Row],[installierte Leistung MW durch]]</f>
        <v>0</v>
      </c>
      <c r="BU236" s="10">
        <f>Tabelle58971121[[#This Row],[Mindestauslastung min]]*Tabelle58971121[[#This Row],[installierte Leistung MW min]]</f>
        <v>0</v>
      </c>
      <c r="BV236" s="18">
        <f>Tabelle58971121[[#This Row],[Mindestauslastung max]]*Tabelle58971121[[#This Row],[installierte Leistung MW max]]</f>
        <v>0</v>
      </c>
      <c r="BW236" s="8">
        <v>0</v>
      </c>
      <c r="BX236" s="8">
        <v>0</v>
      </c>
      <c r="BY236" s="8">
        <v>0</v>
      </c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41">
        <v>0.70128691983122371</v>
      </c>
      <c r="DC236" s="41">
        <v>0.66128691983122367</v>
      </c>
      <c r="DD236" s="41">
        <v>0.74128691983122363</v>
      </c>
      <c r="DE236" s="10">
        <f>Tabelle58971121[[#This Row],[Durchschnittsauslastung min]]*Tabelle58971121[[#This Row],[installierte Leistung MW min]]</f>
        <v>264.49036181434599</v>
      </c>
      <c r="DF236" s="10">
        <f>Tabelle58971121[[#This Row],[Durchschnittsauslastung durch]]*Tabelle58971121[[#This Row],[installierte Leistung MW durch]]</f>
        <v>306.57261603375531</v>
      </c>
      <c r="DG236" s="48">
        <f>Tabelle58971121[[#This Row],[Durchschnittsauslastung max]]*Tabelle58971121[[#This Row],[installierte Leistung MW max]]</f>
        <v>407.74487025316455</v>
      </c>
      <c r="DH236" s="87">
        <f>Tabelle58971121[[#This Row],[Maximalauslastung durch]]*Tabelle58971121[[#This Row],[installierte Leistung MW min]]</f>
        <v>312.0319493670886</v>
      </c>
      <c r="DI236" s="48">
        <f>Tabelle58971121[[#This Row],[Maximalauslastung durch]]*Tabelle58971121[[#This Row],[installierte Leistung MW durch]]</f>
        <v>383.55564556962025</v>
      </c>
      <c r="DJ236" s="10">
        <f>Tabelle58971121[[#This Row],[Maximalauslastung max]]*Tabelle58971121[[#This Row],[installierte Leistung MW durch]]</f>
        <v>395.63467510548526</v>
      </c>
      <c r="DK236" s="8">
        <v>0.82734177215189875</v>
      </c>
      <c r="DL236" s="8">
        <v>0.80128691983122369</v>
      </c>
      <c r="DM236" s="8">
        <v>0.85339662447257381</v>
      </c>
      <c r="DN236" s="10">
        <v>463.6</v>
      </c>
      <c r="DO236" s="10">
        <v>377.15</v>
      </c>
      <c r="DP236" s="10">
        <v>550.04999999999995</v>
      </c>
      <c r="DQ236" s="1">
        <v>0.16666666666666663</v>
      </c>
      <c r="DR236" s="1">
        <v>8.3333333333333329E-2</v>
      </c>
      <c r="DS236" s="53">
        <v>0.25</v>
      </c>
      <c r="DT236" s="1">
        <v>0.27083333333333331</v>
      </c>
      <c r="DU236" s="1">
        <v>8.3333333333333329E-2</v>
      </c>
      <c r="DV236" s="53">
        <v>0.5</v>
      </c>
      <c r="DW236" s="1">
        <v>10.994303797468355</v>
      </c>
      <c r="DX236" s="1">
        <v>4</v>
      </c>
      <c r="DY236" s="53">
        <v>16.399999999999999</v>
      </c>
      <c r="DZ236" s="1">
        <v>12.781434599156119</v>
      </c>
      <c r="EA236" s="1">
        <v>4.9000000000000004</v>
      </c>
      <c r="EB236" s="53">
        <v>18.899999999999999</v>
      </c>
      <c r="EC236" s="1">
        <v>23.65738396624473</v>
      </c>
      <c r="ED236" s="1">
        <v>15.113513513513514</v>
      </c>
      <c r="EE236" s="53">
        <v>15.053287197231835</v>
      </c>
      <c r="EF236" s="1">
        <v>15.076793248945149</v>
      </c>
      <c r="EG236" s="1">
        <v>4.8</v>
      </c>
      <c r="EH236" s="53">
        <v>24.900000000000002</v>
      </c>
      <c r="EJ236" s="1" t="s">
        <v>643</v>
      </c>
      <c r="EL236" s="1">
        <v>100</v>
      </c>
      <c r="EM236" s="1">
        <v>50</v>
      </c>
      <c r="EN236" s="1">
        <v>150</v>
      </c>
      <c r="EO236" s="1">
        <v>0</v>
      </c>
      <c r="EP236" s="1">
        <v>0</v>
      </c>
      <c r="EQ236" s="1">
        <v>0</v>
      </c>
      <c r="ER236" s="1">
        <v>100</v>
      </c>
      <c r="ES236" s="1">
        <v>50</v>
      </c>
      <c r="ET236" s="1">
        <v>150</v>
      </c>
      <c r="EU236" s="1">
        <v>1.526470588235294</v>
      </c>
      <c r="EV236" s="18">
        <v>0.50882352941176467</v>
      </c>
      <c r="EW236" s="18">
        <v>2.5441176470588234</v>
      </c>
      <c r="EX236" s="18">
        <v>178.08823529411762</v>
      </c>
      <c r="EY236" s="7">
        <v>101.76470588235293</v>
      </c>
      <c r="EZ236" s="7">
        <v>254.41176470588235</v>
      </c>
      <c r="FA236" s="7">
        <v>1330.0647058823529</v>
      </c>
      <c r="FB236" s="7">
        <v>1047.1588235294116</v>
      </c>
      <c r="FC236" s="7">
        <v>1612.9705882352939</v>
      </c>
      <c r="FD236" s="7">
        <v>0</v>
      </c>
      <c r="FE236" s="7">
        <v>0</v>
      </c>
      <c r="FF236" s="7">
        <v>30.52941176470588</v>
      </c>
      <c r="FG236" s="7">
        <v>66.147058823529406</v>
      </c>
      <c r="FH236" s="7">
        <v>25.441176470588232</v>
      </c>
      <c r="FI236" s="7">
        <v>106.85294117647058</v>
      </c>
      <c r="FJ236" s="7">
        <v>19.437058823529412</v>
      </c>
      <c r="FK236" s="7">
        <v>16.384117647058822</v>
      </c>
      <c r="FL236" s="7">
        <v>22.49</v>
      </c>
      <c r="FO236" s="1">
        <v>220</v>
      </c>
      <c r="FP236" s="1">
        <v>220</v>
      </c>
      <c r="FR236" s="12" t="s">
        <v>638</v>
      </c>
      <c r="FS236" s="1" t="s">
        <v>638</v>
      </c>
      <c r="FT236" s="12">
        <v>182</v>
      </c>
      <c r="FU236" s="12"/>
      <c r="FV236" s="12">
        <v>182</v>
      </c>
      <c r="FW236" s="12">
        <v>182</v>
      </c>
      <c r="FX236" s="1">
        <v>182</v>
      </c>
      <c r="FY236" s="12" t="s">
        <v>637</v>
      </c>
      <c r="FZ236" s="12" t="s">
        <v>636</v>
      </c>
      <c r="GA236" s="1">
        <v>202</v>
      </c>
      <c r="GB236" s="1">
        <v>202</v>
      </c>
      <c r="GD236" s="1" t="s">
        <v>640</v>
      </c>
      <c r="GE236" s="1">
        <v>211</v>
      </c>
      <c r="GF236" s="1">
        <v>214</v>
      </c>
      <c r="GG236" s="1">
        <v>220</v>
      </c>
      <c r="GH236" s="1">
        <v>214</v>
      </c>
      <c r="GK236" s="1" t="s">
        <v>639</v>
      </c>
    </row>
    <row r="237" spans="1:193" ht="12.75" customHeight="1" x14ac:dyDescent="0.2">
      <c r="A237" s="1" t="s">
        <v>880</v>
      </c>
      <c r="D237" s="1" t="s">
        <v>580</v>
      </c>
      <c r="E237" s="1" t="s">
        <v>129</v>
      </c>
      <c r="F237" s="1">
        <v>1</v>
      </c>
      <c r="G237" s="1">
        <v>2030</v>
      </c>
      <c r="H237" s="1">
        <v>1</v>
      </c>
      <c r="I237" s="1">
        <v>1</v>
      </c>
      <c r="J237" s="1">
        <v>0</v>
      </c>
      <c r="K237" s="10">
        <v>317.13000000000005</v>
      </c>
      <c r="L237" s="10">
        <v>239.94000000000005</v>
      </c>
      <c r="M237" s="10">
        <v>394.32000000000005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8"/>
      <c r="BQ237" s="10">
        <v>57.660000000000011</v>
      </c>
      <c r="BR237" s="10">
        <v>20.460000000000004</v>
      </c>
      <c r="BS237" s="10">
        <v>94.860000000000014</v>
      </c>
      <c r="BT237" s="10">
        <f>Tabelle58971121[[#This Row],[Mindestauslastung durch]]*Tabelle58971121[[#This Row],[installierte Leistung MW durch]]</f>
        <v>0</v>
      </c>
      <c r="BU237" s="10">
        <f>Tabelle58971121[[#This Row],[Mindestauslastung min]]*Tabelle58971121[[#This Row],[installierte Leistung MW min]]</f>
        <v>0</v>
      </c>
      <c r="BV237" s="18">
        <f>Tabelle58971121[[#This Row],[Mindestauslastung max]]*Tabelle58971121[[#This Row],[installierte Leistung MW max]]</f>
        <v>0</v>
      </c>
      <c r="BW237" s="8">
        <v>0</v>
      </c>
      <c r="BX237" s="8">
        <v>0</v>
      </c>
      <c r="BY237" s="8">
        <v>0</v>
      </c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41">
        <v>0.70128691983122371</v>
      </c>
      <c r="DC237" s="41">
        <v>0.66128691983122367</v>
      </c>
      <c r="DD237" s="41">
        <v>0.74128691983122363</v>
      </c>
      <c r="DE237" s="10">
        <f>Tabelle58971121[[#This Row],[Durchschnittsauslastung min]]*Tabelle58971121[[#This Row],[installierte Leistung MW min]]</f>
        <v>258.92214367088616</v>
      </c>
      <c r="DF237" s="10">
        <f>Tabelle58971121[[#This Row],[Durchschnittsauslastung durch]]*Tabelle58971121[[#This Row],[installierte Leistung MW durch]]</f>
        <v>300.11845569620255</v>
      </c>
      <c r="DG237" s="48">
        <f>Tabelle58971121[[#This Row],[Durchschnittsauslastung max]]*Tabelle58971121[[#This Row],[installierte Leistung MW max]]</f>
        <v>399.16076772151899</v>
      </c>
      <c r="DH237" s="87">
        <f>Tabelle58971121[[#This Row],[Maximalauslastung durch]]*Tabelle58971121[[#This Row],[installierte Leistung MW min]]</f>
        <v>305.46285569620255</v>
      </c>
      <c r="DI237" s="48">
        <f>Tabelle58971121[[#This Row],[Maximalauslastung durch]]*Tabelle58971121[[#This Row],[installierte Leistung MW durch]]</f>
        <v>375.48078987341773</v>
      </c>
      <c r="DJ237" s="10">
        <f>Tabelle58971121[[#This Row],[Maximalauslastung max]]*Tabelle58971121[[#This Row],[installierte Leistung MW durch]]</f>
        <v>387.30552405063293</v>
      </c>
      <c r="DK237" s="8">
        <v>0.82734177215189875</v>
      </c>
      <c r="DL237" s="8">
        <v>0.80128691983122369</v>
      </c>
      <c r="DM237" s="8">
        <v>0.85339662447257381</v>
      </c>
      <c r="DN237" s="10">
        <v>453.84000000000003</v>
      </c>
      <c r="DO237" s="10">
        <v>369.21000000000004</v>
      </c>
      <c r="DP237" s="10">
        <v>538.47</v>
      </c>
      <c r="DQ237" s="1">
        <v>0.16666666666666663</v>
      </c>
      <c r="DR237" s="1">
        <v>8.3333333333333329E-2</v>
      </c>
      <c r="DS237" s="53">
        <v>0.25</v>
      </c>
      <c r="DT237" s="1">
        <v>0.27083333333333337</v>
      </c>
      <c r="DU237" s="1">
        <v>8.3333333333333329E-2</v>
      </c>
      <c r="DV237" s="53">
        <v>0.5</v>
      </c>
      <c r="DW237" s="1">
        <v>10.994303797468353</v>
      </c>
      <c r="DX237" s="1">
        <v>4</v>
      </c>
      <c r="DY237" s="53">
        <v>16.399999999999999</v>
      </c>
      <c r="DZ237" s="1">
        <v>12.781434599156118</v>
      </c>
      <c r="EA237" s="1">
        <v>4.9000000000000004</v>
      </c>
      <c r="EB237" s="53">
        <v>18.899999999999999</v>
      </c>
      <c r="EC237" s="1">
        <v>23.657383966244723</v>
      </c>
      <c r="ED237" s="1">
        <v>15.113513513513514</v>
      </c>
      <c r="EE237" s="53">
        <v>15.053287197231835</v>
      </c>
      <c r="EF237" s="1">
        <v>15.076793248945147</v>
      </c>
      <c r="EG237" s="1">
        <v>4.8</v>
      </c>
      <c r="EH237" s="53">
        <v>24.900000000000002</v>
      </c>
      <c r="EJ237" s="1" t="s">
        <v>643</v>
      </c>
      <c r="EL237" s="1">
        <v>100</v>
      </c>
      <c r="EM237" s="1">
        <v>50</v>
      </c>
      <c r="EN237" s="1">
        <v>150</v>
      </c>
      <c r="EO237" s="1">
        <v>0</v>
      </c>
      <c r="EP237" s="1">
        <v>0</v>
      </c>
      <c r="EQ237" s="1">
        <v>0</v>
      </c>
      <c r="ER237" s="1">
        <v>100</v>
      </c>
      <c r="ES237" s="1">
        <v>50</v>
      </c>
      <c r="ET237" s="1">
        <v>150</v>
      </c>
      <c r="EU237" s="1">
        <v>1.526470588235294</v>
      </c>
      <c r="EV237" s="18">
        <v>0.50882352941176467</v>
      </c>
      <c r="EW237" s="18">
        <v>2.5441176470588234</v>
      </c>
      <c r="EX237" s="18">
        <v>178.08823529411762</v>
      </c>
      <c r="EY237" s="7">
        <v>101.76470588235293</v>
      </c>
      <c r="EZ237" s="7">
        <v>254.41176470588235</v>
      </c>
      <c r="FA237" s="7">
        <v>1330.0647058823529</v>
      </c>
      <c r="FB237" s="7">
        <v>1047.1588235294116</v>
      </c>
      <c r="FC237" s="7">
        <v>1612.9705882352939</v>
      </c>
      <c r="FD237" s="7">
        <v>0</v>
      </c>
      <c r="FE237" s="7">
        <v>0</v>
      </c>
      <c r="FF237" s="7">
        <v>30.52941176470588</v>
      </c>
      <c r="FG237" s="7">
        <v>66.147058823529406</v>
      </c>
      <c r="FH237" s="7">
        <v>25.441176470588232</v>
      </c>
      <c r="FI237" s="7">
        <v>106.85294117647058</v>
      </c>
      <c r="FJ237" s="7">
        <v>19.437058823529412</v>
      </c>
      <c r="FK237" s="7">
        <v>16.384117647058822</v>
      </c>
      <c r="FL237" s="7">
        <v>22.49</v>
      </c>
      <c r="FO237" s="1">
        <v>220</v>
      </c>
      <c r="FP237" s="1">
        <v>220</v>
      </c>
      <c r="FR237" s="12" t="s">
        <v>638</v>
      </c>
      <c r="FS237" s="1" t="s">
        <v>638</v>
      </c>
      <c r="FT237" s="12">
        <v>182</v>
      </c>
      <c r="FU237" s="12"/>
      <c r="FV237" s="12">
        <v>182</v>
      </c>
      <c r="FW237" s="12">
        <v>182</v>
      </c>
      <c r="FX237" s="1">
        <v>182</v>
      </c>
      <c r="FY237" s="12" t="s">
        <v>637</v>
      </c>
      <c r="FZ237" s="12" t="s">
        <v>636</v>
      </c>
      <c r="GA237" s="1">
        <v>202</v>
      </c>
      <c r="GB237" s="1">
        <v>202</v>
      </c>
      <c r="GD237" s="1" t="s">
        <v>640</v>
      </c>
      <c r="GE237" s="1">
        <v>211</v>
      </c>
      <c r="GF237" s="1">
        <v>214</v>
      </c>
      <c r="GG237" s="1">
        <v>220</v>
      </c>
      <c r="GH237" s="1">
        <v>214</v>
      </c>
      <c r="GK237" s="1" t="s">
        <v>639</v>
      </c>
    </row>
    <row r="238" spans="1:193" ht="12.75" customHeight="1" x14ac:dyDescent="0.2">
      <c r="A238" s="1" t="s">
        <v>880</v>
      </c>
      <c r="D238" s="1" t="s">
        <v>580</v>
      </c>
      <c r="E238" s="1" t="s">
        <v>129</v>
      </c>
      <c r="F238" s="1">
        <v>1</v>
      </c>
      <c r="G238" s="1">
        <v>2035</v>
      </c>
      <c r="H238" s="1">
        <v>1</v>
      </c>
      <c r="I238" s="1">
        <v>1</v>
      </c>
      <c r="J238" s="1">
        <v>0</v>
      </c>
      <c r="K238" s="10">
        <v>306.90000000000003</v>
      </c>
      <c r="L238" s="10">
        <v>232.2</v>
      </c>
      <c r="M238" s="10">
        <v>381.6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8"/>
      <c r="BQ238" s="10">
        <v>55.800000000000011</v>
      </c>
      <c r="BR238" s="10">
        <v>19.799999999999997</v>
      </c>
      <c r="BS238" s="10">
        <v>91.8</v>
      </c>
      <c r="BT238" s="10">
        <f>Tabelle58971121[[#This Row],[Mindestauslastung durch]]*Tabelle58971121[[#This Row],[installierte Leistung MW durch]]</f>
        <v>0</v>
      </c>
      <c r="BU238" s="10">
        <f>Tabelle58971121[[#This Row],[Mindestauslastung min]]*Tabelle58971121[[#This Row],[installierte Leistung MW min]]</f>
        <v>0</v>
      </c>
      <c r="BV238" s="18">
        <f>Tabelle58971121[[#This Row],[Mindestauslastung max]]*Tabelle58971121[[#This Row],[installierte Leistung MW max]]</f>
        <v>0</v>
      </c>
      <c r="BW238" s="8">
        <v>0</v>
      </c>
      <c r="BX238" s="8">
        <v>0</v>
      </c>
      <c r="BY238" s="8">
        <v>0</v>
      </c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41">
        <v>0.70128691983122371</v>
      </c>
      <c r="DC238" s="41">
        <v>0.66128691983122356</v>
      </c>
      <c r="DD238" s="41">
        <v>0.74128691983122363</v>
      </c>
      <c r="DE238" s="10">
        <f>Tabelle58971121[[#This Row],[Durchschnittsauslastung min]]*Tabelle58971121[[#This Row],[installierte Leistung MW min]]</f>
        <v>250.56981645569627</v>
      </c>
      <c r="DF238" s="10">
        <f>Tabelle58971121[[#This Row],[Durchschnittsauslastung durch]]*Tabelle58971121[[#This Row],[installierte Leistung MW durch]]</f>
        <v>290.43721518987343</v>
      </c>
      <c r="DG238" s="48">
        <f>Tabelle58971121[[#This Row],[Durchschnittsauslastung max]]*Tabelle58971121[[#This Row],[installierte Leistung MW max]]</f>
        <v>386.28461392405063</v>
      </c>
      <c r="DH238" s="87">
        <f>Tabelle58971121[[#This Row],[Maximalauslastung durch]]*Tabelle58971121[[#This Row],[installierte Leistung MW min]]</f>
        <v>295.60921518987345</v>
      </c>
      <c r="DI238" s="48">
        <f>Tabelle58971121[[#This Row],[Maximalauslastung durch]]*Tabelle58971121[[#This Row],[installierte Leistung MW durch]]</f>
        <v>363.36850632911398</v>
      </c>
      <c r="DJ238" s="10">
        <f>Tabelle58971121[[#This Row],[Maximalauslastung max]]*Tabelle58971121[[#This Row],[installierte Leistung MW durch]]</f>
        <v>374.81179746835443</v>
      </c>
      <c r="DK238" s="8">
        <v>0.82734177215189875</v>
      </c>
      <c r="DL238" s="8">
        <v>0.80128691983122369</v>
      </c>
      <c r="DM238" s="8">
        <v>0.85339662447257381</v>
      </c>
      <c r="DN238" s="10">
        <v>439.20000000000005</v>
      </c>
      <c r="DO238" s="10">
        <v>357.30000000000007</v>
      </c>
      <c r="DP238" s="10">
        <v>521.1</v>
      </c>
      <c r="DQ238" s="1">
        <v>0.16666666666666663</v>
      </c>
      <c r="DR238" s="1">
        <v>8.3333333333333329E-2</v>
      </c>
      <c r="DS238" s="53">
        <v>0.25</v>
      </c>
      <c r="DT238" s="1">
        <v>0.27083333333333331</v>
      </c>
      <c r="DU238" s="1">
        <v>8.3333333333333329E-2</v>
      </c>
      <c r="DV238" s="53">
        <v>0.5</v>
      </c>
      <c r="DW238" s="1">
        <v>10.994303797468355</v>
      </c>
      <c r="DX238" s="1">
        <v>4</v>
      </c>
      <c r="DY238" s="53">
        <v>16.399999999999999</v>
      </c>
      <c r="DZ238" s="1">
        <v>12.781434599156119</v>
      </c>
      <c r="EA238" s="1">
        <v>4.9000000000000004</v>
      </c>
      <c r="EB238" s="53">
        <v>18.899999999999999</v>
      </c>
      <c r="EC238" s="1">
        <v>23.657383966244726</v>
      </c>
      <c r="ED238" s="1">
        <v>15.113513513513514</v>
      </c>
      <c r="EE238" s="53">
        <v>15.053287197231835</v>
      </c>
      <c r="EF238" s="1">
        <v>15.076793248945149</v>
      </c>
      <c r="EG238" s="1">
        <v>4.8</v>
      </c>
      <c r="EH238" s="53">
        <v>24.900000000000002</v>
      </c>
      <c r="EJ238" s="1" t="s">
        <v>643</v>
      </c>
      <c r="EL238" s="1">
        <v>100</v>
      </c>
      <c r="EM238" s="1">
        <v>50</v>
      </c>
      <c r="EN238" s="1">
        <v>150</v>
      </c>
      <c r="EO238" s="1">
        <v>0</v>
      </c>
      <c r="EP238" s="1">
        <v>0</v>
      </c>
      <c r="EQ238" s="1">
        <v>0</v>
      </c>
      <c r="ER238" s="1">
        <v>100</v>
      </c>
      <c r="ES238" s="1">
        <v>50</v>
      </c>
      <c r="ET238" s="1">
        <v>150</v>
      </c>
      <c r="EU238" s="1">
        <v>1.526470588235294</v>
      </c>
      <c r="EV238" s="18">
        <v>0.50882352941176467</v>
      </c>
      <c r="EW238" s="18">
        <v>2.5441176470588234</v>
      </c>
      <c r="EX238" s="18">
        <v>178.08823529411762</v>
      </c>
      <c r="EY238" s="7">
        <v>101.76470588235293</v>
      </c>
      <c r="EZ238" s="7">
        <v>254.41176470588235</v>
      </c>
      <c r="FA238" s="7">
        <v>1330.0647058823529</v>
      </c>
      <c r="FB238" s="7">
        <v>1047.1588235294116</v>
      </c>
      <c r="FC238" s="7">
        <v>1612.9705882352939</v>
      </c>
      <c r="FD238" s="7">
        <v>0</v>
      </c>
      <c r="FE238" s="7">
        <v>0</v>
      </c>
      <c r="FF238" s="7">
        <v>30.52941176470588</v>
      </c>
      <c r="FG238" s="7">
        <v>66.147058823529406</v>
      </c>
      <c r="FH238" s="7">
        <v>25.441176470588232</v>
      </c>
      <c r="FI238" s="7">
        <v>106.85294117647058</v>
      </c>
      <c r="FJ238" s="7">
        <v>19.437058823529412</v>
      </c>
      <c r="FK238" s="7">
        <v>16.384117647058822</v>
      </c>
      <c r="FL238" s="7">
        <v>22.49</v>
      </c>
      <c r="FO238" s="1">
        <v>220</v>
      </c>
      <c r="FP238" s="1">
        <v>220</v>
      </c>
      <c r="FR238" s="12" t="s">
        <v>638</v>
      </c>
      <c r="FS238" s="1" t="s">
        <v>638</v>
      </c>
      <c r="FT238" s="12">
        <v>182</v>
      </c>
      <c r="FU238" s="12"/>
      <c r="FV238" s="12">
        <v>182</v>
      </c>
      <c r="FW238" s="12">
        <v>182</v>
      </c>
      <c r="FX238" s="1">
        <v>182</v>
      </c>
      <c r="FY238" s="12" t="s">
        <v>637</v>
      </c>
      <c r="FZ238" s="12" t="s">
        <v>636</v>
      </c>
      <c r="GA238" s="1">
        <v>202</v>
      </c>
      <c r="GB238" s="1">
        <v>202</v>
      </c>
      <c r="GD238" s="1" t="s">
        <v>640</v>
      </c>
      <c r="GE238" s="1">
        <v>211</v>
      </c>
      <c r="GF238" s="1">
        <v>214</v>
      </c>
      <c r="GG238" s="1">
        <v>220</v>
      </c>
      <c r="GH238" s="1">
        <v>214</v>
      </c>
      <c r="GK238" s="1" t="s">
        <v>639</v>
      </c>
    </row>
    <row r="239" spans="1:193" ht="12.75" customHeight="1" x14ac:dyDescent="0.2">
      <c r="A239" s="1" t="s">
        <v>880</v>
      </c>
      <c r="D239" s="1" t="s">
        <v>580</v>
      </c>
      <c r="E239" s="1" t="s">
        <v>129</v>
      </c>
      <c r="F239" s="1">
        <v>1</v>
      </c>
      <c r="G239" s="1">
        <v>2040</v>
      </c>
      <c r="H239" s="1">
        <v>1</v>
      </c>
      <c r="I239" s="1">
        <v>1</v>
      </c>
      <c r="J239" s="1">
        <v>0</v>
      </c>
      <c r="K239" s="10">
        <v>300.08</v>
      </c>
      <c r="L239" s="10">
        <v>227.04</v>
      </c>
      <c r="M239" s="10">
        <v>373.12000000000006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8"/>
      <c r="BQ239" s="10">
        <v>54.559999999999995</v>
      </c>
      <c r="BR239" s="10">
        <v>19.36</v>
      </c>
      <c r="BS239" s="10">
        <v>89.76</v>
      </c>
      <c r="BT239" s="10">
        <f>Tabelle58971121[[#This Row],[Mindestauslastung durch]]*Tabelle58971121[[#This Row],[installierte Leistung MW durch]]</f>
        <v>0</v>
      </c>
      <c r="BU239" s="10">
        <f>Tabelle58971121[[#This Row],[Mindestauslastung min]]*Tabelle58971121[[#This Row],[installierte Leistung MW min]]</f>
        <v>0</v>
      </c>
      <c r="BV239" s="18">
        <f>Tabelle58971121[[#This Row],[Mindestauslastung max]]*Tabelle58971121[[#This Row],[installierte Leistung MW max]]</f>
        <v>0</v>
      </c>
      <c r="BW239" s="8">
        <v>0</v>
      </c>
      <c r="BX239" s="8">
        <v>0</v>
      </c>
      <c r="BY239" s="8">
        <v>0</v>
      </c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41">
        <v>0.70128691983122371</v>
      </c>
      <c r="DC239" s="41">
        <v>0.66128691983122367</v>
      </c>
      <c r="DD239" s="41">
        <v>0.74128691983122363</v>
      </c>
      <c r="DE239" s="10">
        <f>Tabelle58971121[[#This Row],[Durchschnittsauslastung min]]*Tabelle58971121[[#This Row],[installierte Leistung MW min]]</f>
        <v>245.00159831223633</v>
      </c>
      <c r="DF239" s="10">
        <f>Tabelle58971121[[#This Row],[Durchschnittsauslastung durch]]*Tabelle58971121[[#This Row],[installierte Leistung MW durch]]</f>
        <v>283.98305485232072</v>
      </c>
      <c r="DG239" s="48">
        <f>Tabelle58971121[[#This Row],[Durchschnittsauslastung max]]*Tabelle58971121[[#This Row],[installierte Leistung MW max]]</f>
        <v>377.70051139240508</v>
      </c>
      <c r="DH239" s="87">
        <f>Tabelle58971121[[#This Row],[Maximalauslastung durch]]*Tabelle58971121[[#This Row],[installierte Leistung MW min]]</f>
        <v>289.04012151898735</v>
      </c>
      <c r="DI239" s="48">
        <f>Tabelle58971121[[#This Row],[Maximalauslastung durch]]*Tabelle58971121[[#This Row],[installierte Leistung MW durch]]</f>
        <v>355.29365063291146</v>
      </c>
      <c r="DJ239" s="10">
        <f>Tabelle58971121[[#This Row],[Maximalauslastung max]]*Tabelle58971121[[#This Row],[installierte Leistung MW durch]]</f>
        <v>366.48264641350215</v>
      </c>
      <c r="DK239" s="8">
        <v>0.82734177215189875</v>
      </c>
      <c r="DL239" s="8">
        <v>0.80128691983122369</v>
      </c>
      <c r="DM239" s="8">
        <v>0.85339662447257381</v>
      </c>
      <c r="DN239" s="10">
        <v>429.44000000000005</v>
      </c>
      <c r="DO239" s="10">
        <v>349.36</v>
      </c>
      <c r="DP239" s="10">
        <v>509.52000000000004</v>
      </c>
      <c r="DQ239" s="1">
        <v>0.16666666666666663</v>
      </c>
      <c r="DR239" s="1">
        <v>8.3333333333333329E-2</v>
      </c>
      <c r="DS239" s="53">
        <v>0.25</v>
      </c>
      <c r="DT239" s="1">
        <v>0.27083333333333331</v>
      </c>
      <c r="DU239" s="1">
        <v>8.3333333333333329E-2</v>
      </c>
      <c r="DV239" s="53">
        <v>0.5</v>
      </c>
      <c r="DW239" s="1">
        <v>10.994303797468355</v>
      </c>
      <c r="DX239" s="1">
        <v>4</v>
      </c>
      <c r="DY239" s="53">
        <v>16.399999999999999</v>
      </c>
      <c r="DZ239" s="1">
        <v>12.781434599156119</v>
      </c>
      <c r="EA239" s="1">
        <v>4.9000000000000004</v>
      </c>
      <c r="EB239" s="53">
        <v>18.899999999999999</v>
      </c>
      <c r="EC239" s="1">
        <v>23.657383966244726</v>
      </c>
      <c r="ED239" s="1">
        <v>15.113513513513514</v>
      </c>
      <c r="EE239" s="53">
        <v>15.053287197231835</v>
      </c>
      <c r="EF239" s="1">
        <v>15.076793248945149</v>
      </c>
      <c r="EG239" s="1">
        <v>4.8</v>
      </c>
      <c r="EH239" s="53">
        <v>24.900000000000002</v>
      </c>
      <c r="EJ239" s="1" t="s">
        <v>643</v>
      </c>
      <c r="EL239" s="1">
        <v>100</v>
      </c>
      <c r="EM239" s="1">
        <v>50</v>
      </c>
      <c r="EN239" s="1">
        <v>150</v>
      </c>
      <c r="EO239" s="1">
        <v>0</v>
      </c>
      <c r="EP239" s="1">
        <v>0</v>
      </c>
      <c r="EQ239" s="1">
        <v>0</v>
      </c>
      <c r="ER239" s="1">
        <v>100</v>
      </c>
      <c r="ES239" s="1">
        <v>50</v>
      </c>
      <c r="ET239" s="1">
        <v>150</v>
      </c>
      <c r="EU239" s="1">
        <v>1.526470588235294</v>
      </c>
      <c r="EV239" s="18">
        <v>0.50882352941176467</v>
      </c>
      <c r="EW239" s="18">
        <v>2.5441176470588234</v>
      </c>
      <c r="EX239" s="18">
        <v>178.08823529411762</v>
      </c>
      <c r="EY239" s="7">
        <v>101.76470588235293</v>
      </c>
      <c r="EZ239" s="7">
        <v>254.41176470588235</v>
      </c>
      <c r="FA239" s="7">
        <v>1330.0647058823529</v>
      </c>
      <c r="FB239" s="7">
        <v>1047.1588235294116</v>
      </c>
      <c r="FC239" s="7">
        <v>1612.9705882352939</v>
      </c>
      <c r="FD239" s="7">
        <v>0</v>
      </c>
      <c r="FE239" s="7">
        <v>0</v>
      </c>
      <c r="FF239" s="7">
        <v>30.52941176470588</v>
      </c>
      <c r="FG239" s="7">
        <v>66.147058823529406</v>
      </c>
      <c r="FH239" s="7">
        <v>25.441176470588232</v>
      </c>
      <c r="FI239" s="7">
        <v>106.85294117647058</v>
      </c>
      <c r="FJ239" s="7">
        <v>19.437058823529412</v>
      </c>
      <c r="FK239" s="7">
        <v>16.384117647058822</v>
      </c>
      <c r="FL239" s="7">
        <v>22.49</v>
      </c>
      <c r="FO239" s="1">
        <v>220</v>
      </c>
      <c r="FP239" s="1">
        <v>220</v>
      </c>
      <c r="FR239" s="12" t="s">
        <v>638</v>
      </c>
      <c r="FS239" s="1" t="s">
        <v>638</v>
      </c>
      <c r="FT239" s="12">
        <v>182</v>
      </c>
      <c r="FU239" s="12"/>
      <c r="FV239" s="12">
        <v>182</v>
      </c>
      <c r="FW239" s="12">
        <v>182</v>
      </c>
      <c r="FX239" s="1">
        <v>182</v>
      </c>
      <c r="FY239" s="12" t="s">
        <v>637</v>
      </c>
      <c r="FZ239" s="12" t="s">
        <v>636</v>
      </c>
      <c r="GA239" s="1">
        <v>202</v>
      </c>
      <c r="GB239" s="1">
        <v>202</v>
      </c>
      <c r="GD239" s="1" t="s">
        <v>640</v>
      </c>
      <c r="GE239" s="1">
        <v>211</v>
      </c>
      <c r="GF239" s="1">
        <v>214</v>
      </c>
      <c r="GG239" s="1">
        <v>220</v>
      </c>
      <c r="GH239" s="1">
        <v>214</v>
      </c>
      <c r="GK239" s="1" t="s">
        <v>639</v>
      </c>
    </row>
    <row r="240" spans="1:193" ht="12.75" customHeight="1" x14ac:dyDescent="0.2">
      <c r="A240" s="1" t="s">
        <v>880</v>
      </c>
      <c r="D240" s="1" t="s">
        <v>580</v>
      </c>
      <c r="E240" s="1" t="s">
        <v>129</v>
      </c>
      <c r="F240" s="1">
        <v>1</v>
      </c>
      <c r="G240" s="1">
        <v>2045</v>
      </c>
      <c r="H240" s="1">
        <v>1</v>
      </c>
      <c r="I240" s="1">
        <v>1</v>
      </c>
      <c r="J240" s="1">
        <v>0</v>
      </c>
      <c r="K240" s="10">
        <v>293.26</v>
      </c>
      <c r="L240" s="10">
        <v>221.88</v>
      </c>
      <c r="M240" s="10">
        <v>364.64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8"/>
      <c r="BQ240" s="10">
        <v>53.32</v>
      </c>
      <c r="BR240" s="10">
        <v>18.919999999999998</v>
      </c>
      <c r="BS240" s="10">
        <v>87.72</v>
      </c>
      <c r="BT240" s="10">
        <f>Tabelle58971121[[#This Row],[Mindestauslastung durch]]*Tabelle58971121[[#This Row],[installierte Leistung MW durch]]</f>
        <v>0</v>
      </c>
      <c r="BU240" s="10">
        <f>Tabelle58971121[[#This Row],[Mindestauslastung min]]*Tabelle58971121[[#This Row],[installierte Leistung MW min]]</f>
        <v>0</v>
      </c>
      <c r="BV240" s="18">
        <f>Tabelle58971121[[#This Row],[Mindestauslastung max]]*Tabelle58971121[[#This Row],[installierte Leistung MW max]]</f>
        <v>0</v>
      </c>
      <c r="BW240" s="8">
        <v>0</v>
      </c>
      <c r="BX240" s="8">
        <v>0</v>
      </c>
      <c r="BY240" s="8">
        <v>0</v>
      </c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41">
        <v>0.70128691983122371</v>
      </c>
      <c r="DC240" s="41">
        <v>0.66128691983122367</v>
      </c>
      <c r="DD240" s="41">
        <v>0.74128691983122363</v>
      </c>
      <c r="DE240" s="10">
        <f>Tabelle58971121[[#This Row],[Durchschnittsauslastung min]]*Tabelle58971121[[#This Row],[installierte Leistung MW min]]</f>
        <v>239.43338016877641</v>
      </c>
      <c r="DF240" s="10">
        <f>Tabelle58971121[[#This Row],[Durchschnittsauslastung durch]]*Tabelle58971121[[#This Row],[installierte Leistung MW durch]]</f>
        <v>277.52889451476796</v>
      </c>
      <c r="DG240" s="48">
        <f>Tabelle58971121[[#This Row],[Durchschnittsauslastung max]]*Tabelle58971121[[#This Row],[installierte Leistung MW max]]</f>
        <v>369.11640886075952</v>
      </c>
      <c r="DH240" s="87">
        <f>Tabelle58971121[[#This Row],[Maximalauslastung durch]]*Tabelle58971121[[#This Row],[installierte Leistung MW min]]</f>
        <v>282.4710278481013</v>
      </c>
      <c r="DI240" s="48">
        <f>Tabelle58971121[[#This Row],[Maximalauslastung durch]]*Tabelle58971121[[#This Row],[installierte Leistung MW durch]]</f>
        <v>347.21879493670889</v>
      </c>
      <c r="DJ240" s="10">
        <f>Tabelle58971121[[#This Row],[Maximalauslastung max]]*Tabelle58971121[[#This Row],[installierte Leistung MW durch]]</f>
        <v>358.15349535864976</v>
      </c>
      <c r="DK240" s="8">
        <v>0.82734177215189875</v>
      </c>
      <c r="DL240" s="8">
        <v>0.80128691983122369</v>
      </c>
      <c r="DM240" s="8">
        <v>0.85339662447257381</v>
      </c>
      <c r="DN240" s="10">
        <v>419.68</v>
      </c>
      <c r="DO240" s="10">
        <v>341.42</v>
      </c>
      <c r="DP240" s="10">
        <v>497.94000000000005</v>
      </c>
      <c r="DQ240" s="1">
        <v>0.16666666666666663</v>
      </c>
      <c r="DR240" s="1">
        <v>8.3333333333333329E-2</v>
      </c>
      <c r="DS240" s="53">
        <v>0.25</v>
      </c>
      <c r="DT240" s="1">
        <v>0.27083333333333331</v>
      </c>
      <c r="DU240" s="1">
        <v>8.3333333333333329E-2</v>
      </c>
      <c r="DV240" s="53">
        <v>0.5</v>
      </c>
      <c r="DW240" s="1">
        <v>10.994303797468355</v>
      </c>
      <c r="DX240" s="1">
        <v>4</v>
      </c>
      <c r="DY240" s="53">
        <v>16.399999999999999</v>
      </c>
      <c r="DZ240" s="1">
        <v>12.781434599156119</v>
      </c>
      <c r="EA240" s="1">
        <v>4.9000000000000004</v>
      </c>
      <c r="EB240" s="53">
        <v>18.899999999999999</v>
      </c>
      <c r="EC240" s="1">
        <v>23.657383966244726</v>
      </c>
      <c r="ED240" s="1">
        <v>15.113513513513514</v>
      </c>
      <c r="EE240" s="53">
        <v>15.053287197231835</v>
      </c>
      <c r="EF240" s="1">
        <v>15.076793248945149</v>
      </c>
      <c r="EG240" s="1">
        <v>4.8</v>
      </c>
      <c r="EH240" s="53">
        <v>24.900000000000002</v>
      </c>
      <c r="EJ240" s="1" t="s">
        <v>643</v>
      </c>
      <c r="EL240" s="1">
        <v>100</v>
      </c>
      <c r="EM240" s="1">
        <v>50</v>
      </c>
      <c r="EN240" s="1">
        <v>150</v>
      </c>
      <c r="EO240" s="1">
        <v>0</v>
      </c>
      <c r="EP240" s="1">
        <v>0</v>
      </c>
      <c r="EQ240" s="1">
        <v>0</v>
      </c>
      <c r="ER240" s="1">
        <v>100</v>
      </c>
      <c r="ES240" s="1">
        <v>50</v>
      </c>
      <c r="ET240" s="1">
        <v>150</v>
      </c>
      <c r="EU240" s="1">
        <v>1.526470588235294</v>
      </c>
      <c r="EV240" s="18">
        <v>0.50882352941176467</v>
      </c>
      <c r="EW240" s="18">
        <v>2.5441176470588234</v>
      </c>
      <c r="EX240" s="18">
        <v>178.08823529411762</v>
      </c>
      <c r="EY240" s="7">
        <v>101.76470588235293</v>
      </c>
      <c r="EZ240" s="7">
        <v>254.41176470588235</v>
      </c>
      <c r="FA240" s="7">
        <v>1330.0647058823529</v>
      </c>
      <c r="FB240" s="7">
        <v>1047.1588235294116</v>
      </c>
      <c r="FC240" s="7">
        <v>1612.9705882352939</v>
      </c>
      <c r="FD240" s="7">
        <v>0</v>
      </c>
      <c r="FE240" s="7">
        <v>0</v>
      </c>
      <c r="FF240" s="7">
        <v>30.52941176470588</v>
      </c>
      <c r="FG240" s="7">
        <v>66.147058823529406</v>
      </c>
      <c r="FH240" s="7">
        <v>25.441176470588232</v>
      </c>
      <c r="FI240" s="7">
        <v>106.85294117647058</v>
      </c>
      <c r="FJ240" s="7">
        <v>19.437058823529412</v>
      </c>
      <c r="FK240" s="7">
        <v>16.384117647058822</v>
      </c>
      <c r="FL240" s="7">
        <v>22.49</v>
      </c>
      <c r="FO240" s="1">
        <v>220</v>
      </c>
      <c r="FP240" s="1">
        <v>220</v>
      </c>
      <c r="FR240" s="12" t="s">
        <v>638</v>
      </c>
      <c r="FS240" s="1" t="s">
        <v>638</v>
      </c>
      <c r="FT240" s="12">
        <v>182</v>
      </c>
      <c r="FU240" s="12"/>
      <c r="FV240" s="12">
        <v>182</v>
      </c>
      <c r="FW240" s="12">
        <v>182</v>
      </c>
      <c r="FX240" s="1">
        <v>182</v>
      </c>
      <c r="FY240" s="12" t="s">
        <v>637</v>
      </c>
      <c r="FZ240" s="12" t="s">
        <v>636</v>
      </c>
      <c r="GA240" s="1">
        <v>202</v>
      </c>
      <c r="GB240" s="1">
        <v>202</v>
      </c>
      <c r="GD240" s="1" t="s">
        <v>640</v>
      </c>
      <c r="GE240" s="1">
        <v>211</v>
      </c>
      <c r="GF240" s="1">
        <v>214</v>
      </c>
      <c r="GG240" s="1">
        <v>220</v>
      </c>
      <c r="GH240" s="1">
        <v>214</v>
      </c>
      <c r="GK240" s="1" t="s">
        <v>639</v>
      </c>
    </row>
    <row r="241" spans="1:193" ht="12.75" customHeight="1" x14ac:dyDescent="0.2">
      <c r="A241" s="1" t="s">
        <v>880</v>
      </c>
      <c r="D241" s="1" t="s">
        <v>580</v>
      </c>
      <c r="E241" s="1" t="s">
        <v>129</v>
      </c>
      <c r="F241" s="1">
        <v>1</v>
      </c>
      <c r="G241" s="1">
        <v>2050</v>
      </c>
      <c r="H241" s="1">
        <v>1</v>
      </c>
      <c r="I241" s="1">
        <v>1</v>
      </c>
      <c r="J241" s="1">
        <v>0</v>
      </c>
      <c r="K241" s="10">
        <v>286.44000000000005</v>
      </c>
      <c r="L241" s="10">
        <v>216.72000000000003</v>
      </c>
      <c r="M241" s="10">
        <v>356.16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8"/>
      <c r="BQ241" s="10">
        <v>52.080000000000005</v>
      </c>
      <c r="BR241" s="10">
        <v>18.48</v>
      </c>
      <c r="BS241" s="10">
        <v>85.68</v>
      </c>
      <c r="BT241" s="10">
        <f>Tabelle58971121[[#This Row],[Mindestauslastung durch]]*Tabelle58971121[[#This Row],[installierte Leistung MW durch]]</f>
        <v>0</v>
      </c>
      <c r="BU241" s="10">
        <f>Tabelle58971121[[#This Row],[Mindestauslastung min]]*Tabelle58971121[[#This Row],[installierte Leistung MW min]]</f>
        <v>0</v>
      </c>
      <c r="BV241" s="18">
        <f>Tabelle58971121[[#This Row],[Mindestauslastung max]]*Tabelle58971121[[#This Row],[installierte Leistung MW max]]</f>
        <v>0</v>
      </c>
      <c r="BW241" s="8">
        <v>0</v>
      </c>
      <c r="BX241" s="8">
        <v>0</v>
      </c>
      <c r="BY241" s="8">
        <v>0</v>
      </c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41">
        <v>0.70128691983122371</v>
      </c>
      <c r="DC241" s="41">
        <v>0.66128691983122367</v>
      </c>
      <c r="DD241" s="41">
        <v>0.74128691983122363</v>
      </c>
      <c r="DE241" s="10">
        <f>Tabelle58971121[[#This Row],[Durchschnittsauslastung min]]*Tabelle58971121[[#This Row],[installierte Leistung MW min]]</f>
        <v>233.86516202531649</v>
      </c>
      <c r="DF241" s="10">
        <f>Tabelle58971121[[#This Row],[Durchschnittsauslastung durch]]*Tabelle58971121[[#This Row],[installierte Leistung MW durch]]</f>
        <v>271.07473417721519</v>
      </c>
      <c r="DG241" s="48">
        <f>Tabelle58971121[[#This Row],[Durchschnittsauslastung max]]*Tabelle58971121[[#This Row],[installierte Leistung MW max]]</f>
        <v>360.53230632911396</v>
      </c>
      <c r="DH241" s="87">
        <f>Tabelle58971121[[#This Row],[Maximalauslastung durch]]*Tabelle58971121[[#This Row],[installierte Leistung MW min]]</f>
        <v>275.9019341772152</v>
      </c>
      <c r="DI241" s="48">
        <f>Tabelle58971121[[#This Row],[Maximalauslastung durch]]*Tabelle58971121[[#This Row],[installierte Leistung MW durch]]</f>
        <v>339.14393924050631</v>
      </c>
      <c r="DJ241" s="10">
        <f>Tabelle58971121[[#This Row],[Maximalauslastung max]]*Tabelle58971121[[#This Row],[installierte Leistung MW durch]]</f>
        <v>349.82434430379743</v>
      </c>
      <c r="DK241" s="8">
        <v>0.82734177215189875</v>
      </c>
      <c r="DL241" s="8">
        <v>0.80128691983122369</v>
      </c>
      <c r="DM241" s="8">
        <v>0.85339662447257381</v>
      </c>
      <c r="DN241" s="10">
        <v>409.91999999999996</v>
      </c>
      <c r="DO241" s="10">
        <v>333.48</v>
      </c>
      <c r="DP241" s="10">
        <v>486.36</v>
      </c>
      <c r="DQ241" s="1">
        <v>0.16666666666666663</v>
      </c>
      <c r="DR241" s="1">
        <v>8.3333333333333329E-2</v>
      </c>
      <c r="DS241" s="53">
        <v>0.25</v>
      </c>
      <c r="DT241" s="1">
        <v>0.27083333333333337</v>
      </c>
      <c r="DU241" s="1">
        <v>8.3333333333333329E-2</v>
      </c>
      <c r="DV241" s="53">
        <v>0.5</v>
      </c>
      <c r="DW241" s="1">
        <v>10.994303797468355</v>
      </c>
      <c r="DX241" s="1">
        <v>4</v>
      </c>
      <c r="DY241" s="53">
        <v>16.399999999999999</v>
      </c>
      <c r="DZ241" s="1">
        <v>12.781434599156119</v>
      </c>
      <c r="EA241" s="1">
        <v>4.9000000000000004</v>
      </c>
      <c r="EB241" s="53">
        <v>18.899999999999999</v>
      </c>
      <c r="EC241" s="1">
        <v>23.657383966244726</v>
      </c>
      <c r="ED241" s="1">
        <v>15.113513513513514</v>
      </c>
      <c r="EE241" s="53">
        <v>15.053287197231832</v>
      </c>
      <c r="EF241" s="1">
        <v>15.076793248945149</v>
      </c>
      <c r="EG241" s="1">
        <v>4.8</v>
      </c>
      <c r="EH241" s="53">
        <v>24.900000000000002</v>
      </c>
      <c r="EJ241" s="1" t="s">
        <v>643</v>
      </c>
      <c r="EL241" s="1">
        <v>100</v>
      </c>
      <c r="EM241" s="1">
        <v>50</v>
      </c>
      <c r="EN241" s="1">
        <v>150</v>
      </c>
      <c r="EO241" s="1">
        <v>0</v>
      </c>
      <c r="EP241" s="1">
        <v>0</v>
      </c>
      <c r="EQ241" s="1">
        <v>0</v>
      </c>
      <c r="ER241" s="1">
        <v>100</v>
      </c>
      <c r="ES241" s="1">
        <v>50</v>
      </c>
      <c r="ET241" s="1">
        <v>150</v>
      </c>
      <c r="EU241" s="1">
        <v>1.526470588235294</v>
      </c>
      <c r="EV241" s="18">
        <v>0.50882352941176467</v>
      </c>
      <c r="EW241" s="18">
        <v>2.5441176470588234</v>
      </c>
      <c r="EX241" s="18">
        <v>178.08823529411762</v>
      </c>
      <c r="EY241" s="7">
        <v>101.76470588235293</v>
      </c>
      <c r="EZ241" s="7">
        <v>254.41176470588235</v>
      </c>
      <c r="FA241" s="7">
        <v>1330.0647058823529</v>
      </c>
      <c r="FB241" s="7">
        <v>1047.1588235294116</v>
      </c>
      <c r="FC241" s="7">
        <v>1612.9705882352939</v>
      </c>
      <c r="FD241" s="7">
        <v>0</v>
      </c>
      <c r="FE241" s="7">
        <v>0</v>
      </c>
      <c r="FF241" s="7">
        <v>30.52941176470588</v>
      </c>
      <c r="FG241" s="7">
        <v>66.147058823529406</v>
      </c>
      <c r="FH241" s="7">
        <v>25.441176470588232</v>
      </c>
      <c r="FI241" s="7">
        <v>106.85294117647058</v>
      </c>
      <c r="FJ241" s="7">
        <v>19.437058823529412</v>
      </c>
      <c r="FK241" s="7">
        <v>16.384117647058822</v>
      </c>
      <c r="FL241" s="7">
        <v>22.49</v>
      </c>
      <c r="FO241" s="1">
        <v>220</v>
      </c>
      <c r="FP241" s="1">
        <v>220</v>
      </c>
      <c r="FR241" s="12" t="s">
        <v>638</v>
      </c>
      <c r="FS241" s="1" t="s">
        <v>638</v>
      </c>
      <c r="FT241" s="12">
        <v>182</v>
      </c>
      <c r="FU241" s="12"/>
      <c r="FV241" s="12">
        <v>182</v>
      </c>
      <c r="FW241" s="12">
        <v>182</v>
      </c>
      <c r="FX241" s="1">
        <v>182</v>
      </c>
      <c r="FY241" s="12" t="s">
        <v>637</v>
      </c>
      <c r="FZ241" s="12" t="s">
        <v>636</v>
      </c>
      <c r="GA241" s="1">
        <v>202</v>
      </c>
      <c r="GB241" s="1">
        <v>202</v>
      </c>
      <c r="GD241" s="1" t="s">
        <v>640</v>
      </c>
      <c r="GE241" s="1">
        <v>211</v>
      </c>
      <c r="GF241" s="1">
        <v>214</v>
      </c>
      <c r="GG241" s="1">
        <v>220</v>
      </c>
      <c r="GH241" s="1">
        <v>214</v>
      </c>
      <c r="GK241" s="1" t="s">
        <v>639</v>
      </c>
    </row>
    <row r="242" spans="1:193" ht="12.75" customHeight="1" x14ac:dyDescent="0.2">
      <c r="A242" s="1" t="s">
        <v>570</v>
      </c>
      <c r="D242" s="1" t="s">
        <v>574</v>
      </c>
      <c r="E242" s="1" t="s">
        <v>129</v>
      </c>
      <c r="F242" s="1">
        <v>1</v>
      </c>
      <c r="G242" s="1">
        <v>2015</v>
      </c>
      <c r="H242" s="1">
        <v>1</v>
      </c>
      <c r="I242" s="1">
        <v>1</v>
      </c>
      <c r="J242" s="1">
        <v>0</v>
      </c>
      <c r="K242" s="10">
        <v>160</v>
      </c>
      <c r="L242" s="10">
        <v>149</v>
      </c>
      <c r="M242" s="10">
        <v>171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8"/>
      <c r="BQ242" s="10">
        <v>15</v>
      </c>
      <c r="BR242" s="10">
        <v>7</v>
      </c>
      <c r="BS242" s="10">
        <v>23</v>
      </c>
      <c r="BT242" s="10">
        <f>Tabelle58971121[[#This Row],[Mindestauslastung durch]]*Tabelle58971121[[#This Row],[installierte Leistung MW durch]]</f>
        <v>0</v>
      </c>
      <c r="BU242" s="10">
        <f>Tabelle58971121[[#This Row],[Mindestauslastung min]]*Tabelle58971121[[#This Row],[installierte Leistung MW min]]</f>
        <v>0</v>
      </c>
      <c r="BV242" s="18">
        <f>Tabelle58971121[[#This Row],[Mindestauslastung max]]*Tabelle58971121[[#This Row],[installierte Leistung MW max]]</f>
        <v>0</v>
      </c>
      <c r="BW242" s="8">
        <v>0</v>
      </c>
      <c r="BX242" s="8">
        <v>0</v>
      </c>
      <c r="BY242" s="8">
        <v>0</v>
      </c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41">
        <v>0.88100558659217887</v>
      </c>
      <c r="DC242" s="41">
        <v>0.84802816901408451</v>
      </c>
      <c r="DD242" s="41">
        <v>0.91537037037037039</v>
      </c>
      <c r="DE242" s="10">
        <f>Tabelle58971121[[#This Row],[Durchschnittsauslastung min]]*Tabelle58971121[[#This Row],[installierte Leistung MW min]]</f>
        <v>155.93798882681565</v>
      </c>
      <c r="DF242" s="10">
        <f>Tabelle58971121[[#This Row],[Durchschnittsauslastung durch]]*Tabelle58971121[[#This Row],[installierte Leistung MW durch]]</f>
        <v>154.34112676056338</v>
      </c>
      <c r="DG242" s="48">
        <f>Tabelle58971121[[#This Row],[Durchschnittsauslastung max]]*Tabelle58971121[[#This Row],[installierte Leistung MW max]]</f>
        <v>171.17425925925926</v>
      </c>
      <c r="DH242" s="87">
        <f>Tabelle58971121[[#This Row],[Maximalauslastung durch]]*Tabelle58971121[[#This Row],[installierte Leistung MW min]]</f>
        <v>170.25620111731845</v>
      </c>
      <c r="DI242" s="48">
        <f>Tabelle58971121[[#This Row],[Maximalauslastung durch]]*Tabelle58971121[[#This Row],[installierte Leistung MW durch]]</f>
        <v>175.06569832402235</v>
      </c>
      <c r="DJ242" s="10">
        <f>Tabelle58971121[[#This Row],[Maximalauslastung max]]*Tabelle58971121[[#This Row],[installierte Leistung MW durch]]</f>
        <v>176.20296296296294</v>
      </c>
      <c r="DK242" s="8">
        <v>0.9618994413407822</v>
      </c>
      <c r="DL242" s="8">
        <v>0.95521126760563391</v>
      </c>
      <c r="DM242" s="8">
        <v>0.96814814814814809</v>
      </c>
      <c r="DN242" s="10">
        <v>182</v>
      </c>
      <c r="DO242" s="10">
        <v>177</v>
      </c>
      <c r="DP242" s="10">
        <v>187</v>
      </c>
      <c r="DQ242" s="1">
        <v>2.6666666666666665E-2</v>
      </c>
      <c r="DR242" s="1">
        <v>2.7777777777777778E-4</v>
      </c>
      <c r="DS242" s="53">
        <v>0.25</v>
      </c>
      <c r="DT242" s="1">
        <v>0.10624999999999998</v>
      </c>
      <c r="DU242" s="1">
        <v>8.3333333333333332E-3</v>
      </c>
      <c r="DV242" s="53">
        <v>0.25</v>
      </c>
      <c r="DW242" s="1">
        <v>3</v>
      </c>
      <c r="DX242" s="1">
        <v>1.6</v>
      </c>
      <c r="DY242" s="53">
        <v>7.2</v>
      </c>
      <c r="DZ242" s="1">
        <v>4</v>
      </c>
      <c r="EA242" s="1">
        <v>3.2</v>
      </c>
      <c r="EB242" s="53">
        <v>4.8</v>
      </c>
      <c r="EC242" s="1">
        <v>7</v>
      </c>
      <c r="ED242" s="1">
        <v>7</v>
      </c>
      <c r="EE242" s="53">
        <v>7</v>
      </c>
      <c r="EF242" s="1">
        <v>4.5500000000000007</v>
      </c>
      <c r="EG242" s="1">
        <v>3.1999999999999997</v>
      </c>
      <c r="EH242" s="53">
        <v>6.8000000000000007</v>
      </c>
      <c r="EJ242" s="1" t="s">
        <v>641</v>
      </c>
      <c r="EL242" s="1">
        <v>50</v>
      </c>
      <c r="EM242" s="1">
        <v>20</v>
      </c>
      <c r="EN242" s="1">
        <v>80</v>
      </c>
      <c r="EO242" s="1">
        <v>0</v>
      </c>
      <c r="EP242" s="1">
        <v>0</v>
      </c>
      <c r="EQ242" s="1">
        <v>0</v>
      </c>
      <c r="ER242" s="1">
        <v>50</v>
      </c>
      <c r="ES242" s="1">
        <v>20</v>
      </c>
      <c r="ET242" s="1">
        <v>80</v>
      </c>
      <c r="EU242" s="1">
        <v>0</v>
      </c>
      <c r="EV242" s="18">
        <v>0</v>
      </c>
      <c r="EW242" s="18">
        <v>0</v>
      </c>
      <c r="EX242" s="18">
        <v>178.08823529411762</v>
      </c>
      <c r="EY242" s="7">
        <v>101.76470588235293</v>
      </c>
      <c r="EZ242" s="7">
        <v>254.41176470588235</v>
      </c>
      <c r="FA242" s="7">
        <v>2000.6941176470586</v>
      </c>
      <c r="FB242" s="7">
        <v>1359.0676470588235</v>
      </c>
      <c r="FC242" s="7">
        <v>2642.3205882352941</v>
      </c>
      <c r="FD242" s="7">
        <v>0</v>
      </c>
      <c r="FE242" s="7">
        <v>0</v>
      </c>
      <c r="FF242" s="7">
        <v>30.52941176470588</v>
      </c>
      <c r="FG242" s="7">
        <v>58.514705882352935</v>
      </c>
      <c r="FH242" s="7">
        <v>17.808823529411764</v>
      </c>
      <c r="FI242" s="7">
        <v>99.220588235294116</v>
      </c>
      <c r="FJ242" s="7">
        <v>2.0352941176470587</v>
      </c>
      <c r="FK242" s="7">
        <v>0</v>
      </c>
      <c r="FL242" s="7">
        <v>4.0705882352941174</v>
      </c>
      <c r="FO242" s="1">
        <v>220</v>
      </c>
      <c r="FP242" s="1">
        <v>220</v>
      </c>
      <c r="FR242" s="12" t="s">
        <v>638</v>
      </c>
      <c r="FS242" s="1" t="s">
        <v>638</v>
      </c>
      <c r="FT242" s="12">
        <v>182</v>
      </c>
      <c r="FU242" s="12"/>
      <c r="FV242" s="12">
        <v>182</v>
      </c>
      <c r="FW242" s="12">
        <v>182</v>
      </c>
      <c r="FX242" s="1">
        <v>182</v>
      </c>
      <c r="FY242" s="12" t="s">
        <v>637</v>
      </c>
      <c r="FZ242" s="12" t="s">
        <v>636</v>
      </c>
      <c r="GA242" s="1">
        <v>202</v>
      </c>
      <c r="GB242" s="1">
        <v>202</v>
      </c>
      <c r="GD242" s="1" t="s">
        <v>640</v>
      </c>
      <c r="GE242" s="1">
        <v>211</v>
      </c>
      <c r="GF242" s="1">
        <v>214</v>
      </c>
      <c r="GG242" s="1">
        <v>220</v>
      </c>
      <c r="GH242" s="1">
        <v>214</v>
      </c>
      <c r="GK242" s="1" t="s">
        <v>639</v>
      </c>
    </row>
    <row r="243" spans="1:193" ht="12.75" customHeight="1" x14ac:dyDescent="0.2">
      <c r="A243" s="1" t="s">
        <v>570</v>
      </c>
      <c r="D243" s="1" t="s">
        <v>574</v>
      </c>
      <c r="E243" s="1" t="s">
        <v>129</v>
      </c>
      <c r="F243" s="1">
        <v>1</v>
      </c>
      <c r="G243" s="1">
        <v>2020</v>
      </c>
      <c r="H243" s="1">
        <v>1</v>
      </c>
      <c r="I243" s="1">
        <v>1</v>
      </c>
      <c r="J243" s="1">
        <v>0</v>
      </c>
      <c r="K243" s="10">
        <v>160</v>
      </c>
      <c r="L243" s="10">
        <v>149</v>
      </c>
      <c r="M243" s="10">
        <v>171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8"/>
      <c r="BQ243" s="10">
        <v>15</v>
      </c>
      <c r="BR243" s="10">
        <v>7</v>
      </c>
      <c r="BS243" s="10">
        <v>23</v>
      </c>
      <c r="BT243" s="10">
        <f>Tabelle58971121[[#This Row],[Mindestauslastung durch]]*Tabelle58971121[[#This Row],[installierte Leistung MW durch]]</f>
        <v>0</v>
      </c>
      <c r="BU243" s="10">
        <f>Tabelle58971121[[#This Row],[Mindestauslastung min]]*Tabelle58971121[[#This Row],[installierte Leistung MW min]]</f>
        <v>0</v>
      </c>
      <c r="BV243" s="18">
        <f>Tabelle58971121[[#This Row],[Mindestauslastung max]]*Tabelle58971121[[#This Row],[installierte Leistung MW max]]</f>
        <v>0</v>
      </c>
      <c r="BW243" s="8">
        <v>0</v>
      </c>
      <c r="BX243" s="8">
        <v>0</v>
      </c>
      <c r="BY243" s="8">
        <v>0</v>
      </c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41">
        <v>0.88100558659217887</v>
      </c>
      <c r="DC243" s="41">
        <v>0.84553072625698322</v>
      </c>
      <c r="DD243" s="41">
        <v>0.91648044692737429</v>
      </c>
      <c r="DE243" s="10">
        <f>Tabelle58971121[[#This Row],[Durchschnittsauslastung min]]*Tabelle58971121[[#This Row],[installierte Leistung MW min]]</f>
        <v>155.93798882681565</v>
      </c>
      <c r="DF243" s="10">
        <f>Tabelle58971121[[#This Row],[Durchschnittsauslastung durch]]*Tabelle58971121[[#This Row],[installierte Leistung MW durch]]</f>
        <v>153.88659217877094</v>
      </c>
      <c r="DG243" s="48">
        <f>Tabelle58971121[[#This Row],[Durchschnittsauslastung max]]*Tabelle58971121[[#This Row],[installierte Leistung MW max]]</f>
        <v>171.381843575419</v>
      </c>
      <c r="DH243" s="87">
        <f>Tabelle58971121[[#This Row],[Maximalauslastung durch]]*Tabelle58971121[[#This Row],[installierte Leistung MW min]]</f>
        <v>170.25620111731845</v>
      </c>
      <c r="DI243" s="48">
        <f>Tabelle58971121[[#This Row],[Maximalauslastung durch]]*Tabelle58971121[[#This Row],[installierte Leistung MW durch]]</f>
        <v>175.06569832402235</v>
      </c>
      <c r="DJ243" s="10">
        <f>Tabelle58971121[[#This Row],[Maximalauslastung max]]*Tabelle58971121[[#This Row],[installierte Leistung MW durch]]</f>
        <v>176.16379888268159</v>
      </c>
      <c r="DK243" s="8">
        <v>0.9618994413407822</v>
      </c>
      <c r="DL243" s="8">
        <v>0.95586592178770957</v>
      </c>
      <c r="DM243" s="8">
        <v>0.96793296089385483</v>
      </c>
      <c r="DN243" s="10">
        <v>182</v>
      </c>
      <c r="DO243" s="10">
        <v>177</v>
      </c>
      <c r="DP243" s="10">
        <v>187</v>
      </c>
      <c r="DQ243" s="1">
        <v>0.1609473929236499</v>
      </c>
      <c r="DR243" s="1">
        <v>2.7777777777777778E-4</v>
      </c>
      <c r="DS243" s="53">
        <v>0.25</v>
      </c>
      <c r="DT243" s="1">
        <v>8.8466014897579132E-2</v>
      </c>
      <c r="DU243" s="1">
        <v>8.3333333333333332E-3</v>
      </c>
      <c r="DV243" s="53">
        <v>0.25</v>
      </c>
      <c r="DW243" s="1">
        <v>3.58659217877095</v>
      </c>
      <c r="DX243" s="1">
        <v>1.6</v>
      </c>
      <c r="DY243" s="53">
        <v>7.2</v>
      </c>
      <c r="DZ243" s="1">
        <v>4</v>
      </c>
      <c r="EA243" s="1">
        <v>3.2</v>
      </c>
      <c r="EB243" s="53">
        <v>4.8</v>
      </c>
      <c r="EC243" s="1">
        <v>7.5865921787709496</v>
      </c>
      <c r="ED243" s="1">
        <v>4.3774647887323948</v>
      </c>
      <c r="EE243" s="53">
        <v>4.4037037037037035</v>
      </c>
      <c r="EF243" s="1">
        <v>4.3932960893854744</v>
      </c>
      <c r="EG243" s="1">
        <v>3.1999999999999997</v>
      </c>
      <c r="EH243" s="53">
        <v>6.8000000000000007</v>
      </c>
      <c r="EJ243" s="1" t="s">
        <v>641</v>
      </c>
      <c r="EL243" s="1">
        <v>50</v>
      </c>
      <c r="EM243" s="1">
        <v>20</v>
      </c>
      <c r="EN243" s="1">
        <v>80</v>
      </c>
      <c r="EO243" s="1">
        <v>0</v>
      </c>
      <c r="EP243" s="1">
        <v>0</v>
      </c>
      <c r="EQ243" s="1">
        <v>0</v>
      </c>
      <c r="ER243" s="1">
        <v>50</v>
      </c>
      <c r="ES243" s="1">
        <v>20</v>
      </c>
      <c r="ET243" s="1">
        <v>80</v>
      </c>
      <c r="EU243" s="1">
        <v>0</v>
      </c>
      <c r="EV243" s="18">
        <v>0</v>
      </c>
      <c r="EW243" s="18">
        <v>0</v>
      </c>
      <c r="EX243" s="18">
        <v>178.08823529411762</v>
      </c>
      <c r="EY243" s="7">
        <v>101.76470588235293</v>
      </c>
      <c r="EZ243" s="7">
        <v>254.41176470588235</v>
      </c>
      <c r="FA243" s="7">
        <v>2000.6941176470586</v>
      </c>
      <c r="FB243" s="7">
        <v>1359.0676470588235</v>
      </c>
      <c r="FC243" s="7">
        <v>2642.3205882352941</v>
      </c>
      <c r="FD243" s="7">
        <v>0</v>
      </c>
      <c r="FE243" s="7">
        <v>0</v>
      </c>
      <c r="FF243" s="7">
        <v>30.52941176470588</v>
      </c>
      <c r="FG243" s="7">
        <v>58.514705882352935</v>
      </c>
      <c r="FH243" s="7">
        <v>17.808823529411764</v>
      </c>
      <c r="FI243" s="7">
        <v>99.220588235294116</v>
      </c>
      <c r="FJ243" s="7">
        <v>2.0352941176470587</v>
      </c>
      <c r="FK243" s="7">
        <v>0</v>
      </c>
      <c r="FL243" s="7">
        <v>4.0705882352941174</v>
      </c>
      <c r="FO243" s="1">
        <v>220</v>
      </c>
      <c r="FP243" s="1">
        <v>220</v>
      </c>
      <c r="FR243" s="12" t="s">
        <v>638</v>
      </c>
      <c r="FS243" s="1" t="s">
        <v>638</v>
      </c>
      <c r="FT243" s="12">
        <v>182</v>
      </c>
      <c r="FU243" s="12"/>
      <c r="FV243" s="12">
        <v>182</v>
      </c>
      <c r="FW243" s="12">
        <v>182</v>
      </c>
      <c r="FX243" s="1">
        <v>182</v>
      </c>
      <c r="FY243" s="12" t="s">
        <v>637</v>
      </c>
      <c r="FZ243" s="12" t="s">
        <v>636</v>
      </c>
      <c r="GA243" s="1">
        <v>202</v>
      </c>
      <c r="GB243" s="1">
        <v>202</v>
      </c>
      <c r="GD243" s="1" t="s">
        <v>640</v>
      </c>
      <c r="GE243" s="1">
        <v>211</v>
      </c>
      <c r="GF243" s="1">
        <v>214</v>
      </c>
      <c r="GG243" s="1">
        <v>220</v>
      </c>
      <c r="GH243" s="1">
        <v>214</v>
      </c>
      <c r="GK243" s="1" t="s">
        <v>639</v>
      </c>
    </row>
    <row r="244" spans="1:193" ht="12.75" customHeight="1" x14ac:dyDescent="0.2">
      <c r="A244" s="1" t="s">
        <v>570</v>
      </c>
      <c r="D244" s="1" t="s">
        <v>574</v>
      </c>
      <c r="E244" s="1" t="s">
        <v>129</v>
      </c>
      <c r="F244" s="1">
        <v>1</v>
      </c>
      <c r="G244" s="1">
        <v>2025</v>
      </c>
      <c r="H244" s="1">
        <v>1</v>
      </c>
      <c r="I244" s="1">
        <v>1</v>
      </c>
      <c r="J244" s="1">
        <v>0</v>
      </c>
      <c r="K244" s="10">
        <v>160</v>
      </c>
      <c r="L244" s="10">
        <v>149</v>
      </c>
      <c r="M244" s="10">
        <v>171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8"/>
      <c r="BQ244" s="10">
        <v>15</v>
      </c>
      <c r="BR244" s="10">
        <v>7</v>
      </c>
      <c r="BS244" s="10">
        <v>23</v>
      </c>
      <c r="BT244" s="10">
        <f>Tabelle58971121[[#This Row],[Mindestauslastung durch]]*Tabelle58971121[[#This Row],[installierte Leistung MW durch]]</f>
        <v>0</v>
      </c>
      <c r="BU244" s="10">
        <f>Tabelle58971121[[#This Row],[Mindestauslastung min]]*Tabelle58971121[[#This Row],[installierte Leistung MW min]]</f>
        <v>0</v>
      </c>
      <c r="BV244" s="18">
        <f>Tabelle58971121[[#This Row],[Mindestauslastung max]]*Tabelle58971121[[#This Row],[installierte Leistung MW max]]</f>
        <v>0</v>
      </c>
      <c r="BW244" s="8">
        <v>0</v>
      </c>
      <c r="BX244" s="8">
        <v>0</v>
      </c>
      <c r="BY244" s="8">
        <v>0</v>
      </c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41">
        <v>0.88100558659217887</v>
      </c>
      <c r="DC244" s="41">
        <v>0.84553072625698322</v>
      </c>
      <c r="DD244" s="41">
        <v>0.91648044692737429</v>
      </c>
      <c r="DE244" s="10">
        <f>Tabelle58971121[[#This Row],[Durchschnittsauslastung min]]*Tabelle58971121[[#This Row],[installierte Leistung MW min]]</f>
        <v>155.93798882681565</v>
      </c>
      <c r="DF244" s="10">
        <f>Tabelle58971121[[#This Row],[Durchschnittsauslastung durch]]*Tabelle58971121[[#This Row],[installierte Leistung MW durch]]</f>
        <v>153.88659217877094</v>
      </c>
      <c r="DG244" s="48">
        <f>Tabelle58971121[[#This Row],[Durchschnittsauslastung max]]*Tabelle58971121[[#This Row],[installierte Leistung MW max]]</f>
        <v>171.381843575419</v>
      </c>
      <c r="DH244" s="87">
        <f>Tabelle58971121[[#This Row],[Maximalauslastung durch]]*Tabelle58971121[[#This Row],[installierte Leistung MW min]]</f>
        <v>170.25620111731845</v>
      </c>
      <c r="DI244" s="48">
        <f>Tabelle58971121[[#This Row],[Maximalauslastung durch]]*Tabelle58971121[[#This Row],[installierte Leistung MW durch]]</f>
        <v>175.06569832402235</v>
      </c>
      <c r="DJ244" s="10">
        <f>Tabelle58971121[[#This Row],[Maximalauslastung max]]*Tabelle58971121[[#This Row],[installierte Leistung MW durch]]</f>
        <v>176.16379888268159</v>
      </c>
      <c r="DK244" s="8">
        <v>0.9618994413407822</v>
      </c>
      <c r="DL244" s="8">
        <v>0.95586592178770957</v>
      </c>
      <c r="DM244" s="8">
        <v>0.96793296089385483</v>
      </c>
      <c r="DN244" s="10">
        <v>182</v>
      </c>
      <c r="DO244" s="10">
        <v>177</v>
      </c>
      <c r="DP244" s="10">
        <v>187</v>
      </c>
      <c r="DQ244" s="1">
        <v>0.1609473929236499</v>
      </c>
      <c r="DR244" s="1">
        <v>2.7777777777777778E-4</v>
      </c>
      <c r="DS244" s="53">
        <v>0.25</v>
      </c>
      <c r="DT244" s="1">
        <v>8.8466014897579132E-2</v>
      </c>
      <c r="DU244" s="1">
        <v>8.3333333333333332E-3</v>
      </c>
      <c r="DV244" s="53">
        <v>0.25</v>
      </c>
      <c r="DW244" s="1">
        <v>3.58659217877095</v>
      </c>
      <c r="DX244" s="1">
        <v>1.6</v>
      </c>
      <c r="DY244" s="53">
        <v>7.2</v>
      </c>
      <c r="DZ244" s="1">
        <v>4</v>
      </c>
      <c r="EA244" s="1">
        <v>3.2</v>
      </c>
      <c r="EB244" s="53">
        <v>4.8</v>
      </c>
      <c r="EC244" s="1">
        <v>7.5865921787709496</v>
      </c>
      <c r="ED244" s="1">
        <v>4.3774647887323948</v>
      </c>
      <c r="EE244" s="53">
        <v>4.4037037037037035</v>
      </c>
      <c r="EF244" s="1">
        <v>4.3932960893854744</v>
      </c>
      <c r="EG244" s="1">
        <v>3.1999999999999997</v>
      </c>
      <c r="EH244" s="53">
        <v>6.8000000000000007</v>
      </c>
      <c r="EJ244" s="1" t="s">
        <v>641</v>
      </c>
      <c r="EL244" s="1">
        <v>50</v>
      </c>
      <c r="EM244" s="1">
        <v>20</v>
      </c>
      <c r="EN244" s="1">
        <v>80</v>
      </c>
      <c r="EO244" s="1">
        <v>0</v>
      </c>
      <c r="EP244" s="1">
        <v>0</v>
      </c>
      <c r="EQ244" s="1">
        <v>0</v>
      </c>
      <c r="ER244" s="1">
        <v>50</v>
      </c>
      <c r="ES244" s="1">
        <v>20</v>
      </c>
      <c r="ET244" s="1">
        <v>80</v>
      </c>
      <c r="EU244" s="1">
        <v>0</v>
      </c>
      <c r="EV244" s="18">
        <v>0</v>
      </c>
      <c r="EW244" s="18">
        <v>0</v>
      </c>
      <c r="EX244" s="18">
        <v>178.08823529411762</v>
      </c>
      <c r="EY244" s="7">
        <v>101.76470588235293</v>
      </c>
      <c r="EZ244" s="7">
        <v>254.41176470588235</v>
      </c>
      <c r="FA244" s="7">
        <v>2000.6941176470586</v>
      </c>
      <c r="FB244" s="7">
        <v>1359.0676470588235</v>
      </c>
      <c r="FC244" s="7">
        <v>2642.3205882352941</v>
      </c>
      <c r="FD244" s="7">
        <v>0</v>
      </c>
      <c r="FE244" s="7">
        <v>0</v>
      </c>
      <c r="FF244" s="7">
        <v>30.52941176470588</v>
      </c>
      <c r="FG244" s="7">
        <v>58.514705882352935</v>
      </c>
      <c r="FH244" s="7">
        <v>17.808823529411764</v>
      </c>
      <c r="FI244" s="7">
        <v>99.220588235294116</v>
      </c>
      <c r="FJ244" s="7">
        <v>2.0352941176470587</v>
      </c>
      <c r="FK244" s="7">
        <v>0</v>
      </c>
      <c r="FL244" s="7">
        <v>4.0705882352941174</v>
      </c>
      <c r="FO244" s="1">
        <v>220</v>
      </c>
      <c r="FP244" s="1">
        <v>220</v>
      </c>
      <c r="FR244" s="12" t="s">
        <v>638</v>
      </c>
      <c r="FS244" s="1" t="s">
        <v>638</v>
      </c>
      <c r="FT244" s="12">
        <v>182</v>
      </c>
      <c r="FU244" s="12"/>
      <c r="FV244" s="12">
        <v>182</v>
      </c>
      <c r="FW244" s="12">
        <v>182</v>
      </c>
      <c r="FX244" s="1">
        <v>182</v>
      </c>
      <c r="FY244" s="12" t="s">
        <v>637</v>
      </c>
      <c r="FZ244" s="12" t="s">
        <v>636</v>
      </c>
      <c r="GA244" s="1">
        <v>202</v>
      </c>
      <c r="GB244" s="1">
        <v>202</v>
      </c>
      <c r="GD244" s="1" t="s">
        <v>640</v>
      </c>
      <c r="GE244" s="1">
        <v>211</v>
      </c>
      <c r="GF244" s="1">
        <v>214</v>
      </c>
      <c r="GG244" s="1">
        <v>220</v>
      </c>
      <c r="GH244" s="1">
        <v>214</v>
      </c>
      <c r="GK244" s="1" t="s">
        <v>639</v>
      </c>
    </row>
    <row r="245" spans="1:193" ht="12.75" customHeight="1" x14ac:dyDescent="0.2">
      <c r="A245" s="1" t="s">
        <v>570</v>
      </c>
      <c r="D245" s="1" t="s">
        <v>574</v>
      </c>
      <c r="E245" s="1" t="s">
        <v>129</v>
      </c>
      <c r="F245" s="1">
        <v>1</v>
      </c>
      <c r="G245" s="1">
        <v>2030</v>
      </c>
      <c r="H245" s="1">
        <v>1</v>
      </c>
      <c r="I245" s="1">
        <v>1</v>
      </c>
      <c r="J245" s="1">
        <v>0</v>
      </c>
      <c r="K245" s="10">
        <v>158.39999999999998</v>
      </c>
      <c r="L245" s="10">
        <v>147.51</v>
      </c>
      <c r="M245" s="10">
        <v>169.29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8"/>
      <c r="BQ245" s="10">
        <v>14.849999999999998</v>
      </c>
      <c r="BR245" s="10">
        <v>6.93</v>
      </c>
      <c r="BS245" s="10">
        <v>22.77</v>
      </c>
      <c r="BT245" s="10">
        <f>Tabelle58971121[[#This Row],[Mindestauslastung durch]]*Tabelle58971121[[#This Row],[installierte Leistung MW durch]]</f>
        <v>0</v>
      </c>
      <c r="BU245" s="10">
        <f>Tabelle58971121[[#This Row],[Mindestauslastung min]]*Tabelle58971121[[#This Row],[installierte Leistung MW min]]</f>
        <v>0</v>
      </c>
      <c r="BV245" s="18">
        <f>Tabelle58971121[[#This Row],[Mindestauslastung max]]*Tabelle58971121[[#This Row],[installierte Leistung MW max]]</f>
        <v>0</v>
      </c>
      <c r="BW245" s="8">
        <v>0</v>
      </c>
      <c r="BX245" s="8">
        <v>0</v>
      </c>
      <c r="BY245" s="8">
        <v>0</v>
      </c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41">
        <v>0.88100558659217865</v>
      </c>
      <c r="DC245" s="41">
        <v>0.84553072625698322</v>
      </c>
      <c r="DD245" s="41">
        <v>0.91648044692737429</v>
      </c>
      <c r="DE245" s="10">
        <f>Tabelle58971121[[#This Row],[Durchschnittsauslastung min]]*Tabelle58971121[[#This Row],[installierte Leistung MW min]]</f>
        <v>154.37860893854747</v>
      </c>
      <c r="DF245" s="10">
        <f>Tabelle58971121[[#This Row],[Durchschnittsauslastung durch]]*Tabelle58971121[[#This Row],[installierte Leistung MW durch]]</f>
        <v>152.34772625698324</v>
      </c>
      <c r="DG245" s="48">
        <f>Tabelle58971121[[#This Row],[Durchschnittsauslastung max]]*Tabelle58971121[[#This Row],[installierte Leistung MW max]]</f>
        <v>169.66802513966479</v>
      </c>
      <c r="DH245" s="87">
        <f>Tabelle58971121[[#This Row],[Maximalauslastung durch]]*Tabelle58971121[[#This Row],[installierte Leistung MW min]]</f>
        <v>168.55363910614525</v>
      </c>
      <c r="DI245" s="48">
        <f>Tabelle58971121[[#This Row],[Maximalauslastung durch]]*Tabelle58971121[[#This Row],[installierte Leistung MW durch]]</f>
        <v>173.3150413407821</v>
      </c>
      <c r="DJ245" s="10">
        <f>Tabelle58971121[[#This Row],[Maximalauslastung max]]*Tabelle58971121[[#This Row],[installierte Leistung MW durch]]</f>
        <v>174.40216089385478</v>
      </c>
      <c r="DK245" s="8">
        <v>0.96189944134078198</v>
      </c>
      <c r="DL245" s="8">
        <v>0.95586592178770946</v>
      </c>
      <c r="DM245" s="8">
        <v>0.96793296089385483</v>
      </c>
      <c r="DN245" s="10">
        <v>180.18</v>
      </c>
      <c r="DO245" s="10">
        <v>175.23000000000002</v>
      </c>
      <c r="DP245" s="10">
        <v>185.13</v>
      </c>
      <c r="DQ245" s="1">
        <v>0.16094739292364987</v>
      </c>
      <c r="DR245" s="1">
        <v>2.7777777777777778E-4</v>
      </c>
      <c r="DS245" s="53">
        <v>0.25</v>
      </c>
      <c r="DT245" s="1">
        <v>8.8466014897579132E-2</v>
      </c>
      <c r="DU245" s="1">
        <v>8.3333333333333332E-3</v>
      </c>
      <c r="DV245" s="53">
        <v>0.25</v>
      </c>
      <c r="DW245" s="1">
        <v>3.5865921787709505</v>
      </c>
      <c r="DX245" s="1">
        <v>1.6</v>
      </c>
      <c r="DY245" s="53">
        <v>7.2</v>
      </c>
      <c r="DZ245" s="1">
        <v>4</v>
      </c>
      <c r="EA245" s="1">
        <v>3.2</v>
      </c>
      <c r="EB245" s="53">
        <v>4.8</v>
      </c>
      <c r="EC245" s="1">
        <v>7.5865921787709514</v>
      </c>
      <c r="ED245" s="1">
        <v>4.3774647887323948</v>
      </c>
      <c r="EE245" s="53">
        <v>4.4037037037037035</v>
      </c>
      <c r="EF245" s="1">
        <v>4.3932960893854753</v>
      </c>
      <c r="EG245" s="1">
        <v>3.1999999999999997</v>
      </c>
      <c r="EH245" s="53">
        <v>6.8000000000000007</v>
      </c>
      <c r="EJ245" s="1" t="s">
        <v>641</v>
      </c>
      <c r="EL245" s="1">
        <v>50</v>
      </c>
      <c r="EM245" s="1">
        <v>20</v>
      </c>
      <c r="EN245" s="1">
        <v>80</v>
      </c>
      <c r="EO245" s="1">
        <v>0</v>
      </c>
      <c r="EP245" s="1">
        <v>0</v>
      </c>
      <c r="EQ245" s="1">
        <v>0</v>
      </c>
      <c r="ER245" s="1">
        <v>50</v>
      </c>
      <c r="ES245" s="1">
        <v>20</v>
      </c>
      <c r="ET245" s="1">
        <v>80</v>
      </c>
      <c r="EU245" s="1">
        <v>0</v>
      </c>
      <c r="EV245" s="18">
        <v>0</v>
      </c>
      <c r="EW245" s="18">
        <v>0</v>
      </c>
      <c r="EX245" s="18">
        <v>178.08823529411762</v>
      </c>
      <c r="EY245" s="7">
        <v>101.76470588235293</v>
      </c>
      <c r="EZ245" s="7">
        <v>254.41176470588235</v>
      </c>
      <c r="FA245" s="7">
        <v>2000.6941176470586</v>
      </c>
      <c r="FB245" s="7">
        <v>1359.0676470588235</v>
      </c>
      <c r="FC245" s="7">
        <v>2642.3205882352941</v>
      </c>
      <c r="FD245" s="7">
        <v>0</v>
      </c>
      <c r="FE245" s="7">
        <v>0</v>
      </c>
      <c r="FF245" s="7">
        <v>30.52941176470588</v>
      </c>
      <c r="FG245" s="7">
        <v>58.514705882352935</v>
      </c>
      <c r="FH245" s="7">
        <v>17.808823529411764</v>
      </c>
      <c r="FI245" s="7">
        <v>99.220588235294116</v>
      </c>
      <c r="FJ245" s="7">
        <v>2.0352941176470587</v>
      </c>
      <c r="FK245" s="7">
        <v>0</v>
      </c>
      <c r="FL245" s="7">
        <v>4.0705882352941174</v>
      </c>
      <c r="FO245" s="1">
        <v>220</v>
      </c>
      <c r="FP245" s="1">
        <v>220</v>
      </c>
      <c r="FR245" s="12" t="s">
        <v>638</v>
      </c>
      <c r="FS245" s="1" t="s">
        <v>638</v>
      </c>
      <c r="FT245" s="12">
        <v>182</v>
      </c>
      <c r="FU245" s="12"/>
      <c r="FV245" s="12">
        <v>182</v>
      </c>
      <c r="FW245" s="12">
        <v>182</v>
      </c>
      <c r="FX245" s="1">
        <v>182</v>
      </c>
      <c r="FY245" s="12" t="s">
        <v>637</v>
      </c>
      <c r="FZ245" s="12" t="s">
        <v>636</v>
      </c>
      <c r="GA245" s="1">
        <v>202</v>
      </c>
      <c r="GB245" s="1">
        <v>202</v>
      </c>
      <c r="GD245" s="1" t="s">
        <v>640</v>
      </c>
      <c r="GE245" s="1">
        <v>211</v>
      </c>
      <c r="GF245" s="1">
        <v>214</v>
      </c>
      <c r="GG245" s="1">
        <v>220</v>
      </c>
      <c r="GH245" s="1">
        <v>214</v>
      </c>
      <c r="GK245" s="1" t="s">
        <v>639</v>
      </c>
    </row>
    <row r="246" spans="1:193" ht="12.75" customHeight="1" x14ac:dyDescent="0.2">
      <c r="A246" s="1" t="s">
        <v>570</v>
      </c>
      <c r="D246" s="1" t="s">
        <v>574</v>
      </c>
      <c r="E246" s="1" t="s">
        <v>129</v>
      </c>
      <c r="F246" s="1">
        <v>1</v>
      </c>
      <c r="G246" s="1">
        <v>2035</v>
      </c>
      <c r="H246" s="1">
        <v>1</v>
      </c>
      <c r="I246" s="1">
        <v>1</v>
      </c>
      <c r="J246" s="1">
        <v>0</v>
      </c>
      <c r="K246" s="10">
        <v>156.80000000000001</v>
      </c>
      <c r="L246" s="10">
        <v>146.02000000000001</v>
      </c>
      <c r="M246" s="10">
        <v>167.57999999999998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8"/>
      <c r="BQ246" s="10">
        <v>14.7</v>
      </c>
      <c r="BR246" s="10">
        <v>6.8599999999999994</v>
      </c>
      <c r="BS246" s="10">
        <v>22.54</v>
      </c>
      <c r="BT246" s="10">
        <f>Tabelle58971121[[#This Row],[Mindestauslastung durch]]*Tabelle58971121[[#This Row],[installierte Leistung MW durch]]</f>
        <v>0</v>
      </c>
      <c r="BU246" s="10">
        <f>Tabelle58971121[[#This Row],[Mindestauslastung min]]*Tabelle58971121[[#This Row],[installierte Leistung MW min]]</f>
        <v>0</v>
      </c>
      <c r="BV246" s="18">
        <f>Tabelle58971121[[#This Row],[Mindestauslastung max]]*Tabelle58971121[[#This Row],[installierte Leistung MW max]]</f>
        <v>0</v>
      </c>
      <c r="BW246" s="8">
        <v>0</v>
      </c>
      <c r="BX246" s="8">
        <v>0</v>
      </c>
      <c r="BY246" s="8">
        <v>0</v>
      </c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41">
        <v>0.88100558659217887</v>
      </c>
      <c r="DC246" s="41">
        <v>0.84553072625698322</v>
      </c>
      <c r="DD246" s="41">
        <v>0.9164804469273744</v>
      </c>
      <c r="DE246" s="10">
        <f>Tabelle58971121[[#This Row],[Durchschnittsauslastung min]]*Tabelle58971121[[#This Row],[installierte Leistung MW min]]</f>
        <v>152.81922905027932</v>
      </c>
      <c r="DF246" s="10">
        <f>Tabelle58971121[[#This Row],[Durchschnittsauslastung durch]]*Tabelle58971121[[#This Row],[installierte Leistung MW durch]]</f>
        <v>150.8088603351955</v>
      </c>
      <c r="DG246" s="48">
        <f>Tabelle58971121[[#This Row],[Durchschnittsauslastung max]]*Tabelle58971121[[#This Row],[installierte Leistung MW max]]</f>
        <v>167.95420670391059</v>
      </c>
      <c r="DH246" s="87">
        <f>Tabelle58971121[[#This Row],[Maximalauslastung durch]]*Tabelle58971121[[#This Row],[installierte Leistung MW min]]</f>
        <v>166.85107709497208</v>
      </c>
      <c r="DI246" s="48">
        <f>Tabelle58971121[[#This Row],[Maximalauslastung durch]]*Tabelle58971121[[#This Row],[installierte Leistung MW durch]]</f>
        <v>171.56438435754191</v>
      </c>
      <c r="DJ246" s="10">
        <f>Tabelle58971121[[#This Row],[Maximalauslastung max]]*Tabelle58971121[[#This Row],[installierte Leistung MW durch]]</f>
        <v>172.64052290502792</v>
      </c>
      <c r="DK246" s="8">
        <v>0.96189944134078231</v>
      </c>
      <c r="DL246" s="8">
        <v>0.95586592178770957</v>
      </c>
      <c r="DM246" s="8">
        <v>0.96793296089385483</v>
      </c>
      <c r="DN246" s="10">
        <v>178.35999999999999</v>
      </c>
      <c r="DO246" s="10">
        <v>173.45999999999998</v>
      </c>
      <c r="DP246" s="10">
        <v>183.25999999999996</v>
      </c>
      <c r="DQ246" s="1">
        <v>0.1609473929236499</v>
      </c>
      <c r="DR246" s="1">
        <v>2.7777777777777778E-4</v>
      </c>
      <c r="DS246" s="53">
        <v>0.25</v>
      </c>
      <c r="DT246" s="1">
        <v>8.8466014897579132E-2</v>
      </c>
      <c r="DU246" s="1">
        <v>8.3333333333333332E-3</v>
      </c>
      <c r="DV246" s="53">
        <v>0.25</v>
      </c>
      <c r="DW246" s="1">
        <v>3.5865921787709496</v>
      </c>
      <c r="DX246" s="1">
        <v>1.6</v>
      </c>
      <c r="DY246" s="53">
        <v>7.2</v>
      </c>
      <c r="DZ246" s="1">
        <v>4</v>
      </c>
      <c r="EA246" s="1">
        <v>3.2</v>
      </c>
      <c r="EB246" s="53">
        <v>4.8</v>
      </c>
      <c r="EC246" s="1">
        <v>7.5865921787709496</v>
      </c>
      <c r="ED246" s="1">
        <v>4.3774647887323948</v>
      </c>
      <c r="EE246" s="53">
        <v>4.4037037037037035</v>
      </c>
      <c r="EF246" s="1">
        <v>4.3932960893854744</v>
      </c>
      <c r="EG246" s="1">
        <v>3.1999999999999997</v>
      </c>
      <c r="EH246" s="53">
        <v>6.8000000000000007</v>
      </c>
      <c r="EJ246" s="1" t="s">
        <v>641</v>
      </c>
      <c r="EL246" s="1">
        <v>50</v>
      </c>
      <c r="EM246" s="1">
        <v>20</v>
      </c>
      <c r="EN246" s="1">
        <v>80</v>
      </c>
      <c r="EO246" s="1">
        <v>0</v>
      </c>
      <c r="EP246" s="1">
        <v>0</v>
      </c>
      <c r="EQ246" s="1">
        <v>0</v>
      </c>
      <c r="ER246" s="1">
        <v>50</v>
      </c>
      <c r="ES246" s="1">
        <v>20</v>
      </c>
      <c r="ET246" s="1">
        <v>80</v>
      </c>
      <c r="EU246" s="1">
        <v>0</v>
      </c>
      <c r="EV246" s="18">
        <v>0</v>
      </c>
      <c r="EW246" s="18">
        <v>0</v>
      </c>
      <c r="EX246" s="18">
        <v>178.08823529411762</v>
      </c>
      <c r="EY246" s="7">
        <v>101.76470588235293</v>
      </c>
      <c r="EZ246" s="7">
        <v>254.41176470588235</v>
      </c>
      <c r="FA246" s="7">
        <v>2000.6941176470586</v>
      </c>
      <c r="FB246" s="7">
        <v>1359.0676470588235</v>
      </c>
      <c r="FC246" s="7">
        <v>2642.3205882352941</v>
      </c>
      <c r="FD246" s="7">
        <v>0</v>
      </c>
      <c r="FE246" s="7">
        <v>0</v>
      </c>
      <c r="FF246" s="7">
        <v>30.52941176470588</v>
      </c>
      <c r="FG246" s="7">
        <v>58.514705882352935</v>
      </c>
      <c r="FH246" s="7">
        <v>17.808823529411764</v>
      </c>
      <c r="FI246" s="7">
        <v>99.220588235294116</v>
      </c>
      <c r="FJ246" s="7">
        <v>2.0352941176470587</v>
      </c>
      <c r="FK246" s="7">
        <v>0</v>
      </c>
      <c r="FL246" s="7">
        <v>4.0705882352941174</v>
      </c>
      <c r="FO246" s="1">
        <v>220</v>
      </c>
      <c r="FP246" s="1">
        <v>220</v>
      </c>
      <c r="FR246" s="12" t="s">
        <v>638</v>
      </c>
      <c r="FS246" s="1" t="s">
        <v>638</v>
      </c>
      <c r="FT246" s="12">
        <v>182</v>
      </c>
      <c r="FU246" s="12"/>
      <c r="FV246" s="12">
        <v>182</v>
      </c>
      <c r="FW246" s="12">
        <v>182</v>
      </c>
      <c r="FX246" s="1">
        <v>182</v>
      </c>
      <c r="FY246" s="12" t="s">
        <v>637</v>
      </c>
      <c r="FZ246" s="12" t="s">
        <v>636</v>
      </c>
      <c r="GA246" s="1">
        <v>202</v>
      </c>
      <c r="GB246" s="1">
        <v>202</v>
      </c>
      <c r="GD246" s="1" t="s">
        <v>640</v>
      </c>
      <c r="GE246" s="1">
        <v>211</v>
      </c>
      <c r="GF246" s="1">
        <v>214</v>
      </c>
      <c r="GG246" s="1">
        <v>220</v>
      </c>
      <c r="GH246" s="1">
        <v>214</v>
      </c>
      <c r="GK246" s="1" t="s">
        <v>639</v>
      </c>
    </row>
    <row r="247" spans="1:193" ht="12.75" customHeight="1" x14ac:dyDescent="0.2">
      <c r="A247" s="1" t="s">
        <v>570</v>
      </c>
      <c r="D247" s="1" t="s">
        <v>574</v>
      </c>
      <c r="E247" s="1" t="s">
        <v>129</v>
      </c>
      <c r="F247" s="1">
        <v>1</v>
      </c>
      <c r="G247" s="1">
        <v>2040</v>
      </c>
      <c r="H247" s="1">
        <v>1</v>
      </c>
      <c r="I247" s="1">
        <v>1</v>
      </c>
      <c r="J247" s="1">
        <v>0</v>
      </c>
      <c r="K247" s="10">
        <v>153.60000000000002</v>
      </c>
      <c r="L247" s="10">
        <v>143.04</v>
      </c>
      <c r="M247" s="10">
        <v>164.16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8"/>
      <c r="BQ247" s="10">
        <v>14.400000000000002</v>
      </c>
      <c r="BR247" s="10">
        <v>6.7199999999999989</v>
      </c>
      <c r="BS247" s="10">
        <v>22.08</v>
      </c>
      <c r="BT247" s="10">
        <f>Tabelle58971121[[#This Row],[Mindestauslastung durch]]*Tabelle58971121[[#This Row],[installierte Leistung MW durch]]</f>
        <v>0</v>
      </c>
      <c r="BU247" s="10">
        <f>Tabelle58971121[[#This Row],[Mindestauslastung min]]*Tabelle58971121[[#This Row],[installierte Leistung MW min]]</f>
        <v>0</v>
      </c>
      <c r="BV247" s="18">
        <f>Tabelle58971121[[#This Row],[Mindestauslastung max]]*Tabelle58971121[[#This Row],[installierte Leistung MW max]]</f>
        <v>0</v>
      </c>
      <c r="BW247" s="8">
        <v>0</v>
      </c>
      <c r="BX247" s="8">
        <v>0</v>
      </c>
      <c r="BY247" s="8">
        <v>0</v>
      </c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41">
        <v>0.88100558659217887</v>
      </c>
      <c r="DC247" s="41">
        <v>0.84553072625698311</v>
      </c>
      <c r="DD247" s="41">
        <v>0.91648044692737429</v>
      </c>
      <c r="DE247" s="10">
        <f>Tabelle58971121[[#This Row],[Durchschnittsauslastung min]]*Tabelle58971121[[#This Row],[installierte Leistung MW min]]</f>
        <v>149.70046927374304</v>
      </c>
      <c r="DF247" s="10">
        <f>Tabelle58971121[[#This Row],[Durchschnittsauslastung durch]]*Tabelle58971121[[#This Row],[installierte Leistung MW durch]]</f>
        <v>147.73112849162007</v>
      </c>
      <c r="DG247" s="48">
        <f>Tabelle58971121[[#This Row],[Durchschnittsauslastung max]]*Tabelle58971121[[#This Row],[installierte Leistung MW max]]</f>
        <v>164.5265698324022</v>
      </c>
      <c r="DH247" s="87">
        <f>Tabelle58971121[[#This Row],[Maximalauslastung durch]]*Tabelle58971121[[#This Row],[installierte Leistung MW min]]</f>
        <v>163.44595307262574</v>
      </c>
      <c r="DI247" s="48">
        <f>Tabelle58971121[[#This Row],[Maximalauslastung durch]]*Tabelle58971121[[#This Row],[installierte Leistung MW durch]]</f>
        <v>168.06307039106144</v>
      </c>
      <c r="DJ247" s="10">
        <f>Tabelle58971121[[#This Row],[Maximalauslastung max]]*Tabelle58971121[[#This Row],[installierte Leistung MW durch]]</f>
        <v>169.11724692737428</v>
      </c>
      <c r="DK247" s="8">
        <v>0.96189944134078231</v>
      </c>
      <c r="DL247" s="8">
        <v>0.95586592178770946</v>
      </c>
      <c r="DM247" s="8">
        <v>0.96793296089385483</v>
      </c>
      <c r="DN247" s="10">
        <v>174.71999999999997</v>
      </c>
      <c r="DO247" s="10">
        <v>169.92000000000002</v>
      </c>
      <c r="DP247" s="10">
        <v>179.51999999999998</v>
      </c>
      <c r="DQ247" s="1">
        <v>0.16094739292364993</v>
      </c>
      <c r="DR247" s="1">
        <v>2.7777777777777778E-4</v>
      </c>
      <c r="DS247" s="53">
        <v>0.25</v>
      </c>
      <c r="DT247" s="1">
        <v>8.8466014897579145E-2</v>
      </c>
      <c r="DU247" s="1">
        <v>8.3333333333333332E-3</v>
      </c>
      <c r="DV247" s="53">
        <v>0.25</v>
      </c>
      <c r="DW247" s="1">
        <v>3.58659217877095</v>
      </c>
      <c r="DX247" s="1">
        <v>1.6</v>
      </c>
      <c r="DY247" s="53">
        <v>7.2</v>
      </c>
      <c r="DZ247" s="1">
        <v>4</v>
      </c>
      <c r="EA247" s="1">
        <v>3.2</v>
      </c>
      <c r="EB247" s="53">
        <v>4.8</v>
      </c>
      <c r="EC247" s="1">
        <v>7.5865921787709496</v>
      </c>
      <c r="ED247" s="1">
        <v>4.3774647887323948</v>
      </c>
      <c r="EE247" s="53">
        <v>4.4037037037037035</v>
      </c>
      <c r="EF247" s="1">
        <v>4.3932960893854753</v>
      </c>
      <c r="EG247" s="1">
        <v>3.1999999999999997</v>
      </c>
      <c r="EH247" s="53">
        <v>6.8000000000000007</v>
      </c>
      <c r="EJ247" s="1" t="s">
        <v>641</v>
      </c>
      <c r="EL247" s="1">
        <v>50</v>
      </c>
      <c r="EM247" s="1">
        <v>20</v>
      </c>
      <c r="EN247" s="1">
        <v>80</v>
      </c>
      <c r="EO247" s="1">
        <v>0</v>
      </c>
      <c r="EP247" s="1">
        <v>0</v>
      </c>
      <c r="EQ247" s="1">
        <v>0</v>
      </c>
      <c r="ER247" s="1">
        <v>50</v>
      </c>
      <c r="ES247" s="1">
        <v>20</v>
      </c>
      <c r="ET247" s="1">
        <v>80</v>
      </c>
      <c r="EU247" s="1">
        <v>0</v>
      </c>
      <c r="EV247" s="18">
        <v>0</v>
      </c>
      <c r="EW247" s="18">
        <v>0</v>
      </c>
      <c r="EX247" s="18">
        <v>178.08823529411762</v>
      </c>
      <c r="EY247" s="7">
        <v>101.76470588235293</v>
      </c>
      <c r="EZ247" s="7">
        <v>254.41176470588235</v>
      </c>
      <c r="FA247" s="7">
        <v>2000.6941176470586</v>
      </c>
      <c r="FB247" s="7">
        <v>1359.0676470588235</v>
      </c>
      <c r="FC247" s="7">
        <v>2642.3205882352941</v>
      </c>
      <c r="FD247" s="7">
        <v>0</v>
      </c>
      <c r="FE247" s="7">
        <v>0</v>
      </c>
      <c r="FF247" s="7">
        <v>30.52941176470588</v>
      </c>
      <c r="FG247" s="7">
        <v>58.514705882352935</v>
      </c>
      <c r="FH247" s="7">
        <v>17.808823529411764</v>
      </c>
      <c r="FI247" s="7">
        <v>99.220588235294116</v>
      </c>
      <c r="FJ247" s="7">
        <v>2.0352941176470587</v>
      </c>
      <c r="FK247" s="7">
        <v>0</v>
      </c>
      <c r="FL247" s="7">
        <v>4.0705882352941174</v>
      </c>
      <c r="FO247" s="1">
        <v>220</v>
      </c>
      <c r="FP247" s="1">
        <v>220</v>
      </c>
      <c r="FR247" s="12" t="s">
        <v>638</v>
      </c>
      <c r="FS247" s="1" t="s">
        <v>638</v>
      </c>
      <c r="FT247" s="12">
        <v>182</v>
      </c>
      <c r="FU247" s="12"/>
      <c r="FV247" s="12">
        <v>182</v>
      </c>
      <c r="FW247" s="12">
        <v>182</v>
      </c>
      <c r="FX247" s="1">
        <v>182</v>
      </c>
      <c r="FY247" s="12" t="s">
        <v>637</v>
      </c>
      <c r="FZ247" s="12" t="s">
        <v>636</v>
      </c>
      <c r="GA247" s="1">
        <v>202</v>
      </c>
      <c r="GB247" s="1">
        <v>202</v>
      </c>
      <c r="GD247" s="1" t="s">
        <v>640</v>
      </c>
      <c r="GE247" s="1">
        <v>211</v>
      </c>
      <c r="GF247" s="1">
        <v>214</v>
      </c>
      <c r="GG247" s="1">
        <v>220</v>
      </c>
      <c r="GH247" s="1">
        <v>214</v>
      </c>
      <c r="GK247" s="1" t="s">
        <v>639</v>
      </c>
    </row>
    <row r="248" spans="1:193" ht="12.75" customHeight="1" x14ac:dyDescent="0.2">
      <c r="A248" s="1" t="s">
        <v>570</v>
      </c>
      <c r="D248" s="1" t="s">
        <v>574</v>
      </c>
      <c r="E248" s="1" t="s">
        <v>129</v>
      </c>
      <c r="F248" s="1">
        <v>1</v>
      </c>
      <c r="G248" s="1">
        <v>2045</v>
      </c>
      <c r="H248" s="1">
        <v>1</v>
      </c>
      <c r="I248" s="1">
        <v>1</v>
      </c>
      <c r="J248" s="1">
        <v>0</v>
      </c>
      <c r="K248" s="10">
        <v>151.99999999999997</v>
      </c>
      <c r="L248" s="10">
        <v>141.54999999999998</v>
      </c>
      <c r="M248" s="10">
        <v>162.45000000000002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8"/>
      <c r="BQ248" s="10">
        <v>14.249999999999998</v>
      </c>
      <c r="BR248" s="10">
        <v>6.6499999999999986</v>
      </c>
      <c r="BS248" s="10">
        <v>21.85</v>
      </c>
      <c r="BT248" s="10">
        <f>Tabelle58971121[[#This Row],[Mindestauslastung durch]]*Tabelle58971121[[#This Row],[installierte Leistung MW durch]]</f>
        <v>0</v>
      </c>
      <c r="BU248" s="10">
        <f>Tabelle58971121[[#This Row],[Mindestauslastung min]]*Tabelle58971121[[#This Row],[installierte Leistung MW min]]</f>
        <v>0</v>
      </c>
      <c r="BV248" s="18">
        <f>Tabelle58971121[[#This Row],[Mindestauslastung max]]*Tabelle58971121[[#This Row],[installierte Leistung MW max]]</f>
        <v>0</v>
      </c>
      <c r="BW248" s="8">
        <v>0</v>
      </c>
      <c r="BX248" s="8">
        <v>0</v>
      </c>
      <c r="BY248" s="8">
        <v>0</v>
      </c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41">
        <v>0.88100558659217887</v>
      </c>
      <c r="DC248" s="41">
        <v>0.84553072625698322</v>
      </c>
      <c r="DD248" s="41">
        <v>0.91648044692737429</v>
      </c>
      <c r="DE248" s="10">
        <f>Tabelle58971121[[#This Row],[Durchschnittsauslastung min]]*Tabelle58971121[[#This Row],[installierte Leistung MW min]]</f>
        <v>148.14108938547488</v>
      </c>
      <c r="DF248" s="10">
        <f>Tabelle58971121[[#This Row],[Durchschnittsauslastung durch]]*Tabelle58971121[[#This Row],[installierte Leistung MW durch]]</f>
        <v>146.19226256983239</v>
      </c>
      <c r="DG248" s="48">
        <f>Tabelle58971121[[#This Row],[Durchschnittsauslastung max]]*Tabelle58971121[[#This Row],[installierte Leistung MW max]]</f>
        <v>162.81275139664803</v>
      </c>
      <c r="DH248" s="87">
        <f>Tabelle58971121[[#This Row],[Maximalauslastung durch]]*Tabelle58971121[[#This Row],[installierte Leistung MW min]]</f>
        <v>161.74339106145254</v>
      </c>
      <c r="DI248" s="48">
        <f>Tabelle58971121[[#This Row],[Maximalauslastung durch]]*Tabelle58971121[[#This Row],[installierte Leistung MW durch]]</f>
        <v>166.31241340782123</v>
      </c>
      <c r="DJ248" s="10">
        <f>Tabelle58971121[[#This Row],[Maximalauslastung max]]*Tabelle58971121[[#This Row],[installierte Leistung MW durch]]</f>
        <v>167.35560893854748</v>
      </c>
      <c r="DK248" s="8">
        <v>0.9618994413407822</v>
      </c>
      <c r="DL248" s="8">
        <v>0.95586592178770946</v>
      </c>
      <c r="DM248" s="8">
        <v>0.96793296089385483</v>
      </c>
      <c r="DN248" s="10">
        <v>172.89999999999998</v>
      </c>
      <c r="DO248" s="10">
        <v>168.15</v>
      </c>
      <c r="DP248" s="10">
        <v>177.64999999999998</v>
      </c>
      <c r="DQ248" s="1">
        <v>0.1609473929236499</v>
      </c>
      <c r="DR248" s="1">
        <v>2.7777777777777778E-4</v>
      </c>
      <c r="DS248" s="53">
        <v>0.25</v>
      </c>
      <c r="DT248" s="1">
        <v>8.8466014897579132E-2</v>
      </c>
      <c r="DU248" s="1">
        <v>8.3333333333333332E-3</v>
      </c>
      <c r="DV248" s="53">
        <v>0.25</v>
      </c>
      <c r="DW248" s="1">
        <v>3.5865921787709496</v>
      </c>
      <c r="DX248" s="1">
        <v>1.6</v>
      </c>
      <c r="DY248" s="53">
        <v>7.2</v>
      </c>
      <c r="DZ248" s="1">
        <v>4</v>
      </c>
      <c r="EA248" s="1">
        <v>3.2</v>
      </c>
      <c r="EB248" s="53">
        <v>4.8</v>
      </c>
      <c r="EC248" s="1">
        <v>7.5865921787709496</v>
      </c>
      <c r="ED248" s="1">
        <v>4.3774647887323939</v>
      </c>
      <c r="EE248" s="53">
        <v>4.4037037037037035</v>
      </c>
      <c r="EF248" s="1">
        <v>4.3932960893854744</v>
      </c>
      <c r="EG248" s="1">
        <v>3.1999999999999997</v>
      </c>
      <c r="EH248" s="53">
        <v>6.8000000000000007</v>
      </c>
      <c r="EJ248" s="1" t="s">
        <v>641</v>
      </c>
      <c r="EL248" s="1">
        <v>50</v>
      </c>
      <c r="EM248" s="1">
        <v>20</v>
      </c>
      <c r="EN248" s="1">
        <v>80</v>
      </c>
      <c r="EO248" s="1">
        <v>0</v>
      </c>
      <c r="EP248" s="1">
        <v>0</v>
      </c>
      <c r="EQ248" s="1">
        <v>0</v>
      </c>
      <c r="ER248" s="1">
        <v>50</v>
      </c>
      <c r="ES248" s="1">
        <v>20</v>
      </c>
      <c r="ET248" s="1">
        <v>80</v>
      </c>
      <c r="EU248" s="1">
        <v>0</v>
      </c>
      <c r="EV248" s="18">
        <v>0</v>
      </c>
      <c r="EW248" s="18">
        <v>0</v>
      </c>
      <c r="EX248" s="18">
        <v>178.08823529411762</v>
      </c>
      <c r="EY248" s="7">
        <v>101.76470588235293</v>
      </c>
      <c r="EZ248" s="7">
        <v>254.41176470588235</v>
      </c>
      <c r="FA248" s="7">
        <v>2000.6941176470586</v>
      </c>
      <c r="FB248" s="7">
        <v>1359.0676470588235</v>
      </c>
      <c r="FC248" s="7">
        <v>2642.3205882352941</v>
      </c>
      <c r="FD248" s="7">
        <v>0</v>
      </c>
      <c r="FE248" s="7">
        <v>0</v>
      </c>
      <c r="FF248" s="7">
        <v>30.52941176470588</v>
      </c>
      <c r="FG248" s="7">
        <v>58.514705882352935</v>
      </c>
      <c r="FH248" s="7">
        <v>17.808823529411764</v>
      </c>
      <c r="FI248" s="7">
        <v>99.220588235294116</v>
      </c>
      <c r="FJ248" s="7">
        <v>2.0352941176470587</v>
      </c>
      <c r="FK248" s="7">
        <v>0</v>
      </c>
      <c r="FL248" s="7">
        <v>4.0705882352941174</v>
      </c>
      <c r="FO248" s="1">
        <v>220</v>
      </c>
      <c r="FP248" s="1">
        <v>220</v>
      </c>
      <c r="FR248" s="12" t="s">
        <v>638</v>
      </c>
      <c r="FS248" s="1" t="s">
        <v>638</v>
      </c>
      <c r="FT248" s="12">
        <v>182</v>
      </c>
      <c r="FU248" s="12"/>
      <c r="FV248" s="12">
        <v>182</v>
      </c>
      <c r="FW248" s="12">
        <v>182</v>
      </c>
      <c r="FX248" s="1">
        <v>182</v>
      </c>
      <c r="FY248" s="12" t="s">
        <v>637</v>
      </c>
      <c r="FZ248" s="12" t="s">
        <v>636</v>
      </c>
      <c r="GA248" s="1">
        <v>202</v>
      </c>
      <c r="GB248" s="1">
        <v>202</v>
      </c>
      <c r="GD248" s="1" t="s">
        <v>640</v>
      </c>
      <c r="GE248" s="1">
        <v>211</v>
      </c>
      <c r="GF248" s="1">
        <v>214</v>
      </c>
      <c r="GG248" s="1">
        <v>220</v>
      </c>
      <c r="GH248" s="1">
        <v>214</v>
      </c>
      <c r="GK248" s="1" t="s">
        <v>639</v>
      </c>
    </row>
    <row r="249" spans="1:193" ht="12.75" customHeight="1" x14ac:dyDescent="0.2">
      <c r="A249" s="1" t="s">
        <v>570</v>
      </c>
      <c r="D249" s="1" t="s">
        <v>574</v>
      </c>
      <c r="E249" s="1" t="s">
        <v>129</v>
      </c>
      <c r="F249" s="1">
        <v>1</v>
      </c>
      <c r="G249" s="1">
        <v>2050</v>
      </c>
      <c r="H249" s="1">
        <v>1</v>
      </c>
      <c r="I249" s="1">
        <v>1</v>
      </c>
      <c r="J249" s="1">
        <v>0</v>
      </c>
      <c r="K249" s="10">
        <v>150.39999999999998</v>
      </c>
      <c r="L249" s="10">
        <v>140.06</v>
      </c>
      <c r="M249" s="10">
        <v>160.73999999999998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8"/>
      <c r="BQ249" s="10">
        <v>14.099999999999998</v>
      </c>
      <c r="BR249" s="10">
        <v>6.58</v>
      </c>
      <c r="BS249" s="10">
        <v>21.619999999999997</v>
      </c>
      <c r="BT249" s="10">
        <f>Tabelle58971121[[#This Row],[Mindestauslastung durch]]*Tabelle58971121[[#This Row],[installierte Leistung MW durch]]</f>
        <v>0</v>
      </c>
      <c r="BU249" s="10">
        <f>Tabelle58971121[[#This Row],[Mindestauslastung min]]*Tabelle58971121[[#This Row],[installierte Leistung MW min]]</f>
        <v>0</v>
      </c>
      <c r="BV249" s="18">
        <f>Tabelle58971121[[#This Row],[Mindestauslastung max]]*Tabelle58971121[[#This Row],[installierte Leistung MW max]]</f>
        <v>0</v>
      </c>
      <c r="BW249" s="8">
        <v>0</v>
      </c>
      <c r="BX249" s="8">
        <v>0</v>
      </c>
      <c r="BY249" s="8">
        <v>0</v>
      </c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41">
        <v>0.88100558659217887</v>
      </c>
      <c r="DC249" s="41">
        <v>0.84553072625698322</v>
      </c>
      <c r="DD249" s="41">
        <v>0.91648044692737429</v>
      </c>
      <c r="DE249" s="10">
        <f>Tabelle58971121[[#This Row],[Durchschnittsauslastung min]]*Tabelle58971121[[#This Row],[installierte Leistung MW min]]</f>
        <v>146.5817094972067</v>
      </c>
      <c r="DF249" s="10">
        <f>Tabelle58971121[[#This Row],[Durchschnittsauslastung durch]]*Tabelle58971121[[#This Row],[installierte Leistung MW durch]]</f>
        <v>144.65339664804466</v>
      </c>
      <c r="DG249" s="48">
        <f>Tabelle58971121[[#This Row],[Durchschnittsauslastung max]]*Tabelle58971121[[#This Row],[installierte Leistung MW max]]</f>
        <v>161.09893296089382</v>
      </c>
      <c r="DH249" s="87">
        <f>Tabelle58971121[[#This Row],[Maximalauslastung durch]]*Tabelle58971121[[#This Row],[installierte Leistung MW min]]</f>
        <v>160.04082905027934</v>
      </c>
      <c r="DI249" s="48">
        <f>Tabelle58971121[[#This Row],[Maximalauslastung durch]]*Tabelle58971121[[#This Row],[installierte Leistung MW durch]]</f>
        <v>164.56175642458101</v>
      </c>
      <c r="DJ249" s="10">
        <f>Tabelle58971121[[#This Row],[Maximalauslastung max]]*Tabelle58971121[[#This Row],[installierte Leistung MW durch]]</f>
        <v>165.59397094972067</v>
      </c>
      <c r="DK249" s="8">
        <v>0.9618994413407822</v>
      </c>
      <c r="DL249" s="8">
        <v>0.95586592178770946</v>
      </c>
      <c r="DM249" s="8">
        <v>0.96793296089385483</v>
      </c>
      <c r="DN249" s="10">
        <v>171.07999999999998</v>
      </c>
      <c r="DO249" s="10">
        <v>166.38</v>
      </c>
      <c r="DP249" s="10">
        <v>175.77999999999997</v>
      </c>
      <c r="DQ249" s="1">
        <v>0.1609473929236499</v>
      </c>
      <c r="DR249" s="1">
        <v>2.7777777777777778E-4</v>
      </c>
      <c r="DS249" s="53">
        <v>0.25</v>
      </c>
      <c r="DT249" s="1">
        <v>8.8466014897579132E-2</v>
      </c>
      <c r="DU249" s="1">
        <v>8.3333333333333332E-3</v>
      </c>
      <c r="DV249" s="53">
        <v>0.25</v>
      </c>
      <c r="DW249" s="1">
        <v>3.5865921787709496</v>
      </c>
      <c r="DX249" s="1">
        <v>1.6</v>
      </c>
      <c r="DY249" s="53">
        <v>7.2</v>
      </c>
      <c r="DZ249" s="1">
        <v>4</v>
      </c>
      <c r="EA249" s="1">
        <v>3.2</v>
      </c>
      <c r="EB249" s="53">
        <v>4.8</v>
      </c>
      <c r="EC249" s="1">
        <v>7.5865921787709496</v>
      </c>
      <c r="ED249" s="1">
        <v>4.3774647887323948</v>
      </c>
      <c r="EE249" s="53">
        <v>4.4037037037037035</v>
      </c>
      <c r="EF249" s="1">
        <v>4.3932960893854744</v>
      </c>
      <c r="EG249" s="1">
        <v>3.1999999999999997</v>
      </c>
      <c r="EH249" s="53">
        <v>6.8000000000000007</v>
      </c>
      <c r="EJ249" s="1" t="s">
        <v>641</v>
      </c>
      <c r="EL249" s="1">
        <v>50</v>
      </c>
      <c r="EM249" s="1">
        <v>20</v>
      </c>
      <c r="EN249" s="1">
        <v>80</v>
      </c>
      <c r="EO249" s="1">
        <v>0</v>
      </c>
      <c r="EP249" s="1">
        <v>0</v>
      </c>
      <c r="EQ249" s="1">
        <v>0</v>
      </c>
      <c r="ER249" s="1">
        <v>50</v>
      </c>
      <c r="ES249" s="1">
        <v>20</v>
      </c>
      <c r="ET249" s="1">
        <v>80</v>
      </c>
      <c r="EU249" s="1">
        <v>0</v>
      </c>
      <c r="EV249" s="18">
        <v>0</v>
      </c>
      <c r="EW249" s="18">
        <v>0</v>
      </c>
      <c r="EX249" s="18">
        <v>178.08823529411762</v>
      </c>
      <c r="EY249" s="7">
        <v>101.76470588235293</v>
      </c>
      <c r="EZ249" s="7">
        <v>254.41176470588235</v>
      </c>
      <c r="FA249" s="7">
        <v>2000.6941176470586</v>
      </c>
      <c r="FB249" s="7">
        <v>1359.0676470588235</v>
      </c>
      <c r="FC249" s="7">
        <v>2642.3205882352941</v>
      </c>
      <c r="FD249" s="7">
        <v>0</v>
      </c>
      <c r="FE249" s="7">
        <v>0</v>
      </c>
      <c r="FF249" s="7">
        <v>30.52941176470588</v>
      </c>
      <c r="FG249" s="7">
        <v>58.514705882352935</v>
      </c>
      <c r="FH249" s="7">
        <v>17.808823529411764</v>
      </c>
      <c r="FI249" s="7">
        <v>99.220588235294116</v>
      </c>
      <c r="FJ249" s="7">
        <v>2.0352941176470587</v>
      </c>
      <c r="FK249" s="7">
        <v>0</v>
      </c>
      <c r="FL249" s="7">
        <v>4.0705882352941174</v>
      </c>
      <c r="FO249" s="1">
        <v>220</v>
      </c>
      <c r="FP249" s="1">
        <v>220</v>
      </c>
      <c r="FR249" s="12" t="s">
        <v>638</v>
      </c>
      <c r="FS249" s="1" t="s">
        <v>638</v>
      </c>
      <c r="FT249" s="12">
        <v>182</v>
      </c>
      <c r="FU249" s="12"/>
      <c r="FV249" s="12">
        <v>182</v>
      </c>
      <c r="FW249" s="12">
        <v>182</v>
      </c>
      <c r="FX249" s="1">
        <v>182</v>
      </c>
      <c r="FY249" s="12" t="s">
        <v>637</v>
      </c>
      <c r="FZ249" s="12" t="s">
        <v>636</v>
      </c>
      <c r="GA249" s="1">
        <v>202</v>
      </c>
      <c r="GB249" s="1">
        <v>202</v>
      </c>
      <c r="GD249" s="1" t="s">
        <v>640</v>
      </c>
      <c r="GE249" s="1">
        <v>211</v>
      </c>
      <c r="GF249" s="1">
        <v>214</v>
      </c>
      <c r="GG249" s="1">
        <v>220</v>
      </c>
      <c r="GH249" s="1">
        <v>214</v>
      </c>
      <c r="GK249" s="1" t="s">
        <v>639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200-000001000000}">
          <x14:formula1>
            <xm:f>Dropdown!$C$2:$C$4</xm:f>
          </x14:formula1>
          <xm:sqref>E2:E249</xm:sqref>
        </x14:dataValidation>
        <x14:dataValidation type="list" allowBlank="1" showInputMessage="1" showErrorMessage="1" xr:uid="{00000000-0002-0000-1200-000000000000}">
          <x14:formula1>
            <xm:f>Dropdown!$A$2:$A$92</xm:f>
          </x14:formula1>
          <xm:sqref>B154:B161 A2:A249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30"/>
  <dimension ref="A1:BR55"/>
  <sheetViews>
    <sheetView zoomScale="85" zoomScaleNormal="85" workbookViewId="0">
      <pane xSplit="3" ySplit="1" topLeftCell="D19" activePane="bottomRight" state="frozen"/>
      <selection pane="topRight" activeCell="D1" sqref="D1"/>
      <selection pane="bottomLeft" activeCell="A2" sqref="A2"/>
      <selection pane="bottomRight" sqref="A1:XFD55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9.28515625" style="1" customWidth="1"/>
    <col min="12" max="14" width="24.5703125" style="1" customWidth="1"/>
    <col min="15" max="15" width="24.42578125" style="1" bestFit="1" customWidth="1"/>
    <col min="16" max="20" width="24.42578125" style="1" customWidth="1"/>
    <col min="21" max="21" width="37.7109375" style="1" bestFit="1" customWidth="1"/>
    <col min="22" max="23" width="24.7109375" style="1" customWidth="1"/>
    <col min="24" max="24" width="28.42578125" style="1" customWidth="1"/>
    <col min="25" max="25" width="27.42578125" style="1" bestFit="1" customWidth="1"/>
    <col min="26" max="27" width="27.42578125" style="1" customWidth="1"/>
    <col min="28" max="28" width="20.7109375" style="1" bestFit="1" customWidth="1"/>
    <col min="29" max="33" width="20.7109375" style="1" customWidth="1"/>
    <col min="34" max="34" width="25.85546875" style="1" bestFit="1" customWidth="1"/>
    <col min="35" max="35" width="29.7109375" style="1" bestFit="1" customWidth="1"/>
    <col min="36" max="36" width="24" style="1" bestFit="1" customWidth="1"/>
    <col min="37" max="37" width="38.28515625" style="1" bestFit="1" customWidth="1"/>
    <col min="38" max="40" width="38.28515625" style="1" customWidth="1"/>
    <col min="41" max="41" width="38.28515625" style="1" bestFit="1" customWidth="1"/>
    <col min="42" max="43" width="38.28515625" style="1" customWidth="1"/>
    <col min="44" max="44" width="33.42578125" style="1" bestFit="1" customWidth="1"/>
    <col min="45" max="45" width="33.42578125" style="1" customWidth="1"/>
    <col min="46" max="46" width="25.7109375" style="1" bestFit="1" customWidth="1"/>
    <col min="47" max="47" width="25.7109375" style="1" customWidth="1"/>
    <col min="48" max="48" width="56.7109375" style="1" bestFit="1" customWidth="1"/>
    <col min="49" max="50" width="35.5703125" style="1" customWidth="1"/>
    <col min="51" max="51" width="31.7109375" style="1" bestFit="1" customWidth="1"/>
    <col min="52" max="52" width="31.5703125" style="1" bestFit="1" customWidth="1"/>
    <col min="53" max="57" width="31.5703125" style="1" customWidth="1"/>
    <col min="58" max="58" width="37.42578125" style="1" bestFit="1" customWidth="1"/>
    <col min="59" max="59" width="35.7109375" style="1" bestFit="1" customWidth="1"/>
    <col min="60" max="60" width="28.85546875" style="1" bestFit="1" customWidth="1"/>
    <col min="61" max="61" width="34" style="1" bestFit="1" customWidth="1"/>
    <col min="62" max="62" width="37.85546875" style="1" bestFit="1" customWidth="1"/>
    <col min="63" max="63" width="34.42578125" style="1" bestFit="1" customWidth="1"/>
    <col min="64" max="64" width="38.140625" style="1" bestFit="1" customWidth="1"/>
    <col min="65" max="65" width="22.85546875" style="1" bestFit="1" customWidth="1"/>
    <col min="66" max="66" width="28.5703125" style="1" bestFit="1" customWidth="1"/>
    <col min="67" max="67" width="28.28515625" style="1" bestFit="1" customWidth="1"/>
    <col min="68" max="68" width="28.28515625" style="1" customWidth="1"/>
    <col min="69" max="69" width="31" style="1" bestFit="1" customWidth="1"/>
    <col min="70" max="70" width="28.85546875" style="1" bestFit="1" customWidth="1"/>
    <col min="71" max="16384" width="11.42578125" style="1"/>
  </cols>
  <sheetData>
    <row r="1" spans="1:70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49</v>
      </c>
      <c r="G1" s="2" t="s">
        <v>149</v>
      </c>
      <c r="H1" s="2" t="s">
        <v>288</v>
      </c>
      <c r="I1" s="2" t="s">
        <v>289</v>
      </c>
      <c r="J1" s="2" t="s">
        <v>290</v>
      </c>
      <c r="K1" s="2" t="s">
        <v>291</v>
      </c>
      <c r="L1" s="2" t="s">
        <v>97</v>
      </c>
      <c r="M1" s="2" t="s">
        <v>154</v>
      </c>
      <c r="N1" s="2" t="s">
        <v>156</v>
      </c>
      <c r="O1" s="2" t="s">
        <v>155</v>
      </c>
      <c r="P1" s="2" t="s">
        <v>56</v>
      </c>
      <c r="Q1" s="2" t="s">
        <v>55</v>
      </c>
      <c r="R1" s="2" t="s">
        <v>87</v>
      </c>
      <c r="S1" s="2" t="s">
        <v>330</v>
      </c>
      <c r="T1" s="2" t="s">
        <v>235</v>
      </c>
      <c r="U1" s="2" t="s">
        <v>116</v>
      </c>
      <c r="V1" s="2" t="s">
        <v>57</v>
      </c>
      <c r="W1" s="2" t="s">
        <v>123</v>
      </c>
      <c r="X1" s="2" t="s">
        <v>58</v>
      </c>
      <c r="Y1" s="2" t="s">
        <v>9</v>
      </c>
      <c r="Z1" s="2" t="s">
        <v>226</v>
      </c>
      <c r="AA1" s="2" t="s">
        <v>225</v>
      </c>
      <c r="AB1" s="2" t="s">
        <v>157</v>
      </c>
      <c r="AC1" s="2" t="s">
        <v>227</v>
      </c>
      <c r="AD1" s="2" t="s">
        <v>228</v>
      </c>
      <c r="AE1" s="2" t="s">
        <v>158</v>
      </c>
      <c r="AF1" s="2" t="s">
        <v>214</v>
      </c>
      <c r="AG1" s="2" t="s">
        <v>215</v>
      </c>
      <c r="AH1" s="2" t="s">
        <v>3</v>
      </c>
      <c r="AI1" s="2" t="s">
        <v>10</v>
      </c>
      <c r="AJ1" s="2" t="s">
        <v>16</v>
      </c>
      <c r="AK1" s="2" t="s">
        <v>4</v>
      </c>
      <c r="AL1" s="2" t="s">
        <v>99</v>
      </c>
      <c r="AM1" s="2" t="s">
        <v>183</v>
      </c>
      <c r="AN1" s="2" t="s">
        <v>182</v>
      </c>
      <c r="AO1" s="2" t="s">
        <v>12</v>
      </c>
      <c r="AP1" s="2" t="s">
        <v>231</v>
      </c>
      <c r="AQ1" s="2" t="s">
        <v>232</v>
      </c>
      <c r="AR1" s="2" t="s">
        <v>230</v>
      </c>
      <c r="AS1" s="2" t="s">
        <v>332</v>
      </c>
      <c r="AT1" s="2" t="s">
        <v>333</v>
      </c>
      <c r="AU1" s="2" t="s">
        <v>147</v>
      </c>
      <c r="AV1" s="2" t="s">
        <v>22</v>
      </c>
      <c r="AW1" s="2" t="s">
        <v>162</v>
      </c>
      <c r="AX1" s="2" t="s">
        <v>163</v>
      </c>
      <c r="AY1" s="2" t="s">
        <v>1</v>
      </c>
      <c r="AZ1" s="2" t="s">
        <v>2</v>
      </c>
      <c r="BA1" s="2" t="s">
        <v>59</v>
      </c>
      <c r="BB1" s="2" t="s">
        <v>107</v>
      </c>
      <c r="BC1" s="2" t="s">
        <v>236</v>
      </c>
      <c r="BD1" s="2" t="s">
        <v>117</v>
      </c>
      <c r="BE1" s="2" t="s">
        <v>60</v>
      </c>
      <c r="BF1" s="2" t="s">
        <v>61</v>
      </c>
      <c r="BG1" s="2" t="s">
        <v>98</v>
      </c>
      <c r="BH1" s="2" t="s">
        <v>5</v>
      </c>
      <c r="BI1" s="2" t="s">
        <v>6</v>
      </c>
      <c r="BJ1" s="2" t="s">
        <v>17</v>
      </c>
      <c r="BK1" s="2" t="s">
        <v>18</v>
      </c>
      <c r="BL1" s="2" t="s">
        <v>7</v>
      </c>
      <c r="BM1" s="2" t="s">
        <v>19</v>
      </c>
      <c r="BN1" s="2" t="s">
        <v>20</v>
      </c>
      <c r="BO1" s="2" t="s">
        <v>21</v>
      </c>
      <c r="BP1" s="2" t="s">
        <v>148</v>
      </c>
      <c r="BQ1" s="2" t="s">
        <v>23</v>
      </c>
      <c r="BR1" s="2" t="s">
        <v>51</v>
      </c>
    </row>
    <row r="2" spans="1:70" x14ac:dyDescent="0.2">
      <c r="A2" s="1" t="s">
        <v>365</v>
      </c>
      <c r="B2" s="32" t="s">
        <v>142</v>
      </c>
      <c r="C2" s="32">
        <v>2010</v>
      </c>
      <c r="D2" s="32"/>
      <c r="E2" s="32"/>
      <c r="F2" s="33"/>
      <c r="G2" s="33"/>
      <c r="H2" s="33">
        <v>2600</v>
      </c>
      <c r="I2" s="33">
        <v>0</v>
      </c>
      <c r="J2" s="33">
        <v>2600</v>
      </c>
      <c r="K2" s="33">
        <v>0</v>
      </c>
      <c r="L2" s="33"/>
      <c r="M2" s="33"/>
      <c r="N2" s="33"/>
      <c r="O2" s="33"/>
      <c r="P2" s="33"/>
      <c r="Q2" s="34"/>
      <c r="R2" s="35"/>
      <c r="S2" s="35"/>
      <c r="T2" s="35"/>
      <c r="U2" s="34"/>
      <c r="V2" s="33"/>
      <c r="W2" s="35"/>
      <c r="X2" s="33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3"/>
      <c r="AN2" s="33"/>
      <c r="AO2" s="33"/>
      <c r="AP2" s="36"/>
      <c r="AQ2" s="36"/>
      <c r="AR2" s="36"/>
      <c r="AS2" s="36"/>
      <c r="AT2" s="36"/>
      <c r="AU2" s="32"/>
      <c r="AV2" s="32"/>
      <c r="AW2" s="32"/>
      <c r="AX2" s="32"/>
      <c r="AY2" s="37">
        <v>34</v>
      </c>
      <c r="AZ2" s="32"/>
      <c r="BA2" s="37"/>
      <c r="BB2" s="37"/>
      <c r="BC2" s="37"/>
      <c r="BD2" s="37"/>
      <c r="BE2" s="32"/>
      <c r="BF2" s="37"/>
      <c r="BG2" s="37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</row>
    <row r="3" spans="1:70" x14ac:dyDescent="0.2">
      <c r="A3" s="1" t="s">
        <v>365</v>
      </c>
      <c r="B3" s="32" t="s">
        <v>142</v>
      </c>
      <c r="C3" s="32">
        <v>2020</v>
      </c>
      <c r="D3" s="32"/>
      <c r="E3" s="32"/>
      <c r="F3" s="33"/>
      <c r="G3" s="33"/>
      <c r="H3" s="33">
        <v>7800</v>
      </c>
      <c r="I3" s="33">
        <v>0</v>
      </c>
      <c r="J3" s="33">
        <v>7800</v>
      </c>
      <c r="K3" s="33">
        <v>0</v>
      </c>
      <c r="L3" s="33"/>
      <c r="M3" s="33"/>
      <c r="N3" s="33"/>
      <c r="O3" s="33"/>
      <c r="P3" s="33"/>
      <c r="Q3" s="34"/>
      <c r="R3" s="35"/>
      <c r="S3" s="35"/>
      <c r="T3" s="35"/>
      <c r="U3" s="34"/>
      <c r="V3" s="33"/>
      <c r="W3" s="35"/>
      <c r="X3" s="33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3"/>
      <c r="AN3" s="33"/>
      <c r="AO3" s="33"/>
      <c r="AP3" s="36"/>
      <c r="AQ3" s="36"/>
      <c r="AR3" s="36"/>
      <c r="AS3" s="36"/>
      <c r="AT3" s="36"/>
      <c r="AU3" s="32"/>
      <c r="AV3" s="32"/>
      <c r="AW3" s="32"/>
      <c r="AX3" s="32"/>
      <c r="AY3" s="37">
        <v>34</v>
      </c>
      <c r="AZ3" s="32"/>
      <c r="BA3" s="37"/>
      <c r="BB3" s="37"/>
      <c r="BC3" s="37"/>
      <c r="BD3" s="37"/>
      <c r="BE3" s="32"/>
      <c r="BF3" s="37"/>
      <c r="BG3" s="37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</row>
    <row r="4" spans="1:70" x14ac:dyDescent="0.2">
      <c r="A4" s="1" t="s">
        <v>365</v>
      </c>
      <c r="B4" s="32" t="s">
        <v>142</v>
      </c>
      <c r="C4" s="32">
        <v>2030</v>
      </c>
      <c r="D4" s="32"/>
      <c r="E4" s="32"/>
      <c r="F4" s="33"/>
      <c r="G4" s="33"/>
      <c r="H4" s="33">
        <v>11300</v>
      </c>
      <c r="I4" s="33">
        <v>0</v>
      </c>
      <c r="J4" s="33">
        <v>11300</v>
      </c>
      <c r="K4" s="33">
        <v>0</v>
      </c>
      <c r="L4" s="33"/>
      <c r="M4" s="33"/>
      <c r="N4" s="33"/>
      <c r="O4" s="33"/>
      <c r="P4" s="33"/>
      <c r="Q4" s="34"/>
      <c r="R4" s="35"/>
      <c r="S4" s="35"/>
      <c r="T4" s="35"/>
      <c r="U4" s="34"/>
      <c r="V4" s="33"/>
      <c r="W4" s="35"/>
      <c r="X4" s="33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3"/>
      <c r="AN4" s="33"/>
      <c r="AO4" s="33"/>
      <c r="AP4" s="36"/>
      <c r="AQ4" s="36"/>
      <c r="AR4" s="36"/>
      <c r="AS4" s="36"/>
      <c r="AT4" s="36"/>
      <c r="AU4" s="32"/>
      <c r="AV4" s="32"/>
      <c r="AW4" s="32"/>
      <c r="AX4" s="32"/>
      <c r="AY4" s="37">
        <v>34</v>
      </c>
      <c r="AZ4" s="32"/>
      <c r="BA4" s="37"/>
      <c r="BB4" s="37"/>
      <c r="BC4" s="37"/>
      <c r="BD4" s="37"/>
      <c r="BE4" s="32"/>
      <c r="BF4" s="37"/>
      <c r="BG4" s="37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70" x14ac:dyDescent="0.2">
      <c r="A5" s="1" t="s">
        <v>135</v>
      </c>
      <c r="B5" s="32" t="s">
        <v>142</v>
      </c>
      <c r="C5" s="32">
        <v>2010</v>
      </c>
      <c r="D5" s="32"/>
      <c r="E5" s="32"/>
      <c r="F5" s="33"/>
      <c r="G5" s="33"/>
      <c r="H5" s="33">
        <v>800</v>
      </c>
      <c r="I5" s="33">
        <v>800</v>
      </c>
      <c r="J5" s="33">
        <v>800</v>
      </c>
      <c r="K5" s="33">
        <v>800</v>
      </c>
      <c r="L5" s="33"/>
      <c r="M5" s="33"/>
      <c r="N5" s="33"/>
      <c r="O5" s="33"/>
      <c r="P5" s="33"/>
      <c r="Q5" s="34"/>
      <c r="R5" s="35"/>
      <c r="S5" s="35"/>
      <c r="T5" s="35"/>
      <c r="U5" s="34"/>
      <c r="V5" s="33"/>
      <c r="W5" s="35"/>
      <c r="X5" s="33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3"/>
      <c r="AN5" s="33"/>
      <c r="AO5" s="33"/>
      <c r="AP5" s="36"/>
      <c r="AQ5" s="36"/>
      <c r="AR5" s="36"/>
      <c r="AS5" s="36"/>
      <c r="AT5" s="36"/>
      <c r="AU5" s="32"/>
      <c r="AV5" s="32"/>
      <c r="AW5" s="32"/>
      <c r="AX5" s="32"/>
      <c r="AY5" s="37">
        <v>34</v>
      </c>
      <c r="AZ5" s="32"/>
      <c r="BA5" s="37"/>
      <c r="BB5" s="37"/>
      <c r="BC5" s="37"/>
      <c r="BD5" s="37"/>
      <c r="BE5" s="32"/>
      <c r="BF5" s="37"/>
      <c r="BG5" s="37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spans="1:70" x14ac:dyDescent="0.2">
      <c r="A6" s="1" t="s">
        <v>135</v>
      </c>
      <c r="B6" s="32" t="s">
        <v>142</v>
      </c>
      <c r="C6" s="32">
        <v>2020</v>
      </c>
      <c r="D6" s="32"/>
      <c r="E6" s="32"/>
      <c r="F6" s="33"/>
      <c r="G6" s="33"/>
      <c r="H6" s="33">
        <v>900</v>
      </c>
      <c r="I6" s="33">
        <v>900</v>
      </c>
      <c r="J6" s="33">
        <v>900</v>
      </c>
      <c r="K6" s="33">
        <v>900</v>
      </c>
      <c r="L6" s="33"/>
      <c r="M6" s="33"/>
      <c r="N6" s="33"/>
      <c r="O6" s="33"/>
      <c r="P6" s="33"/>
      <c r="Q6" s="34"/>
      <c r="R6" s="35"/>
      <c r="S6" s="35"/>
      <c r="T6" s="35"/>
      <c r="U6" s="34"/>
      <c r="V6" s="33"/>
      <c r="W6" s="35"/>
      <c r="X6" s="33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3"/>
      <c r="AN6" s="33"/>
      <c r="AO6" s="33"/>
      <c r="AP6" s="36"/>
      <c r="AQ6" s="36"/>
      <c r="AR6" s="36"/>
      <c r="AS6" s="36"/>
      <c r="AT6" s="36"/>
      <c r="AU6" s="32"/>
      <c r="AV6" s="32"/>
      <c r="AW6" s="32"/>
      <c r="AX6" s="32"/>
      <c r="AY6" s="37">
        <v>34</v>
      </c>
      <c r="AZ6" s="32"/>
      <c r="BA6" s="37"/>
      <c r="BB6" s="37"/>
      <c r="BC6" s="37"/>
      <c r="BD6" s="37"/>
      <c r="BE6" s="32"/>
      <c r="BF6" s="37"/>
      <c r="BG6" s="37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spans="1:70" x14ac:dyDescent="0.2">
      <c r="A7" s="1" t="s">
        <v>135</v>
      </c>
      <c r="B7" s="32" t="s">
        <v>142</v>
      </c>
      <c r="C7" s="32">
        <v>2030</v>
      </c>
      <c r="D7" s="32"/>
      <c r="E7" s="32"/>
      <c r="F7" s="33"/>
      <c r="G7" s="33"/>
      <c r="H7" s="18">
        <v>1000</v>
      </c>
      <c r="I7" s="18">
        <v>1000</v>
      </c>
      <c r="J7" s="18">
        <v>1000</v>
      </c>
      <c r="K7" s="18">
        <v>1000</v>
      </c>
      <c r="L7" s="33"/>
      <c r="M7" s="33"/>
      <c r="N7" s="33"/>
      <c r="O7" s="33"/>
      <c r="P7" s="33"/>
      <c r="Q7" s="34"/>
      <c r="R7" s="35"/>
      <c r="S7" s="35"/>
      <c r="T7" s="35"/>
      <c r="U7" s="34"/>
      <c r="V7" s="33"/>
      <c r="W7" s="35"/>
      <c r="X7" s="33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3"/>
      <c r="AN7" s="33"/>
      <c r="AO7" s="33"/>
      <c r="AP7" s="36"/>
      <c r="AQ7" s="36"/>
      <c r="AR7" s="36"/>
      <c r="AS7" s="36"/>
      <c r="AT7" s="36"/>
      <c r="AU7" s="32"/>
      <c r="AV7" s="32"/>
      <c r="AW7" s="32"/>
      <c r="AX7" s="32"/>
      <c r="AY7" s="37">
        <v>34</v>
      </c>
      <c r="AZ7" s="32"/>
      <c r="BA7" s="37"/>
      <c r="BB7" s="37"/>
      <c r="BC7" s="37"/>
      <c r="BD7" s="37"/>
      <c r="BE7" s="32"/>
      <c r="BF7" s="37"/>
      <c r="BG7" s="37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spans="1:70" x14ac:dyDescent="0.2">
      <c r="A8" s="1" t="s">
        <v>286</v>
      </c>
      <c r="B8" s="1" t="s">
        <v>142</v>
      </c>
      <c r="C8" s="32">
        <v>2010</v>
      </c>
      <c r="F8" s="18"/>
      <c r="G8" s="18"/>
      <c r="H8" s="18">
        <v>1100</v>
      </c>
      <c r="I8" s="18">
        <v>1100</v>
      </c>
      <c r="J8" s="18">
        <v>1100</v>
      </c>
      <c r="K8" s="18">
        <v>1100</v>
      </c>
      <c r="L8" s="18"/>
      <c r="M8" s="18"/>
      <c r="N8" s="18"/>
      <c r="O8" s="18"/>
      <c r="P8" s="18"/>
      <c r="Q8" s="19"/>
      <c r="R8" s="8"/>
      <c r="S8" s="8"/>
      <c r="T8" s="8"/>
      <c r="U8" s="19"/>
      <c r="V8" s="18"/>
      <c r="W8" s="8"/>
      <c r="X8" s="18"/>
      <c r="AH8" s="1">
        <v>0.25</v>
      </c>
      <c r="AM8" s="18"/>
      <c r="AN8" s="18"/>
      <c r="AO8" s="18"/>
      <c r="AP8" s="7"/>
      <c r="AQ8" s="7"/>
      <c r="AR8" s="7"/>
      <c r="AS8" s="7"/>
      <c r="AT8" s="7"/>
      <c r="AY8" s="37">
        <v>34</v>
      </c>
      <c r="BA8" s="12"/>
      <c r="BB8" s="12"/>
      <c r="BC8" s="12"/>
      <c r="BD8" s="12"/>
      <c r="BF8" s="12"/>
      <c r="BG8" s="12"/>
    </row>
    <row r="9" spans="1:70" x14ac:dyDescent="0.2">
      <c r="A9" s="1" t="s">
        <v>286</v>
      </c>
      <c r="B9" s="1" t="s">
        <v>142</v>
      </c>
      <c r="C9" s="32">
        <v>2020</v>
      </c>
      <c r="F9" s="18"/>
      <c r="G9" s="18"/>
      <c r="H9" s="18">
        <v>900</v>
      </c>
      <c r="I9" s="18">
        <v>900</v>
      </c>
      <c r="J9" s="18">
        <v>900</v>
      </c>
      <c r="K9" s="18">
        <v>900</v>
      </c>
      <c r="L9" s="18"/>
      <c r="M9" s="18"/>
      <c r="N9" s="18"/>
      <c r="O9" s="18"/>
      <c r="P9" s="18"/>
      <c r="Q9" s="19"/>
      <c r="R9" s="8"/>
      <c r="S9" s="8"/>
      <c r="T9" s="8"/>
      <c r="U9" s="19"/>
      <c r="V9" s="18"/>
      <c r="W9" s="8"/>
      <c r="X9" s="18"/>
      <c r="AM9" s="18"/>
      <c r="AN9" s="18"/>
      <c r="AO9" s="18"/>
      <c r="AP9" s="7"/>
      <c r="AQ9" s="7"/>
      <c r="AR9" s="7"/>
      <c r="AS9" s="7"/>
      <c r="AT9" s="7"/>
      <c r="AY9" s="37">
        <v>34</v>
      </c>
      <c r="BA9" s="12"/>
      <c r="BB9" s="12"/>
      <c r="BC9" s="12"/>
      <c r="BD9" s="12"/>
      <c r="BF9" s="12"/>
      <c r="BG9" s="12"/>
    </row>
    <row r="10" spans="1:70" x14ac:dyDescent="0.2">
      <c r="A10" s="1" t="s">
        <v>286</v>
      </c>
      <c r="B10" s="1" t="s">
        <v>142</v>
      </c>
      <c r="C10" s="32">
        <v>2030</v>
      </c>
      <c r="F10" s="18"/>
      <c r="G10" s="18"/>
      <c r="H10" s="18">
        <v>900</v>
      </c>
      <c r="I10" s="18">
        <v>900</v>
      </c>
      <c r="J10" s="18">
        <v>900</v>
      </c>
      <c r="K10" s="18">
        <v>900</v>
      </c>
      <c r="L10" s="18"/>
      <c r="M10" s="18"/>
      <c r="N10" s="18"/>
      <c r="O10" s="18"/>
      <c r="P10" s="18"/>
      <c r="Q10" s="19"/>
      <c r="R10" s="8"/>
      <c r="S10" s="8"/>
      <c r="T10" s="8"/>
      <c r="U10" s="19"/>
      <c r="V10" s="18"/>
      <c r="W10" s="8"/>
      <c r="X10" s="18"/>
      <c r="AM10" s="18"/>
      <c r="AN10" s="18"/>
      <c r="AO10" s="18"/>
      <c r="AP10" s="7"/>
      <c r="AQ10" s="7"/>
      <c r="AR10" s="7"/>
      <c r="AS10" s="7"/>
      <c r="AT10" s="7"/>
      <c r="AY10" s="37">
        <v>34</v>
      </c>
      <c r="BA10" s="12"/>
      <c r="BB10" s="12"/>
      <c r="BC10" s="12"/>
      <c r="BD10" s="12"/>
      <c r="BF10" s="12"/>
      <c r="BG10" s="12"/>
    </row>
    <row r="11" spans="1:70" x14ac:dyDescent="0.2">
      <c r="A11" s="1" t="s">
        <v>133</v>
      </c>
      <c r="B11" s="1" t="s">
        <v>142</v>
      </c>
      <c r="C11" s="32">
        <v>2010</v>
      </c>
      <c r="F11" s="18"/>
      <c r="G11" s="18"/>
      <c r="H11" s="18">
        <v>1500</v>
      </c>
      <c r="I11" s="18">
        <v>1500</v>
      </c>
      <c r="J11" s="18">
        <v>1500</v>
      </c>
      <c r="K11" s="18">
        <v>1500</v>
      </c>
      <c r="L11" s="18"/>
      <c r="M11" s="18"/>
      <c r="N11" s="18"/>
      <c r="O11" s="18"/>
      <c r="P11" s="18"/>
      <c r="Q11" s="19"/>
      <c r="R11" s="8"/>
      <c r="S11" s="8"/>
      <c r="T11" s="8"/>
      <c r="U11" s="19"/>
      <c r="V11" s="18"/>
      <c r="W11" s="8"/>
      <c r="X11" s="18"/>
      <c r="AM11" s="18"/>
      <c r="AN11" s="18"/>
      <c r="AO11" s="18"/>
      <c r="AP11" s="7"/>
      <c r="AQ11" s="7"/>
      <c r="AR11" s="7"/>
      <c r="AS11" s="7"/>
      <c r="AT11" s="7"/>
      <c r="AY11" s="37">
        <v>34</v>
      </c>
      <c r="BA11" s="12"/>
      <c r="BB11" s="12"/>
      <c r="BC11" s="12"/>
      <c r="BD11" s="12"/>
      <c r="BF11" s="12"/>
      <c r="BG11" s="12"/>
    </row>
    <row r="12" spans="1:70" x14ac:dyDescent="0.2">
      <c r="A12" s="1" t="s">
        <v>133</v>
      </c>
      <c r="B12" s="1" t="s">
        <v>142</v>
      </c>
      <c r="C12" s="32">
        <v>2020</v>
      </c>
      <c r="F12" s="18"/>
      <c r="G12" s="18"/>
      <c r="H12" s="18">
        <v>1600</v>
      </c>
      <c r="I12" s="18">
        <v>1600</v>
      </c>
      <c r="J12" s="18">
        <v>1600</v>
      </c>
      <c r="K12" s="18">
        <v>1600</v>
      </c>
      <c r="L12" s="18"/>
      <c r="M12" s="18"/>
      <c r="N12" s="18"/>
      <c r="O12" s="18"/>
      <c r="P12" s="18"/>
      <c r="Q12" s="19"/>
      <c r="R12" s="8"/>
      <c r="S12" s="8"/>
      <c r="T12" s="8"/>
      <c r="U12" s="19"/>
      <c r="V12" s="18"/>
      <c r="W12" s="8"/>
      <c r="X12" s="18"/>
      <c r="AM12" s="18"/>
      <c r="AN12" s="18"/>
      <c r="AO12" s="18"/>
      <c r="AP12" s="7"/>
      <c r="AQ12" s="7"/>
      <c r="AR12" s="7"/>
      <c r="AS12" s="7"/>
      <c r="AT12" s="7"/>
      <c r="AY12" s="37">
        <v>34</v>
      </c>
      <c r="BA12" s="12"/>
      <c r="BB12" s="12"/>
      <c r="BC12" s="12"/>
      <c r="BD12" s="12"/>
      <c r="BF12" s="12"/>
      <c r="BG12" s="12"/>
    </row>
    <row r="13" spans="1:70" x14ac:dyDescent="0.2">
      <c r="A13" s="1" t="s">
        <v>133</v>
      </c>
      <c r="B13" s="1" t="s">
        <v>142</v>
      </c>
      <c r="C13" s="32">
        <v>2030</v>
      </c>
      <c r="F13" s="18"/>
      <c r="G13" s="18"/>
      <c r="H13" s="18">
        <v>1600</v>
      </c>
      <c r="I13" s="18">
        <v>1600</v>
      </c>
      <c r="J13" s="18">
        <v>1600</v>
      </c>
      <c r="K13" s="18">
        <v>1600</v>
      </c>
      <c r="L13" s="18"/>
      <c r="M13" s="18"/>
      <c r="N13" s="18"/>
      <c r="O13" s="18"/>
      <c r="P13" s="18"/>
      <c r="Q13" s="19"/>
      <c r="R13" s="8"/>
      <c r="S13" s="8"/>
      <c r="T13" s="8"/>
      <c r="U13" s="19"/>
      <c r="V13" s="18"/>
      <c r="W13" s="8"/>
      <c r="X13" s="18"/>
      <c r="AM13" s="18"/>
      <c r="AN13" s="18"/>
      <c r="AO13" s="18"/>
      <c r="AP13" s="7"/>
      <c r="AQ13" s="7"/>
      <c r="AR13" s="7"/>
      <c r="AS13" s="7"/>
      <c r="AT13" s="7"/>
      <c r="AY13" s="37">
        <v>34</v>
      </c>
      <c r="BA13" s="12"/>
      <c r="BB13" s="12"/>
      <c r="BC13" s="12"/>
      <c r="BD13" s="12"/>
      <c r="BF13" s="12"/>
      <c r="BG13" s="12"/>
    </row>
    <row r="14" spans="1:70" x14ac:dyDescent="0.2">
      <c r="A14" s="1" t="s">
        <v>685</v>
      </c>
      <c r="B14" s="1" t="s">
        <v>142</v>
      </c>
      <c r="C14" s="32">
        <v>2010</v>
      </c>
      <c r="F14" s="18"/>
      <c r="G14" s="18"/>
      <c r="H14" s="18">
        <v>800</v>
      </c>
      <c r="I14" s="18">
        <v>800</v>
      </c>
      <c r="J14" s="18">
        <v>800</v>
      </c>
      <c r="K14" s="18">
        <v>800</v>
      </c>
      <c r="L14" s="18"/>
      <c r="M14" s="18"/>
      <c r="N14" s="18"/>
      <c r="O14" s="18"/>
      <c r="P14" s="18"/>
      <c r="Q14" s="19"/>
      <c r="R14" s="8"/>
      <c r="S14" s="8"/>
      <c r="T14" s="8"/>
      <c r="U14" s="19"/>
      <c r="V14" s="18"/>
      <c r="W14" s="8"/>
      <c r="X14" s="18"/>
      <c r="AM14" s="18"/>
      <c r="AN14" s="18"/>
      <c r="AO14" s="18"/>
      <c r="AP14" s="7"/>
      <c r="AQ14" s="7"/>
      <c r="AR14" s="7"/>
      <c r="AS14" s="7"/>
      <c r="AT14" s="7"/>
      <c r="AY14" s="37">
        <v>34</v>
      </c>
      <c r="BA14" s="12"/>
      <c r="BB14" s="12"/>
      <c r="BC14" s="12"/>
      <c r="BD14" s="12"/>
      <c r="BF14" s="12"/>
      <c r="BG14" s="12"/>
    </row>
    <row r="15" spans="1:70" x14ac:dyDescent="0.2">
      <c r="A15" s="1" t="s">
        <v>685</v>
      </c>
      <c r="B15" s="1" t="s">
        <v>142</v>
      </c>
      <c r="C15" s="32">
        <v>2020</v>
      </c>
      <c r="F15" s="18"/>
      <c r="G15" s="18"/>
      <c r="H15" s="18">
        <v>1000</v>
      </c>
      <c r="I15" s="18">
        <v>1000</v>
      </c>
      <c r="J15" s="18">
        <v>1000</v>
      </c>
      <c r="K15" s="18">
        <v>1000</v>
      </c>
      <c r="L15" s="18"/>
      <c r="M15" s="18"/>
      <c r="N15" s="18"/>
      <c r="O15" s="18"/>
      <c r="P15" s="18"/>
      <c r="Q15" s="19"/>
      <c r="R15" s="8"/>
      <c r="S15" s="8"/>
      <c r="T15" s="8"/>
      <c r="U15" s="19"/>
      <c r="V15" s="18"/>
      <c r="W15" s="8"/>
      <c r="X15" s="18"/>
      <c r="AM15" s="18"/>
      <c r="AN15" s="18"/>
      <c r="AO15" s="18"/>
      <c r="AP15" s="7"/>
      <c r="AQ15" s="7"/>
      <c r="AR15" s="7"/>
      <c r="AS15" s="7"/>
      <c r="AT15" s="7"/>
      <c r="AY15" s="37">
        <v>34</v>
      </c>
      <c r="BA15" s="12"/>
      <c r="BB15" s="12"/>
      <c r="BC15" s="12"/>
      <c r="BD15" s="12"/>
      <c r="BF15" s="12"/>
      <c r="BG15" s="12"/>
    </row>
    <row r="16" spans="1:70" x14ac:dyDescent="0.2">
      <c r="A16" s="1" t="s">
        <v>685</v>
      </c>
      <c r="B16" s="1" t="s">
        <v>142</v>
      </c>
      <c r="C16" s="32">
        <v>2030</v>
      </c>
      <c r="F16" s="18"/>
      <c r="G16" s="18"/>
      <c r="H16" s="18">
        <v>1000</v>
      </c>
      <c r="I16" s="18">
        <v>1000</v>
      </c>
      <c r="J16" s="18">
        <v>1000</v>
      </c>
      <c r="K16" s="18">
        <v>1000</v>
      </c>
      <c r="L16" s="18"/>
      <c r="M16" s="18"/>
      <c r="N16" s="18"/>
      <c r="O16" s="18"/>
      <c r="P16" s="18"/>
      <c r="Q16" s="19"/>
      <c r="R16" s="8"/>
      <c r="S16" s="8"/>
      <c r="T16" s="8"/>
      <c r="U16" s="19"/>
      <c r="V16" s="18"/>
      <c r="W16" s="8"/>
      <c r="X16" s="18"/>
      <c r="AM16" s="18"/>
      <c r="AN16" s="18"/>
      <c r="AO16" s="18"/>
      <c r="AP16" s="7"/>
      <c r="AQ16" s="7"/>
      <c r="AR16" s="7"/>
      <c r="AS16" s="7"/>
      <c r="AT16" s="7"/>
      <c r="AY16" s="37">
        <v>34</v>
      </c>
      <c r="BA16" s="12"/>
      <c r="BB16" s="12"/>
      <c r="BC16" s="12"/>
      <c r="BD16" s="12"/>
      <c r="BF16" s="12"/>
      <c r="BG16" s="12"/>
    </row>
    <row r="17" spans="1:70" x14ac:dyDescent="0.2">
      <c r="A17" s="1" t="s">
        <v>136</v>
      </c>
      <c r="B17" s="1" t="s">
        <v>142</v>
      </c>
      <c r="C17" s="32">
        <v>2010</v>
      </c>
      <c r="F17" s="18"/>
      <c r="G17" s="18"/>
      <c r="H17" s="18">
        <v>1400</v>
      </c>
      <c r="I17" s="18">
        <v>1400</v>
      </c>
      <c r="J17" s="18">
        <v>1400</v>
      </c>
      <c r="K17" s="18">
        <v>1400</v>
      </c>
      <c r="L17" s="18"/>
      <c r="M17" s="18"/>
      <c r="N17" s="18"/>
      <c r="O17" s="18"/>
      <c r="P17" s="18"/>
      <c r="Q17" s="19"/>
      <c r="R17" s="8"/>
      <c r="S17" s="8"/>
      <c r="T17" s="8"/>
      <c r="U17" s="19"/>
      <c r="V17" s="18"/>
      <c r="W17" s="8"/>
      <c r="X17" s="18"/>
      <c r="AM17" s="18"/>
      <c r="AN17" s="18"/>
      <c r="AO17" s="18"/>
      <c r="AP17" s="7"/>
      <c r="AQ17" s="7"/>
      <c r="AR17" s="7"/>
      <c r="AS17" s="7"/>
      <c r="AT17" s="7"/>
      <c r="AY17" s="37">
        <v>34</v>
      </c>
      <c r="BA17" s="12"/>
      <c r="BB17" s="12"/>
      <c r="BC17" s="12"/>
      <c r="BD17" s="12"/>
      <c r="BF17" s="12"/>
      <c r="BG17" s="12"/>
    </row>
    <row r="18" spans="1:70" x14ac:dyDescent="0.2">
      <c r="A18" s="1" t="s">
        <v>136</v>
      </c>
      <c r="B18" s="1" t="s">
        <v>142</v>
      </c>
      <c r="C18" s="32">
        <v>2020</v>
      </c>
      <c r="F18" s="18"/>
      <c r="G18" s="18"/>
      <c r="H18" s="18">
        <v>1300</v>
      </c>
      <c r="I18" s="18">
        <v>1300</v>
      </c>
      <c r="J18" s="18">
        <v>1300</v>
      </c>
      <c r="K18" s="18">
        <v>1300</v>
      </c>
      <c r="L18" s="18"/>
      <c r="M18" s="18"/>
      <c r="N18" s="18"/>
      <c r="O18" s="18"/>
      <c r="P18" s="18"/>
      <c r="Q18" s="19"/>
      <c r="R18" s="8"/>
      <c r="S18" s="8"/>
      <c r="T18" s="8"/>
      <c r="U18" s="19"/>
      <c r="V18" s="18"/>
      <c r="W18" s="8"/>
      <c r="X18" s="18"/>
      <c r="AM18" s="18"/>
      <c r="AN18" s="18"/>
      <c r="AO18" s="18"/>
      <c r="AP18" s="7"/>
      <c r="AQ18" s="7"/>
      <c r="AR18" s="7"/>
      <c r="AS18" s="7"/>
      <c r="AT18" s="7"/>
      <c r="AY18" s="37">
        <v>34</v>
      </c>
      <c r="BA18" s="12"/>
      <c r="BB18" s="12"/>
      <c r="BC18" s="12"/>
      <c r="BD18" s="12"/>
      <c r="BF18" s="12"/>
      <c r="BG18" s="12"/>
    </row>
    <row r="19" spans="1:70" x14ac:dyDescent="0.2">
      <c r="A19" s="1" t="s">
        <v>136</v>
      </c>
      <c r="B19" s="1" t="s">
        <v>142</v>
      </c>
      <c r="C19" s="32">
        <v>2030</v>
      </c>
      <c r="F19" s="18"/>
      <c r="G19" s="18"/>
      <c r="H19" s="18">
        <v>1200</v>
      </c>
      <c r="I19" s="18">
        <v>1200</v>
      </c>
      <c r="J19" s="18">
        <v>1200</v>
      </c>
      <c r="K19" s="18">
        <v>1200</v>
      </c>
      <c r="L19" s="18"/>
      <c r="M19" s="18"/>
      <c r="N19" s="18"/>
      <c r="O19" s="18"/>
      <c r="P19" s="18"/>
      <c r="Q19" s="19"/>
      <c r="R19" s="8"/>
      <c r="S19" s="8"/>
      <c r="T19" s="8"/>
      <c r="U19" s="19"/>
      <c r="V19" s="18"/>
      <c r="W19" s="8"/>
      <c r="X19" s="18"/>
      <c r="AM19" s="18"/>
      <c r="AN19" s="18"/>
      <c r="AO19" s="18"/>
      <c r="AP19" s="7"/>
      <c r="AQ19" s="7"/>
      <c r="AR19" s="7"/>
      <c r="AS19" s="7"/>
      <c r="AT19" s="7"/>
      <c r="AY19" s="37">
        <v>34</v>
      </c>
      <c r="BA19" s="12"/>
      <c r="BB19" s="12"/>
      <c r="BC19" s="12"/>
      <c r="BD19" s="12"/>
      <c r="BF19" s="12"/>
      <c r="BG19" s="12"/>
    </row>
    <row r="20" spans="1:70" x14ac:dyDescent="0.2">
      <c r="A20" s="1" t="s">
        <v>138</v>
      </c>
      <c r="B20" s="1" t="s">
        <v>142</v>
      </c>
      <c r="C20" s="32">
        <v>2010</v>
      </c>
      <c r="F20" s="18"/>
      <c r="G20" s="18"/>
      <c r="H20" s="18">
        <v>3000</v>
      </c>
      <c r="I20" s="18">
        <v>4500</v>
      </c>
      <c r="J20" s="18">
        <v>3000</v>
      </c>
      <c r="K20" s="18">
        <v>4500</v>
      </c>
      <c r="L20" s="18"/>
      <c r="M20" s="18"/>
      <c r="N20" s="18"/>
      <c r="O20" s="18"/>
      <c r="P20" s="18"/>
      <c r="Q20" s="19"/>
      <c r="R20" s="8"/>
      <c r="S20" s="8"/>
      <c r="T20" s="8"/>
      <c r="U20" s="19"/>
      <c r="V20" s="18"/>
      <c r="W20" s="8"/>
      <c r="X20" s="18"/>
      <c r="AM20" s="18"/>
      <c r="AN20" s="18"/>
      <c r="AO20" s="18"/>
      <c r="AP20" s="7"/>
      <c r="AQ20" s="7"/>
      <c r="AR20" s="7"/>
      <c r="AS20" s="7"/>
      <c r="AT20" s="7"/>
      <c r="AY20" s="37">
        <v>34</v>
      </c>
      <c r="BA20" s="12"/>
      <c r="BB20" s="12"/>
      <c r="BC20" s="12"/>
      <c r="BD20" s="12"/>
      <c r="BF20" s="12"/>
      <c r="BG20" s="12"/>
    </row>
    <row r="21" spans="1:70" x14ac:dyDescent="0.2">
      <c r="A21" s="1" t="s">
        <v>138</v>
      </c>
      <c r="B21" s="1" t="s">
        <v>142</v>
      </c>
      <c r="C21" s="32">
        <v>2020</v>
      </c>
      <c r="F21" s="18"/>
      <c r="G21" s="18"/>
      <c r="H21" s="18">
        <v>3000</v>
      </c>
      <c r="I21" s="18">
        <v>4500</v>
      </c>
      <c r="J21" s="18">
        <v>3000</v>
      </c>
      <c r="K21" s="18">
        <v>4500</v>
      </c>
      <c r="L21" s="18"/>
      <c r="M21" s="18"/>
      <c r="N21" s="18"/>
      <c r="O21" s="18"/>
      <c r="P21" s="18"/>
      <c r="Q21" s="19"/>
      <c r="R21" s="8"/>
      <c r="S21" s="8"/>
      <c r="T21" s="8"/>
      <c r="U21" s="19"/>
      <c r="V21" s="18"/>
      <c r="W21" s="8"/>
      <c r="X21" s="18"/>
      <c r="AM21" s="18"/>
      <c r="AN21" s="18"/>
      <c r="AO21" s="18"/>
      <c r="AP21" s="7"/>
      <c r="AQ21" s="7"/>
      <c r="AR21" s="7"/>
      <c r="AS21" s="7"/>
      <c r="AT21" s="7"/>
      <c r="AY21" s="37">
        <v>34</v>
      </c>
      <c r="BA21" s="12"/>
      <c r="BB21" s="12"/>
      <c r="BC21" s="12"/>
      <c r="BD21" s="12"/>
      <c r="BF21" s="12"/>
      <c r="BG21" s="12"/>
    </row>
    <row r="22" spans="1:70" x14ac:dyDescent="0.2">
      <c r="A22" s="1" t="s">
        <v>138</v>
      </c>
      <c r="B22" s="1" t="s">
        <v>142</v>
      </c>
      <c r="C22" s="32">
        <v>2030</v>
      </c>
      <c r="F22" s="18"/>
      <c r="G22" s="18"/>
      <c r="H22" s="18">
        <v>3000</v>
      </c>
      <c r="I22" s="18">
        <v>4500</v>
      </c>
      <c r="J22" s="18">
        <v>3000</v>
      </c>
      <c r="K22" s="18">
        <v>4500</v>
      </c>
      <c r="L22" s="18"/>
      <c r="M22" s="18"/>
      <c r="N22" s="18"/>
      <c r="O22" s="18"/>
      <c r="P22" s="18"/>
      <c r="Q22" s="19"/>
      <c r="R22" s="8"/>
      <c r="S22" s="8"/>
      <c r="T22" s="8"/>
      <c r="U22" s="19"/>
      <c r="V22" s="18"/>
      <c r="W22" s="8"/>
      <c r="X22" s="18"/>
      <c r="AM22" s="18"/>
      <c r="AN22" s="18"/>
      <c r="AO22" s="18"/>
      <c r="AP22" s="7"/>
      <c r="AQ22" s="7"/>
      <c r="AR22" s="7"/>
      <c r="AS22" s="7"/>
      <c r="AT22" s="7"/>
      <c r="AY22" s="37">
        <v>34</v>
      </c>
      <c r="BA22" s="12"/>
      <c r="BB22" s="12"/>
      <c r="BC22" s="12"/>
      <c r="BD22" s="12"/>
      <c r="BF22" s="12"/>
      <c r="BG22" s="12"/>
    </row>
    <row r="23" spans="1:70" x14ac:dyDescent="0.2">
      <c r="A23" s="1" t="s">
        <v>137</v>
      </c>
      <c r="B23" s="1" t="s">
        <v>142</v>
      </c>
      <c r="C23" s="32">
        <v>2010</v>
      </c>
      <c r="F23" s="18"/>
      <c r="G23" s="18"/>
      <c r="H23" s="18">
        <v>0</v>
      </c>
      <c r="I23" s="18">
        <v>400</v>
      </c>
      <c r="J23" s="18">
        <v>0</v>
      </c>
      <c r="K23" s="18">
        <v>400</v>
      </c>
      <c r="L23" s="18"/>
      <c r="M23" s="18"/>
      <c r="N23" s="18"/>
      <c r="O23" s="18"/>
      <c r="P23" s="18"/>
      <c r="Q23" s="19"/>
      <c r="R23" s="8"/>
      <c r="S23" s="8"/>
      <c r="T23" s="8"/>
      <c r="U23" s="19"/>
      <c r="V23" s="18"/>
      <c r="W23" s="8"/>
      <c r="X23" s="18"/>
      <c r="AH23" s="1">
        <v>0.25</v>
      </c>
      <c r="AI23" s="1">
        <v>1</v>
      </c>
      <c r="AM23" s="18"/>
      <c r="AN23" s="18"/>
      <c r="AO23" s="18"/>
      <c r="AP23" s="7"/>
      <c r="AQ23" s="7"/>
      <c r="AR23" s="7"/>
      <c r="AS23" s="7"/>
      <c r="AT23" s="7"/>
      <c r="AY23" s="37">
        <v>34</v>
      </c>
      <c r="BA23" s="12"/>
      <c r="BB23" s="12"/>
      <c r="BC23" s="12"/>
      <c r="BD23" s="12"/>
      <c r="BF23" s="12"/>
      <c r="BG23" s="12"/>
    </row>
    <row r="24" spans="1:70" x14ac:dyDescent="0.2">
      <c r="A24" s="1" t="s">
        <v>137</v>
      </c>
      <c r="B24" s="1" t="s">
        <v>142</v>
      </c>
      <c r="C24" s="32">
        <v>2020</v>
      </c>
      <c r="D24" s="54"/>
      <c r="E24" s="54"/>
      <c r="F24" s="55"/>
      <c r="G24" s="55"/>
      <c r="H24" s="55">
        <v>0</v>
      </c>
      <c r="I24" s="55">
        <v>6000</v>
      </c>
      <c r="J24" s="55">
        <v>0</v>
      </c>
      <c r="K24" s="55">
        <v>6000</v>
      </c>
      <c r="L24" s="55"/>
      <c r="M24" s="55"/>
      <c r="N24" s="55"/>
      <c r="O24" s="55"/>
      <c r="P24" s="55"/>
      <c r="Q24" s="56"/>
      <c r="R24" s="57"/>
      <c r="S24" s="58"/>
      <c r="T24" s="57"/>
      <c r="U24" s="56"/>
      <c r="V24" s="55"/>
      <c r="W24" s="58"/>
      <c r="X24" s="55"/>
      <c r="Y24" s="59"/>
      <c r="Z24" s="59"/>
      <c r="AA24" s="59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55"/>
      <c r="AO24" s="55"/>
      <c r="AP24" s="60"/>
      <c r="AQ24" s="60"/>
      <c r="AR24" s="60"/>
      <c r="AS24" s="60"/>
      <c r="AT24" s="60"/>
      <c r="AU24" s="54"/>
      <c r="AV24" s="54"/>
      <c r="AW24" s="54"/>
      <c r="AX24" s="54"/>
      <c r="AY24" s="37">
        <v>34</v>
      </c>
      <c r="AZ24" s="54"/>
      <c r="BA24" s="61"/>
      <c r="BB24" s="61"/>
      <c r="BC24" s="61"/>
      <c r="BD24" s="61"/>
      <c r="BE24" s="54"/>
      <c r="BF24" s="61"/>
      <c r="BG24" s="61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</row>
    <row r="25" spans="1:70" x14ac:dyDescent="0.2">
      <c r="A25" s="1" t="s">
        <v>137</v>
      </c>
      <c r="B25" s="1" t="s">
        <v>142</v>
      </c>
      <c r="C25" s="32">
        <v>2030</v>
      </c>
      <c r="D25" s="54"/>
      <c r="E25" s="54"/>
      <c r="F25" s="55"/>
      <c r="G25" s="55"/>
      <c r="H25" s="55">
        <v>0</v>
      </c>
      <c r="I25" s="55">
        <v>8300</v>
      </c>
      <c r="J25" s="55">
        <v>0</v>
      </c>
      <c r="K25" s="55">
        <v>8300</v>
      </c>
      <c r="L25" s="55"/>
      <c r="M25" s="55"/>
      <c r="N25" s="55"/>
      <c r="O25" s="55"/>
      <c r="P25" s="55"/>
      <c r="Q25" s="56"/>
      <c r="R25" s="57"/>
      <c r="S25" s="58"/>
      <c r="T25" s="57"/>
      <c r="U25" s="56"/>
      <c r="V25" s="55"/>
      <c r="W25" s="58"/>
      <c r="X25" s="55"/>
      <c r="Y25" s="59"/>
      <c r="Z25" s="59"/>
      <c r="AA25" s="59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5"/>
      <c r="AN25" s="55"/>
      <c r="AO25" s="55"/>
      <c r="AP25" s="60"/>
      <c r="AQ25" s="60"/>
      <c r="AR25" s="60"/>
      <c r="AS25" s="60"/>
      <c r="AT25" s="60"/>
      <c r="AU25" s="54"/>
      <c r="AV25" s="54"/>
      <c r="AW25" s="54"/>
      <c r="AX25" s="54"/>
      <c r="AY25" s="37">
        <v>34</v>
      </c>
      <c r="AZ25" s="54"/>
      <c r="BA25" s="61"/>
      <c r="BB25" s="61"/>
      <c r="BC25" s="61"/>
      <c r="BD25" s="61"/>
      <c r="BE25" s="54"/>
      <c r="BF25" s="61"/>
      <c r="BG25" s="61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</row>
    <row r="26" spans="1:70" x14ac:dyDescent="0.2">
      <c r="A26" s="54" t="s">
        <v>141</v>
      </c>
      <c r="B26" s="54" t="s">
        <v>142</v>
      </c>
      <c r="C26" s="54">
        <v>2010</v>
      </c>
      <c r="D26" s="54"/>
      <c r="E26" s="54"/>
      <c r="F26" s="55"/>
      <c r="G26" s="55"/>
      <c r="H26" s="55">
        <v>0</v>
      </c>
      <c r="I26" s="18">
        <v>2300</v>
      </c>
      <c r="J26" s="55">
        <v>0</v>
      </c>
      <c r="K26" s="18">
        <v>2300</v>
      </c>
      <c r="L26" s="55"/>
      <c r="M26" s="55"/>
      <c r="N26" s="55"/>
      <c r="O26" s="55"/>
      <c r="P26" s="55"/>
      <c r="Q26" s="56"/>
      <c r="R26" s="57"/>
      <c r="S26" s="58"/>
      <c r="T26" s="57"/>
      <c r="U26" s="56"/>
      <c r="V26" s="55"/>
      <c r="W26" s="58"/>
      <c r="X26" s="55"/>
      <c r="Y26" s="59"/>
      <c r="Z26" s="59"/>
      <c r="AA26" s="59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55"/>
      <c r="AO26" s="55"/>
      <c r="AP26" s="60"/>
      <c r="AQ26" s="60"/>
      <c r="AR26" s="60"/>
      <c r="AS26" s="60"/>
      <c r="AT26" s="60"/>
      <c r="AU26" s="54"/>
      <c r="AV26" s="54"/>
      <c r="AW26" s="54"/>
      <c r="AX26" s="54"/>
      <c r="AY26" s="37">
        <v>34</v>
      </c>
      <c r="AZ26" s="54"/>
      <c r="BA26" s="61"/>
      <c r="BB26" s="61"/>
      <c r="BC26" s="61"/>
      <c r="BD26" s="61"/>
      <c r="BE26" s="54"/>
      <c r="BF26" s="61"/>
      <c r="BG26" s="61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</row>
    <row r="27" spans="1:70" x14ac:dyDescent="0.2">
      <c r="A27" s="54" t="s">
        <v>141</v>
      </c>
      <c r="B27" s="54" t="s">
        <v>142</v>
      </c>
      <c r="C27" s="54">
        <v>2020</v>
      </c>
      <c r="D27" s="54"/>
      <c r="E27" s="54"/>
      <c r="F27" s="55"/>
      <c r="G27" s="55"/>
      <c r="H27" s="55">
        <v>0</v>
      </c>
      <c r="I27" s="18">
        <v>1300</v>
      </c>
      <c r="J27" s="55">
        <v>0</v>
      </c>
      <c r="K27" s="18">
        <v>1300</v>
      </c>
      <c r="L27" s="55"/>
      <c r="M27" s="55"/>
      <c r="N27" s="55"/>
      <c r="O27" s="55"/>
      <c r="P27" s="55"/>
      <c r="Q27" s="56"/>
      <c r="R27" s="57"/>
      <c r="S27" s="58"/>
      <c r="T27" s="57"/>
      <c r="U27" s="56"/>
      <c r="V27" s="55"/>
      <c r="W27" s="58"/>
      <c r="X27" s="55"/>
      <c r="Y27" s="59"/>
      <c r="Z27" s="59"/>
      <c r="AA27" s="59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5"/>
      <c r="AN27" s="55"/>
      <c r="AO27" s="55"/>
      <c r="AP27" s="60"/>
      <c r="AQ27" s="60"/>
      <c r="AR27" s="60"/>
      <c r="AS27" s="60"/>
      <c r="AT27" s="60"/>
      <c r="AU27" s="54"/>
      <c r="AV27" s="54"/>
      <c r="AW27" s="54"/>
      <c r="AX27" s="54"/>
      <c r="AY27" s="37">
        <v>34</v>
      </c>
      <c r="AZ27" s="54"/>
      <c r="BA27" s="61"/>
      <c r="BB27" s="61"/>
      <c r="BC27" s="61"/>
      <c r="BD27" s="61"/>
      <c r="BE27" s="54"/>
      <c r="BF27" s="61"/>
      <c r="BG27" s="61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</row>
    <row r="28" spans="1:70" x14ac:dyDescent="0.2">
      <c r="A28" s="54" t="s">
        <v>141</v>
      </c>
      <c r="B28" s="54" t="s">
        <v>142</v>
      </c>
      <c r="C28" s="54">
        <v>2030</v>
      </c>
      <c r="D28" s="54"/>
      <c r="E28" s="54"/>
      <c r="F28" s="55"/>
      <c r="G28" s="55"/>
      <c r="H28" s="55">
        <v>0</v>
      </c>
      <c r="I28" s="18">
        <v>0</v>
      </c>
      <c r="J28" s="55">
        <v>0</v>
      </c>
      <c r="K28" s="18">
        <v>0</v>
      </c>
      <c r="L28" s="55"/>
      <c r="M28" s="55"/>
      <c r="N28" s="55"/>
      <c r="O28" s="55"/>
      <c r="P28" s="55"/>
      <c r="Q28" s="56"/>
      <c r="R28" s="57"/>
      <c r="S28" s="58"/>
      <c r="T28" s="57"/>
      <c r="U28" s="56"/>
      <c r="V28" s="55"/>
      <c r="W28" s="58"/>
      <c r="X28" s="55"/>
      <c r="Y28" s="59"/>
      <c r="Z28" s="59"/>
      <c r="AA28" s="59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55"/>
      <c r="AO28" s="55"/>
      <c r="AP28" s="60"/>
      <c r="AQ28" s="60"/>
      <c r="AR28" s="60"/>
      <c r="AS28" s="60"/>
      <c r="AT28" s="60"/>
      <c r="AU28" s="54"/>
      <c r="AV28" s="54"/>
      <c r="AW28" s="54"/>
      <c r="AX28" s="54"/>
      <c r="AY28" s="37">
        <v>34</v>
      </c>
      <c r="AZ28" s="54"/>
      <c r="BA28" s="61"/>
      <c r="BB28" s="61"/>
      <c r="BC28" s="61"/>
      <c r="BD28" s="61"/>
      <c r="BE28" s="54"/>
      <c r="BF28" s="61"/>
      <c r="BG28" s="61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</row>
    <row r="29" spans="1:70" x14ac:dyDescent="0.2">
      <c r="A29" s="54" t="s">
        <v>292</v>
      </c>
      <c r="B29" s="54" t="s">
        <v>130</v>
      </c>
      <c r="C29" s="54">
        <v>2010</v>
      </c>
      <c r="D29" s="54"/>
      <c r="E29" s="54"/>
      <c r="F29" s="55"/>
      <c r="G29" s="55"/>
      <c r="H29" s="55">
        <v>1800</v>
      </c>
      <c r="I29" s="18">
        <v>1800</v>
      </c>
      <c r="J29" s="55">
        <v>1800</v>
      </c>
      <c r="K29" s="18">
        <v>1800</v>
      </c>
      <c r="L29" s="55"/>
      <c r="M29" s="55"/>
      <c r="N29" s="55"/>
      <c r="O29" s="55"/>
      <c r="P29" s="55"/>
      <c r="Q29" s="56"/>
      <c r="R29" s="57"/>
      <c r="S29" s="58"/>
      <c r="T29" s="57"/>
      <c r="U29" s="56"/>
      <c r="V29" s="55"/>
      <c r="W29" s="58"/>
      <c r="X29" s="55"/>
      <c r="Y29" s="59"/>
      <c r="Z29" s="59"/>
      <c r="AA29" s="59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5"/>
      <c r="AN29" s="55"/>
      <c r="AO29" s="55"/>
      <c r="AP29" s="60"/>
      <c r="AQ29" s="60"/>
      <c r="AR29" s="60"/>
      <c r="AS29" s="60"/>
      <c r="AT29" s="60"/>
      <c r="AU29" s="54"/>
      <c r="AV29" s="54"/>
      <c r="AW29" s="54"/>
      <c r="AX29" s="54"/>
      <c r="AY29" s="61">
        <v>34</v>
      </c>
      <c r="AZ29" s="54"/>
      <c r="BA29" s="61"/>
      <c r="BB29" s="61"/>
      <c r="BC29" s="61"/>
      <c r="BD29" s="61"/>
      <c r="BE29" s="54"/>
      <c r="BF29" s="61"/>
      <c r="BG29" s="61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</row>
    <row r="30" spans="1:70" x14ac:dyDescent="0.2">
      <c r="A30" s="54" t="s">
        <v>292</v>
      </c>
      <c r="B30" s="54" t="s">
        <v>130</v>
      </c>
      <c r="C30" s="54">
        <v>2020</v>
      </c>
      <c r="D30" s="54"/>
      <c r="E30" s="54"/>
      <c r="F30" s="55"/>
      <c r="G30" s="55"/>
      <c r="H30" s="55">
        <v>1900</v>
      </c>
      <c r="I30" s="18">
        <v>2700</v>
      </c>
      <c r="J30" s="55">
        <v>1900</v>
      </c>
      <c r="K30" s="18">
        <v>2700</v>
      </c>
      <c r="L30" s="55"/>
      <c r="M30" s="55"/>
      <c r="N30" s="55"/>
      <c r="O30" s="55"/>
      <c r="P30" s="55"/>
      <c r="Q30" s="56"/>
      <c r="R30" s="57"/>
      <c r="S30" s="58"/>
      <c r="T30" s="57"/>
      <c r="U30" s="56"/>
      <c r="V30" s="55"/>
      <c r="W30" s="58"/>
      <c r="X30" s="55"/>
      <c r="Y30" s="59"/>
      <c r="Z30" s="59"/>
      <c r="AA30" s="59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55"/>
      <c r="AO30" s="55"/>
      <c r="AP30" s="60"/>
      <c r="AQ30" s="60"/>
      <c r="AR30" s="60"/>
      <c r="AS30" s="60"/>
      <c r="AT30" s="60"/>
      <c r="AU30" s="54"/>
      <c r="AV30" s="54"/>
      <c r="AW30" s="54"/>
      <c r="AX30" s="54"/>
      <c r="AY30" s="61">
        <v>34</v>
      </c>
      <c r="AZ30" s="54"/>
      <c r="BA30" s="61"/>
      <c r="BB30" s="61"/>
      <c r="BC30" s="61"/>
      <c r="BD30" s="61"/>
      <c r="BE30" s="54"/>
      <c r="BF30" s="61"/>
      <c r="BG30" s="61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</row>
    <row r="31" spans="1:70" x14ac:dyDescent="0.2">
      <c r="A31" s="54" t="s">
        <v>292</v>
      </c>
      <c r="B31" s="54" t="s">
        <v>130</v>
      </c>
      <c r="C31" s="54">
        <v>2030</v>
      </c>
      <c r="D31" s="54"/>
      <c r="E31" s="54"/>
      <c r="F31" s="55"/>
      <c r="G31" s="55"/>
      <c r="H31" s="55">
        <v>1700</v>
      </c>
      <c r="I31" s="18">
        <v>2500</v>
      </c>
      <c r="J31" s="55">
        <v>1700</v>
      </c>
      <c r="K31" s="18">
        <v>2500</v>
      </c>
      <c r="L31" s="55"/>
      <c r="M31" s="55"/>
      <c r="N31" s="55"/>
      <c r="O31" s="55"/>
      <c r="P31" s="55"/>
      <c r="Q31" s="56"/>
      <c r="R31" s="57"/>
      <c r="S31" s="58"/>
      <c r="T31" s="57"/>
      <c r="U31" s="56"/>
      <c r="V31" s="55"/>
      <c r="W31" s="58"/>
      <c r="X31" s="55"/>
      <c r="Y31" s="59"/>
      <c r="Z31" s="59"/>
      <c r="AA31" s="59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5"/>
      <c r="AN31" s="55"/>
      <c r="AO31" s="55"/>
      <c r="AP31" s="60"/>
      <c r="AQ31" s="60"/>
      <c r="AR31" s="60"/>
      <c r="AS31" s="60"/>
      <c r="AT31" s="60"/>
      <c r="AU31" s="54"/>
      <c r="AV31" s="54"/>
      <c r="AW31" s="54"/>
      <c r="AX31" s="54"/>
      <c r="AY31" s="61">
        <v>34</v>
      </c>
      <c r="AZ31" s="54"/>
      <c r="BA31" s="61"/>
      <c r="BB31" s="61"/>
      <c r="BC31" s="61"/>
      <c r="BD31" s="61"/>
      <c r="BE31" s="54"/>
      <c r="BF31" s="61"/>
      <c r="BG31" s="61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</row>
    <row r="32" spans="1:70" x14ac:dyDescent="0.2">
      <c r="A32" s="54" t="s">
        <v>293</v>
      </c>
      <c r="B32" s="54" t="s">
        <v>130</v>
      </c>
      <c r="C32" s="54">
        <v>2010</v>
      </c>
      <c r="D32" s="54"/>
      <c r="E32" s="54"/>
      <c r="F32" s="55"/>
      <c r="G32" s="55"/>
      <c r="H32" s="55">
        <v>800</v>
      </c>
      <c r="I32" s="18">
        <v>2200</v>
      </c>
      <c r="J32" s="55">
        <v>800</v>
      </c>
      <c r="K32" s="18">
        <v>2200</v>
      </c>
      <c r="L32" s="55"/>
      <c r="M32" s="55"/>
      <c r="N32" s="55"/>
      <c r="O32" s="55"/>
      <c r="P32" s="55"/>
      <c r="Q32" s="56"/>
      <c r="R32" s="57"/>
      <c r="S32" s="58"/>
      <c r="T32" s="57"/>
      <c r="U32" s="56"/>
      <c r="V32" s="55"/>
      <c r="W32" s="58"/>
      <c r="X32" s="55"/>
      <c r="Y32" s="59"/>
      <c r="Z32" s="59"/>
      <c r="AA32" s="59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55"/>
      <c r="AO32" s="55"/>
      <c r="AP32" s="60"/>
      <c r="AQ32" s="60"/>
      <c r="AR32" s="60"/>
      <c r="AS32" s="60"/>
      <c r="AT32" s="60"/>
      <c r="AU32" s="54"/>
      <c r="AV32" s="54"/>
      <c r="AW32" s="54"/>
      <c r="AX32" s="54"/>
      <c r="AY32" s="61">
        <v>34</v>
      </c>
      <c r="AZ32" s="54"/>
      <c r="BA32" s="61"/>
      <c r="BB32" s="61"/>
      <c r="BC32" s="61"/>
      <c r="BD32" s="61"/>
      <c r="BE32" s="54"/>
      <c r="BF32" s="61"/>
      <c r="BG32" s="61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</row>
    <row r="33" spans="1:70" x14ac:dyDescent="0.2">
      <c r="A33" s="54" t="s">
        <v>293</v>
      </c>
      <c r="B33" s="54" t="s">
        <v>130</v>
      </c>
      <c r="C33" s="54">
        <v>2020</v>
      </c>
      <c r="D33" s="54"/>
      <c r="E33" s="54"/>
      <c r="F33" s="55"/>
      <c r="G33" s="55"/>
      <c r="H33" s="55">
        <v>850</v>
      </c>
      <c r="I33" s="18">
        <v>2500</v>
      </c>
      <c r="J33" s="55">
        <v>850</v>
      </c>
      <c r="K33" s="18">
        <v>2500</v>
      </c>
      <c r="L33" s="55"/>
      <c r="M33" s="55"/>
      <c r="N33" s="55"/>
      <c r="O33" s="55"/>
      <c r="P33" s="55"/>
      <c r="Q33" s="56"/>
      <c r="R33" s="57"/>
      <c r="S33" s="58"/>
      <c r="T33" s="57"/>
      <c r="U33" s="56"/>
      <c r="V33" s="55"/>
      <c r="W33" s="58"/>
      <c r="X33" s="55"/>
      <c r="Y33" s="59"/>
      <c r="Z33" s="59"/>
      <c r="AA33" s="59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5"/>
      <c r="AN33" s="55"/>
      <c r="AO33" s="55"/>
      <c r="AP33" s="60"/>
      <c r="AQ33" s="60"/>
      <c r="AR33" s="60"/>
      <c r="AS33" s="60"/>
      <c r="AT33" s="60"/>
      <c r="AU33" s="54"/>
      <c r="AV33" s="54"/>
      <c r="AW33" s="54"/>
      <c r="AX33" s="54"/>
      <c r="AY33" s="61">
        <v>34</v>
      </c>
      <c r="AZ33" s="54"/>
      <c r="BA33" s="61"/>
      <c r="BB33" s="61"/>
      <c r="BC33" s="61"/>
      <c r="BD33" s="61"/>
      <c r="BE33" s="54"/>
      <c r="BF33" s="61"/>
      <c r="BG33" s="61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</row>
    <row r="34" spans="1:70" x14ac:dyDescent="0.2">
      <c r="A34" s="54" t="s">
        <v>293</v>
      </c>
      <c r="B34" s="54" t="s">
        <v>130</v>
      </c>
      <c r="C34" s="54">
        <v>2030</v>
      </c>
      <c r="D34" s="54"/>
      <c r="E34" s="54"/>
      <c r="F34" s="55"/>
      <c r="G34" s="55"/>
      <c r="H34" s="55">
        <v>800</v>
      </c>
      <c r="I34" s="18">
        <v>2400</v>
      </c>
      <c r="J34" s="55">
        <v>800</v>
      </c>
      <c r="K34" s="18">
        <v>2400</v>
      </c>
      <c r="L34" s="55"/>
      <c r="M34" s="55"/>
      <c r="N34" s="55"/>
      <c r="O34" s="55"/>
      <c r="P34" s="55"/>
      <c r="Q34" s="56"/>
      <c r="R34" s="57"/>
      <c r="S34" s="58"/>
      <c r="T34" s="57"/>
      <c r="U34" s="56"/>
      <c r="V34" s="55"/>
      <c r="W34" s="58"/>
      <c r="X34" s="55"/>
      <c r="Y34" s="59"/>
      <c r="Z34" s="59"/>
      <c r="AA34" s="59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55"/>
      <c r="AO34" s="55"/>
      <c r="AP34" s="60"/>
      <c r="AQ34" s="60"/>
      <c r="AR34" s="60"/>
      <c r="AS34" s="60"/>
      <c r="AT34" s="60"/>
      <c r="AU34" s="54"/>
      <c r="AV34" s="54"/>
      <c r="AW34" s="54"/>
      <c r="AX34" s="54"/>
      <c r="AY34" s="61">
        <v>34</v>
      </c>
      <c r="AZ34" s="54"/>
      <c r="BA34" s="61"/>
      <c r="BB34" s="61"/>
      <c r="BC34" s="61"/>
      <c r="BD34" s="61"/>
      <c r="BE34" s="54"/>
      <c r="BF34" s="61"/>
      <c r="BG34" s="61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</row>
    <row r="35" spans="1:70" x14ac:dyDescent="0.2">
      <c r="A35" s="54" t="s">
        <v>294</v>
      </c>
      <c r="B35" s="54" t="s">
        <v>130</v>
      </c>
      <c r="C35" s="54">
        <v>2010</v>
      </c>
      <c r="D35" s="54"/>
      <c r="E35" s="54"/>
      <c r="F35" s="55"/>
      <c r="G35" s="55"/>
      <c r="H35" s="55">
        <v>2350</v>
      </c>
      <c r="I35" s="18">
        <v>2200</v>
      </c>
      <c r="J35" s="55">
        <v>2350</v>
      </c>
      <c r="K35" s="18">
        <v>2200</v>
      </c>
      <c r="L35" s="55"/>
      <c r="M35" s="55"/>
      <c r="N35" s="55"/>
      <c r="O35" s="55"/>
      <c r="P35" s="55"/>
      <c r="Q35" s="56"/>
      <c r="R35" s="57"/>
      <c r="S35" s="58"/>
      <c r="T35" s="57"/>
      <c r="U35" s="56"/>
      <c r="V35" s="55"/>
      <c r="W35" s="58"/>
      <c r="X35" s="55"/>
      <c r="Y35" s="59"/>
      <c r="Z35" s="59"/>
      <c r="AA35" s="59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55"/>
      <c r="AO35" s="55"/>
      <c r="AP35" s="60"/>
      <c r="AQ35" s="60"/>
      <c r="AR35" s="60"/>
      <c r="AS35" s="60"/>
      <c r="AT35" s="60"/>
      <c r="AU35" s="54"/>
      <c r="AV35" s="54"/>
      <c r="AW35" s="54"/>
      <c r="AX35" s="54"/>
      <c r="AY35" s="61">
        <v>34</v>
      </c>
      <c r="AZ35" s="54"/>
      <c r="BA35" s="61"/>
      <c r="BB35" s="61"/>
      <c r="BC35" s="61"/>
      <c r="BD35" s="61"/>
      <c r="BE35" s="54"/>
      <c r="BF35" s="61"/>
      <c r="BG35" s="61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</row>
    <row r="36" spans="1:70" x14ac:dyDescent="0.2">
      <c r="A36" s="54" t="s">
        <v>294</v>
      </c>
      <c r="B36" s="54" t="s">
        <v>130</v>
      </c>
      <c r="C36" s="54">
        <v>2020</v>
      </c>
      <c r="D36" s="54"/>
      <c r="E36" s="54"/>
      <c r="F36" s="55"/>
      <c r="G36" s="55"/>
      <c r="H36" s="55">
        <v>2400</v>
      </c>
      <c r="I36" s="18">
        <v>2700</v>
      </c>
      <c r="J36" s="55">
        <v>2400</v>
      </c>
      <c r="K36" s="18">
        <v>2700</v>
      </c>
      <c r="L36" s="55"/>
      <c r="M36" s="55"/>
      <c r="N36" s="55"/>
      <c r="O36" s="55"/>
      <c r="P36" s="55"/>
      <c r="Q36" s="56"/>
      <c r="R36" s="57"/>
      <c r="S36" s="58"/>
      <c r="T36" s="57"/>
      <c r="U36" s="56"/>
      <c r="V36" s="55"/>
      <c r="W36" s="58"/>
      <c r="X36" s="55"/>
      <c r="Y36" s="59"/>
      <c r="Z36" s="59"/>
      <c r="AA36" s="59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55"/>
      <c r="AO36" s="55"/>
      <c r="AP36" s="60"/>
      <c r="AQ36" s="60"/>
      <c r="AR36" s="60"/>
      <c r="AS36" s="60"/>
      <c r="AT36" s="60"/>
      <c r="AU36" s="54"/>
      <c r="AV36" s="54"/>
      <c r="AW36" s="54"/>
      <c r="AX36" s="54"/>
      <c r="AY36" s="61">
        <v>34</v>
      </c>
      <c r="AZ36" s="54"/>
      <c r="BA36" s="61"/>
      <c r="BB36" s="61"/>
      <c r="BC36" s="61"/>
      <c r="BD36" s="61"/>
      <c r="BE36" s="54"/>
      <c r="BF36" s="61"/>
      <c r="BG36" s="61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</row>
    <row r="37" spans="1:70" x14ac:dyDescent="0.2">
      <c r="A37" s="54" t="s">
        <v>294</v>
      </c>
      <c r="B37" s="54" t="s">
        <v>130</v>
      </c>
      <c r="C37" s="54">
        <v>2030</v>
      </c>
      <c r="D37" s="54"/>
      <c r="E37" s="54"/>
      <c r="F37" s="55"/>
      <c r="G37" s="55"/>
      <c r="H37" s="55">
        <v>2150</v>
      </c>
      <c r="I37" s="18">
        <v>2500</v>
      </c>
      <c r="J37" s="55">
        <v>2150</v>
      </c>
      <c r="K37" s="18">
        <v>2500</v>
      </c>
      <c r="L37" s="55"/>
      <c r="M37" s="55"/>
      <c r="N37" s="55"/>
      <c r="O37" s="55"/>
      <c r="P37" s="55"/>
      <c r="Q37" s="56"/>
      <c r="R37" s="57"/>
      <c r="S37" s="58"/>
      <c r="T37" s="57"/>
      <c r="U37" s="56"/>
      <c r="V37" s="55"/>
      <c r="W37" s="58"/>
      <c r="X37" s="55"/>
      <c r="Y37" s="59"/>
      <c r="Z37" s="59"/>
      <c r="AA37" s="59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5"/>
      <c r="AN37" s="55"/>
      <c r="AO37" s="55"/>
      <c r="AP37" s="60"/>
      <c r="AQ37" s="60"/>
      <c r="AR37" s="60"/>
      <c r="AS37" s="60"/>
      <c r="AT37" s="60"/>
      <c r="AU37" s="54"/>
      <c r="AV37" s="54"/>
      <c r="AW37" s="54"/>
      <c r="AX37" s="54"/>
      <c r="AY37" s="61">
        <v>34</v>
      </c>
      <c r="AZ37" s="54"/>
      <c r="BA37" s="61"/>
      <c r="BB37" s="61"/>
      <c r="BC37" s="61"/>
      <c r="BD37" s="61"/>
      <c r="BE37" s="54"/>
      <c r="BF37" s="61"/>
      <c r="BG37" s="61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</row>
    <row r="38" spans="1:70" x14ac:dyDescent="0.2">
      <c r="A38" s="54" t="s">
        <v>295</v>
      </c>
      <c r="B38" s="54" t="s">
        <v>130</v>
      </c>
      <c r="C38" s="54">
        <v>2010</v>
      </c>
      <c r="D38" s="54"/>
      <c r="E38" s="54"/>
      <c r="F38" s="55"/>
      <c r="G38" s="55"/>
      <c r="H38" s="55">
        <v>600</v>
      </c>
      <c r="I38" s="18">
        <v>600</v>
      </c>
      <c r="J38" s="55">
        <v>600</v>
      </c>
      <c r="K38" s="18">
        <v>600</v>
      </c>
      <c r="L38" s="55"/>
      <c r="M38" s="55"/>
      <c r="N38" s="55"/>
      <c r="O38" s="55"/>
      <c r="P38" s="55"/>
      <c r="Q38" s="56"/>
      <c r="R38" s="57"/>
      <c r="S38" s="58"/>
      <c r="T38" s="57"/>
      <c r="U38" s="56"/>
      <c r="V38" s="55"/>
      <c r="W38" s="58"/>
      <c r="X38" s="55"/>
      <c r="Y38" s="59"/>
      <c r="Z38" s="59"/>
      <c r="AA38" s="59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55"/>
      <c r="AO38" s="55"/>
      <c r="AP38" s="60"/>
      <c r="AQ38" s="60"/>
      <c r="AR38" s="60"/>
      <c r="AS38" s="60"/>
      <c r="AT38" s="60"/>
      <c r="AU38" s="54"/>
      <c r="AV38" s="54"/>
      <c r="AW38" s="54"/>
      <c r="AX38" s="54"/>
      <c r="AY38" s="61">
        <v>34</v>
      </c>
      <c r="AZ38" s="54"/>
      <c r="BA38" s="61"/>
      <c r="BB38" s="61"/>
      <c r="BC38" s="61"/>
      <c r="BD38" s="61"/>
      <c r="BE38" s="54"/>
      <c r="BF38" s="61"/>
      <c r="BG38" s="61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</row>
    <row r="39" spans="1:70" x14ac:dyDescent="0.2">
      <c r="A39" s="54" t="s">
        <v>295</v>
      </c>
      <c r="B39" s="54" t="s">
        <v>130</v>
      </c>
      <c r="C39" s="54">
        <v>2020</v>
      </c>
      <c r="D39" s="54"/>
      <c r="E39" s="54"/>
      <c r="F39" s="55"/>
      <c r="G39" s="55"/>
      <c r="H39" s="55">
        <v>700</v>
      </c>
      <c r="I39" s="18">
        <v>600</v>
      </c>
      <c r="J39" s="55">
        <v>700</v>
      </c>
      <c r="K39" s="18">
        <v>600</v>
      </c>
      <c r="L39" s="55"/>
      <c r="M39" s="55"/>
      <c r="N39" s="55"/>
      <c r="O39" s="55"/>
      <c r="P39" s="55"/>
      <c r="Q39" s="56"/>
      <c r="R39" s="57"/>
      <c r="S39" s="58"/>
      <c r="T39" s="57"/>
      <c r="U39" s="56"/>
      <c r="V39" s="55"/>
      <c r="W39" s="58"/>
      <c r="X39" s="55"/>
      <c r="Y39" s="59"/>
      <c r="Z39" s="59"/>
      <c r="AA39" s="59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5"/>
      <c r="AN39" s="55"/>
      <c r="AO39" s="55"/>
      <c r="AP39" s="60"/>
      <c r="AQ39" s="60"/>
      <c r="AR39" s="60"/>
      <c r="AS39" s="60"/>
      <c r="AT39" s="60"/>
      <c r="AU39" s="54"/>
      <c r="AV39" s="54"/>
      <c r="AW39" s="54"/>
      <c r="AX39" s="54"/>
      <c r="AY39" s="61">
        <v>34</v>
      </c>
      <c r="AZ39" s="54"/>
      <c r="BA39" s="61"/>
      <c r="BB39" s="61"/>
      <c r="BC39" s="61"/>
      <c r="BD39" s="61"/>
      <c r="BE39" s="54"/>
      <c r="BF39" s="61"/>
      <c r="BG39" s="61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</row>
    <row r="40" spans="1:70" x14ac:dyDescent="0.2">
      <c r="A40" s="54" t="s">
        <v>295</v>
      </c>
      <c r="B40" s="54" t="s">
        <v>130</v>
      </c>
      <c r="C40" s="54">
        <v>2030</v>
      </c>
      <c r="D40" s="54"/>
      <c r="E40" s="54"/>
      <c r="F40" s="55"/>
      <c r="G40" s="55"/>
      <c r="H40" s="55">
        <v>600</v>
      </c>
      <c r="I40" s="18">
        <v>550</v>
      </c>
      <c r="J40" s="55">
        <v>600</v>
      </c>
      <c r="K40" s="18">
        <v>550</v>
      </c>
      <c r="L40" s="55"/>
      <c r="M40" s="55"/>
      <c r="N40" s="55"/>
      <c r="O40" s="55"/>
      <c r="P40" s="55"/>
      <c r="Q40" s="56"/>
      <c r="R40" s="57"/>
      <c r="S40" s="58"/>
      <c r="T40" s="57"/>
      <c r="U40" s="56"/>
      <c r="V40" s="55"/>
      <c r="W40" s="58"/>
      <c r="X40" s="55"/>
      <c r="Y40" s="59"/>
      <c r="Z40" s="59"/>
      <c r="AA40" s="59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55"/>
      <c r="AO40" s="55"/>
      <c r="AP40" s="60"/>
      <c r="AQ40" s="60"/>
      <c r="AR40" s="60"/>
      <c r="AS40" s="60"/>
      <c r="AT40" s="60"/>
      <c r="AU40" s="54"/>
      <c r="AV40" s="54"/>
      <c r="AW40" s="54"/>
      <c r="AX40" s="54"/>
      <c r="AY40" s="61">
        <v>34</v>
      </c>
      <c r="AZ40" s="54"/>
      <c r="BA40" s="61"/>
      <c r="BB40" s="61"/>
      <c r="BC40" s="61"/>
      <c r="BD40" s="61"/>
      <c r="BE40" s="54"/>
      <c r="BF40" s="61"/>
      <c r="BG40" s="61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</row>
    <row r="41" spans="1:70" x14ac:dyDescent="0.2">
      <c r="A41" s="54" t="s">
        <v>296</v>
      </c>
      <c r="B41" s="54" t="s">
        <v>130</v>
      </c>
      <c r="C41" s="54">
        <v>2010</v>
      </c>
      <c r="D41" s="54"/>
      <c r="E41" s="54"/>
      <c r="F41" s="55"/>
      <c r="G41" s="55"/>
      <c r="H41" s="55">
        <v>50</v>
      </c>
      <c r="I41" s="18">
        <v>50</v>
      </c>
      <c r="J41" s="55">
        <v>50</v>
      </c>
      <c r="K41" s="18">
        <v>50</v>
      </c>
      <c r="L41" s="55"/>
      <c r="M41" s="55"/>
      <c r="N41" s="55"/>
      <c r="O41" s="55"/>
      <c r="P41" s="55"/>
      <c r="Q41" s="56"/>
      <c r="R41" s="57"/>
      <c r="S41" s="58"/>
      <c r="T41" s="57"/>
      <c r="U41" s="56"/>
      <c r="V41" s="55"/>
      <c r="W41" s="58"/>
      <c r="X41" s="55"/>
      <c r="Y41" s="59"/>
      <c r="Z41" s="59"/>
      <c r="AA41" s="59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5"/>
      <c r="AN41" s="55"/>
      <c r="AO41" s="55"/>
      <c r="AP41" s="60"/>
      <c r="AQ41" s="60"/>
      <c r="AR41" s="60"/>
      <c r="AS41" s="60"/>
      <c r="AT41" s="60"/>
      <c r="AU41" s="54"/>
      <c r="AV41" s="54"/>
      <c r="AW41" s="54"/>
      <c r="AX41" s="54"/>
      <c r="AY41" s="61">
        <v>34</v>
      </c>
      <c r="AZ41" s="54"/>
      <c r="BA41" s="61"/>
      <c r="BB41" s="61"/>
      <c r="BC41" s="61"/>
      <c r="BD41" s="61"/>
      <c r="BE41" s="54"/>
      <c r="BF41" s="61"/>
      <c r="BG41" s="61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</row>
    <row r="42" spans="1:70" x14ac:dyDescent="0.2">
      <c r="A42" s="54" t="s">
        <v>296</v>
      </c>
      <c r="B42" s="54" t="s">
        <v>130</v>
      </c>
      <c r="C42" s="54">
        <v>2020</v>
      </c>
      <c r="D42" s="54"/>
      <c r="E42" s="54"/>
      <c r="F42" s="55"/>
      <c r="G42" s="55"/>
      <c r="H42" s="55">
        <v>150</v>
      </c>
      <c r="I42" s="18">
        <v>100</v>
      </c>
      <c r="J42" s="55">
        <v>150</v>
      </c>
      <c r="K42" s="18">
        <v>100</v>
      </c>
      <c r="L42" s="55"/>
      <c r="M42" s="55"/>
      <c r="N42" s="55"/>
      <c r="O42" s="55"/>
      <c r="P42" s="55"/>
      <c r="Q42" s="56"/>
      <c r="R42" s="57"/>
      <c r="S42" s="58"/>
      <c r="T42" s="57"/>
      <c r="U42" s="56"/>
      <c r="V42" s="55"/>
      <c r="W42" s="58"/>
      <c r="X42" s="55"/>
      <c r="Y42" s="59"/>
      <c r="Z42" s="59"/>
      <c r="AA42" s="59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55"/>
      <c r="AO42" s="55"/>
      <c r="AP42" s="60"/>
      <c r="AQ42" s="60"/>
      <c r="AR42" s="60"/>
      <c r="AS42" s="60"/>
      <c r="AT42" s="60"/>
      <c r="AU42" s="54"/>
      <c r="AV42" s="54"/>
      <c r="AW42" s="54"/>
      <c r="AX42" s="54"/>
      <c r="AY42" s="61">
        <v>34</v>
      </c>
      <c r="AZ42" s="54"/>
      <c r="BA42" s="61"/>
      <c r="BB42" s="61"/>
      <c r="BC42" s="61"/>
      <c r="BD42" s="61"/>
      <c r="BE42" s="54"/>
      <c r="BF42" s="61"/>
      <c r="BG42" s="61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</row>
    <row r="43" spans="1:70" x14ac:dyDescent="0.2">
      <c r="A43" s="54" t="s">
        <v>296</v>
      </c>
      <c r="B43" s="54" t="s">
        <v>130</v>
      </c>
      <c r="C43" s="54">
        <v>2030</v>
      </c>
      <c r="D43" s="54"/>
      <c r="E43" s="54"/>
      <c r="F43" s="55"/>
      <c r="G43" s="55"/>
      <c r="H43" s="55">
        <v>150</v>
      </c>
      <c r="I43" s="18">
        <v>100</v>
      </c>
      <c r="J43" s="55">
        <v>150</v>
      </c>
      <c r="K43" s="18">
        <v>100</v>
      </c>
      <c r="L43" s="55"/>
      <c r="M43" s="55"/>
      <c r="N43" s="55"/>
      <c r="O43" s="55"/>
      <c r="P43" s="55"/>
      <c r="Q43" s="56"/>
      <c r="R43" s="57"/>
      <c r="S43" s="58"/>
      <c r="T43" s="57"/>
      <c r="U43" s="56"/>
      <c r="V43" s="55"/>
      <c r="W43" s="58"/>
      <c r="X43" s="55"/>
      <c r="Y43" s="59"/>
      <c r="Z43" s="59"/>
      <c r="AA43" s="59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5"/>
      <c r="AN43" s="55"/>
      <c r="AO43" s="55"/>
      <c r="AP43" s="60"/>
      <c r="AQ43" s="60"/>
      <c r="AR43" s="60"/>
      <c r="AS43" s="60"/>
      <c r="AT43" s="60"/>
      <c r="AU43" s="54"/>
      <c r="AV43" s="54"/>
      <c r="AW43" s="54"/>
      <c r="AX43" s="54"/>
      <c r="AY43" s="61">
        <v>34</v>
      </c>
      <c r="AZ43" s="54"/>
      <c r="BA43" s="61"/>
      <c r="BB43" s="61"/>
      <c r="BC43" s="61"/>
      <c r="BD43" s="61"/>
      <c r="BE43" s="54"/>
      <c r="BF43" s="61"/>
      <c r="BG43" s="61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</row>
    <row r="44" spans="1:70" x14ac:dyDescent="0.2">
      <c r="A44" s="54" t="s">
        <v>297</v>
      </c>
      <c r="B44" s="54" t="s">
        <v>130</v>
      </c>
      <c r="C44" s="54">
        <v>2010</v>
      </c>
      <c r="D44" s="54"/>
      <c r="E44" s="54"/>
      <c r="F44" s="55"/>
      <c r="G44" s="55"/>
      <c r="H44" s="55">
        <v>600</v>
      </c>
      <c r="I44" s="18">
        <v>600</v>
      </c>
      <c r="J44" s="55">
        <v>600</v>
      </c>
      <c r="K44" s="18">
        <v>600</v>
      </c>
      <c r="L44" s="55"/>
      <c r="M44" s="55"/>
      <c r="N44" s="55"/>
      <c r="O44" s="55"/>
      <c r="P44" s="55"/>
      <c r="Q44" s="56"/>
      <c r="R44" s="57"/>
      <c r="S44" s="58"/>
      <c r="T44" s="57"/>
      <c r="U44" s="56"/>
      <c r="V44" s="55"/>
      <c r="W44" s="58"/>
      <c r="X44" s="55"/>
      <c r="Y44" s="59"/>
      <c r="Z44" s="59"/>
      <c r="AA44" s="59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55"/>
      <c r="AO44" s="55"/>
      <c r="AP44" s="60"/>
      <c r="AQ44" s="60"/>
      <c r="AR44" s="60"/>
      <c r="AS44" s="60"/>
      <c r="AT44" s="60"/>
      <c r="AU44" s="54"/>
      <c r="AV44" s="54"/>
      <c r="AW44" s="54"/>
      <c r="AX44" s="54"/>
      <c r="AY44" s="61"/>
      <c r="AZ44" s="54"/>
      <c r="BA44" s="61"/>
      <c r="BB44" s="61"/>
      <c r="BC44" s="61"/>
      <c r="BD44" s="61"/>
      <c r="BE44" s="54"/>
      <c r="BF44" s="61"/>
      <c r="BG44" s="61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</row>
    <row r="45" spans="1:70" x14ac:dyDescent="0.2">
      <c r="A45" s="54" t="s">
        <v>297</v>
      </c>
      <c r="B45" s="54" t="s">
        <v>130</v>
      </c>
      <c r="C45" s="54">
        <v>2020</v>
      </c>
      <c r="D45" s="54"/>
      <c r="E45" s="54"/>
      <c r="F45" s="55"/>
      <c r="G45" s="55"/>
      <c r="H45" s="55">
        <v>700</v>
      </c>
      <c r="I45" s="18">
        <v>600</v>
      </c>
      <c r="J45" s="55">
        <v>700</v>
      </c>
      <c r="K45" s="18">
        <v>600</v>
      </c>
      <c r="L45" s="55"/>
      <c r="M45" s="55"/>
      <c r="N45" s="55"/>
      <c r="O45" s="55"/>
      <c r="P45" s="55"/>
      <c r="Q45" s="56"/>
      <c r="R45" s="57"/>
      <c r="S45" s="58"/>
      <c r="T45" s="57"/>
      <c r="U45" s="56"/>
      <c r="V45" s="55"/>
      <c r="W45" s="58"/>
      <c r="X45" s="55"/>
      <c r="Y45" s="59"/>
      <c r="Z45" s="59"/>
      <c r="AA45" s="59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5"/>
      <c r="AN45" s="55"/>
      <c r="AO45" s="55"/>
      <c r="AP45" s="60"/>
      <c r="AQ45" s="60"/>
      <c r="AR45" s="60"/>
      <c r="AS45" s="60"/>
      <c r="AT45" s="60"/>
      <c r="AU45" s="54"/>
      <c r="AV45" s="54"/>
      <c r="AW45" s="54"/>
      <c r="AX45" s="54"/>
      <c r="AY45" s="61"/>
      <c r="AZ45" s="54"/>
      <c r="BA45" s="61"/>
      <c r="BB45" s="61"/>
      <c r="BC45" s="61"/>
      <c r="BD45" s="61"/>
      <c r="BE45" s="54"/>
      <c r="BF45" s="61"/>
      <c r="BG45" s="61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</row>
    <row r="46" spans="1:70" x14ac:dyDescent="0.2">
      <c r="A46" s="54" t="s">
        <v>297</v>
      </c>
      <c r="B46" s="54" t="s">
        <v>130</v>
      </c>
      <c r="C46" s="54">
        <v>2030</v>
      </c>
      <c r="D46" s="54"/>
      <c r="E46" s="54"/>
      <c r="F46" s="55"/>
      <c r="G46" s="55"/>
      <c r="H46" s="55">
        <v>600</v>
      </c>
      <c r="I46" s="18">
        <v>500</v>
      </c>
      <c r="J46" s="55">
        <v>600</v>
      </c>
      <c r="K46" s="18">
        <v>500</v>
      </c>
      <c r="L46" s="55"/>
      <c r="M46" s="55"/>
      <c r="N46" s="55"/>
      <c r="O46" s="55"/>
      <c r="P46" s="55"/>
      <c r="Q46" s="56"/>
      <c r="R46" s="57"/>
      <c r="S46" s="58"/>
      <c r="T46" s="57"/>
      <c r="U46" s="56"/>
      <c r="V46" s="55"/>
      <c r="W46" s="58"/>
      <c r="X46" s="55"/>
      <c r="Y46" s="59"/>
      <c r="Z46" s="59"/>
      <c r="AA46" s="59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5"/>
      <c r="AN46" s="55"/>
      <c r="AO46" s="55"/>
      <c r="AP46" s="60"/>
      <c r="AQ46" s="60"/>
      <c r="AR46" s="60"/>
      <c r="AS46" s="60"/>
      <c r="AT46" s="60"/>
      <c r="AU46" s="54"/>
      <c r="AV46" s="54"/>
      <c r="AW46" s="54"/>
      <c r="AX46" s="54"/>
      <c r="AY46" s="61"/>
      <c r="AZ46" s="54"/>
      <c r="BA46" s="61"/>
      <c r="BB46" s="61"/>
      <c r="BC46" s="61"/>
      <c r="BD46" s="61"/>
      <c r="BE46" s="54"/>
      <c r="BF46" s="61"/>
      <c r="BG46" s="61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</row>
    <row r="47" spans="1:70" x14ac:dyDescent="0.2">
      <c r="A47" s="54" t="s">
        <v>298</v>
      </c>
      <c r="B47" s="54" t="s">
        <v>130</v>
      </c>
      <c r="C47" s="54">
        <v>2010</v>
      </c>
      <c r="D47" s="54"/>
      <c r="E47" s="54"/>
      <c r="F47" s="55"/>
      <c r="G47" s="55"/>
      <c r="H47" s="55">
        <v>100</v>
      </c>
      <c r="I47" s="18">
        <v>100</v>
      </c>
      <c r="J47" s="55">
        <v>100</v>
      </c>
      <c r="K47" s="18">
        <v>100</v>
      </c>
      <c r="L47" s="55"/>
      <c r="M47" s="55"/>
      <c r="N47" s="55"/>
      <c r="O47" s="55"/>
      <c r="P47" s="55"/>
      <c r="Q47" s="56"/>
      <c r="R47" s="57"/>
      <c r="S47" s="58"/>
      <c r="T47" s="57"/>
      <c r="U47" s="56"/>
      <c r="V47" s="55"/>
      <c r="W47" s="58"/>
      <c r="X47" s="55"/>
      <c r="Y47" s="59"/>
      <c r="Z47" s="59"/>
      <c r="AA47" s="59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5"/>
      <c r="AN47" s="55"/>
      <c r="AO47" s="55"/>
      <c r="AP47" s="60"/>
      <c r="AQ47" s="60"/>
      <c r="AR47" s="60"/>
      <c r="AS47" s="60"/>
      <c r="AT47" s="60"/>
      <c r="AU47" s="54"/>
      <c r="AV47" s="54"/>
      <c r="AW47" s="54"/>
      <c r="AX47" s="54"/>
      <c r="AY47" s="61"/>
      <c r="AZ47" s="54"/>
      <c r="BA47" s="61"/>
      <c r="BB47" s="61"/>
      <c r="BC47" s="61"/>
      <c r="BD47" s="61"/>
      <c r="BE47" s="54"/>
      <c r="BF47" s="61"/>
      <c r="BG47" s="61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</row>
    <row r="48" spans="1:70" x14ac:dyDescent="0.2">
      <c r="A48" s="54" t="s">
        <v>298</v>
      </c>
      <c r="B48" s="54" t="s">
        <v>130</v>
      </c>
      <c r="C48" s="54">
        <v>2020</v>
      </c>
      <c r="D48" s="54"/>
      <c r="E48" s="54"/>
      <c r="F48" s="55"/>
      <c r="G48" s="55"/>
      <c r="H48" s="55">
        <v>250</v>
      </c>
      <c r="I48" s="18">
        <v>200</v>
      </c>
      <c r="J48" s="55">
        <v>250</v>
      </c>
      <c r="K48" s="18">
        <v>200</v>
      </c>
      <c r="L48" s="55"/>
      <c r="M48" s="55"/>
      <c r="N48" s="55"/>
      <c r="O48" s="55"/>
      <c r="P48" s="55"/>
      <c r="Q48" s="56"/>
      <c r="R48" s="57"/>
      <c r="S48" s="58"/>
      <c r="T48" s="57"/>
      <c r="U48" s="56"/>
      <c r="V48" s="55"/>
      <c r="W48" s="58"/>
      <c r="X48" s="55"/>
      <c r="Y48" s="59"/>
      <c r="Z48" s="59"/>
      <c r="AA48" s="59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5"/>
      <c r="AN48" s="55"/>
      <c r="AO48" s="55"/>
      <c r="AP48" s="60"/>
      <c r="AQ48" s="60"/>
      <c r="AR48" s="60"/>
      <c r="AS48" s="60"/>
      <c r="AT48" s="60"/>
      <c r="AU48" s="54"/>
      <c r="AV48" s="54"/>
      <c r="AW48" s="54"/>
      <c r="AX48" s="54"/>
      <c r="AY48" s="61"/>
      <c r="AZ48" s="54"/>
      <c r="BA48" s="61"/>
      <c r="BB48" s="61"/>
      <c r="BC48" s="61"/>
      <c r="BD48" s="61"/>
      <c r="BE48" s="54"/>
      <c r="BF48" s="61"/>
      <c r="BG48" s="61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</row>
    <row r="49" spans="1:70" x14ac:dyDescent="0.2">
      <c r="A49" s="54" t="s">
        <v>298</v>
      </c>
      <c r="B49" s="54" t="s">
        <v>130</v>
      </c>
      <c r="C49" s="54">
        <v>2030</v>
      </c>
      <c r="D49" s="54"/>
      <c r="E49" s="54"/>
      <c r="F49" s="55"/>
      <c r="G49" s="55"/>
      <c r="H49" s="55">
        <v>250</v>
      </c>
      <c r="I49" s="18">
        <v>150</v>
      </c>
      <c r="J49" s="55">
        <v>250</v>
      </c>
      <c r="K49" s="18">
        <v>150</v>
      </c>
      <c r="L49" s="55"/>
      <c r="M49" s="55"/>
      <c r="N49" s="55"/>
      <c r="O49" s="55"/>
      <c r="P49" s="55"/>
      <c r="Q49" s="56"/>
      <c r="R49" s="57"/>
      <c r="S49" s="58"/>
      <c r="T49" s="57"/>
      <c r="U49" s="56"/>
      <c r="V49" s="55"/>
      <c r="W49" s="58"/>
      <c r="X49" s="55"/>
      <c r="Y49" s="59"/>
      <c r="Z49" s="59"/>
      <c r="AA49" s="59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5"/>
      <c r="AN49" s="55"/>
      <c r="AO49" s="55"/>
      <c r="AP49" s="60"/>
      <c r="AQ49" s="60"/>
      <c r="AR49" s="60"/>
      <c r="AS49" s="60"/>
      <c r="AT49" s="60"/>
      <c r="AU49" s="54"/>
      <c r="AV49" s="54"/>
      <c r="AW49" s="54"/>
      <c r="AX49" s="54"/>
      <c r="AY49" s="61"/>
      <c r="AZ49" s="54"/>
      <c r="BA49" s="61"/>
      <c r="BB49" s="61"/>
      <c r="BC49" s="61"/>
      <c r="BD49" s="61"/>
      <c r="BE49" s="54"/>
      <c r="BF49" s="61"/>
      <c r="BG49" s="61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</row>
    <row r="50" spans="1:70" x14ac:dyDescent="0.2">
      <c r="A50" s="54" t="s">
        <v>299</v>
      </c>
      <c r="B50" s="54" t="s">
        <v>130</v>
      </c>
      <c r="C50" s="54">
        <v>2010</v>
      </c>
      <c r="D50" s="54"/>
      <c r="E50" s="54"/>
      <c r="F50" s="55"/>
      <c r="G50" s="55"/>
      <c r="H50" s="55">
        <v>500</v>
      </c>
      <c r="I50" s="18">
        <v>900</v>
      </c>
      <c r="J50" s="55">
        <v>500</v>
      </c>
      <c r="K50" s="18">
        <v>900</v>
      </c>
      <c r="L50" s="55"/>
      <c r="M50" s="55"/>
      <c r="N50" s="55"/>
      <c r="O50" s="55"/>
      <c r="P50" s="55"/>
      <c r="Q50" s="56"/>
      <c r="R50" s="57"/>
      <c r="S50" s="58"/>
      <c r="T50" s="57"/>
      <c r="U50" s="56"/>
      <c r="V50" s="55"/>
      <c r="W50" s="58"/>
      <c r="X50" s="55"/>
      <c r="Y50" s="59"/>
      <c r="Z50" s="59"/>
      <c r="AA50" s="59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5"/>
      <c r="AN50" s="55"/>
      <c r="AO50" s="55"/>
      <c r="AP50" s="60"/>
      <c r="AQ50" s="60"/>
      <c r="AR50" s="60"/>
      <c r="AS50" s="60"/>
      <c r="AT50" s="60"/>
      <c r="AU50" s="54"/>
      <c r="AV50" s="54"/>
      <c r="AW50" s="54"/>
      <c r="AX50" s="54"/>
      <c r="AY50" s="61"/>
      <c r="AZ50" s="54"/>
      <c r="BA50" s="61"/>
      <c r="BB50" s="61"/>
      <c r="BC50" s="61"/>
      <c r="BD50" s="61"/>
      <c r="BE50" s="54"/>
      <c r="BF50" s="61"/>
      <c r="BG50" s="61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</row>
    <row r="51" spans="1:70" x14ac:dyDescent="0.2">
      <c r="A51" s="54" t="s">
        <v>299</v>
      </c>
      <c r="B51" s="54" t="s">
        <v>130</v>
      </c>
      <c r="C51" s="54">
        <v>2020</v>
      </c>
      <c r="D51" s="54"/>
      <c r="E51" s="54"/>
      <c r="F51" s="55"/>
      <c r="G51" s="55"/>
      <c r="H51" s="55">
        <v>600</v>
      </c>
      <c r="I51" s="18">
        <v>1000</v>
      </c>
      <c r="J51" s="55">
        <v>600</v>
      </c>
      <c r="K51" s="18">
        <v>1000</v>
      </c>
      <c r="L51" s="55"/>
      <c r="M51" s="55"/>
      <c r="N51" s="55"/>
      <c r="O51" s="55"/>
      <c r="P51" s="55"/>
      <c r="Q51" s="56"/>
      <c r="R51" s="57"/>
      <c r="S51" s="58"/>
      <c r="T51" s="57"/>
      <c r="U51" s="56"/>
      <c r="V51" s="55"/>
      <c r="W51" s="58"/>
      <c r="X51" s="55"/>
      <c r="Y51" s="59"/>
      <c r="Z51" s="59"/>
      <c r="AA51" s="59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  <c r="AN51" s="55"/>
      <c r="AO51" s="55"/>
      <c r="AP51" s="60"/>
      <c r="AQ51" s="60"/>
      <c r="AR51" s="60"/>
      <c r="AS51" s="60"/>
      <c r="AT51" s="60"/>
      <c r="AU51" s="54"/>
      <c r="AV51" s="54"/>
      <c r="AW51" s="54"/>
      <c r="AX51" s="54"/>
      <c r="AY51" s="61"/>
      <c r="AZ51" s="54"/>
      <c r="BA51" s="61"/>
      <c r="BB51" s="61"/>
      <c r="BC51" s="61"/>
      <c r="BD51" s="61"/>
      <c r="BE51" s="54"/>
      <c r="BF51" s="61"/>
      <c r="BG51" s="61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</row>
    <row r="52" spans="1:70" x14ac:dyDescent="0.2">
      <c r="A52" s="54" t="s">
        <v>299</v>
      </c>
      <c r="B52" s="54" t="s">
        <v>130</v>
      </c>
      <c r="C52" s="54">
        <v>2030</v>
      </c>
      <c r="D52" s="54"/>
      <c r="E52" s="54"/>
      <c r="F52" s="55"/>
      <c r="G52" s="55"/>
      <c r="H52" s="55">
        <v>550</v>
      </c>
      <c r="I52" s="18">
        <v>900</v>
      </c>
      <c r="J52" s="55">
        <v>550</v>
      </c>
      <c r="K52" s="18">
        <v>900</v>
      </c>
      <c r="L52" s="55"/>
      <c r="M52" s="55"/>
      <c r="N52" s="55"/>
      <c r="O52" s="55"/>
      <c r="P52" s="55"/>
      <c r="Q52" s="56"/>
      <c r="R52" s="57"/>
      <c r="S52" s="58"/>
      <c r="T52" s="57"/>
      <c r="U52" s="56"/>
      <c r="V52" s="55"/>
      <c r="W52" s="58"/>
      <c r="X52" s="55"/>
      <c r="Y52" s="59"/>
      <c r="Z52" s="59"/>
      <c r="AA52" s="59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5"/>
      <c r="AN52" s="55"/>
      <c r="AO52" s="55"/>
      <c r="AP52" s="60"/>
      <c r="AQ52" s="60"/>
      <c r="AR52" s="60"/>
      <c r="AS52" s="60"/>
      <c r="AT52" s="60"/>
      <c r="AU52" s="54"/>
      <c r="AV52" s="54"/>
      <c r="AW52" s="54"/>
      <c r="AX52" s="54"/>
      <c r="AY52" s="61"/>
      <c r="AZ52" s="54"/>
      <c r="BA52" s="61"/>
      <c r="BB52" s="61"/>
      <c r="BC52" s="61"/>
      <c r="BD52" s="61"/>
      <c r="BE52" s="54"/>
      <c r="BF52" s="61"/>
      <c r="BG52" s="61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</row>
    <row r="53" spans="1:70" x14ac:dyDescent="0.2">
      <c r="A53" s="54" t="s">
        <v>300</v>
      </c>
      <c r="B53" s="54" t="s">
        <v>130</v>
      </c>
      <c r="C53" s="54">
        <v>2010</v>
      </c>
      <c r="D53" s="54"/>
      <c r="E53" s="54"/>
      <c r="F53" s="55"/>
      <c r="G53" s="55"/>
      <c r="H53" s="55">
        <v>300</v>
      </c>
      <c r="I53" s="18">
        <v>800</v>
      </c>
      <c r="J53" s="55">
        <v>300</v>
      </c>
      <c r="K53" s="18">
        <v>800</v>
      </c>
      <c r="L53" s="55"/>
      <c r="M53" s="55"/>
      <c r="N53" s="55"/>
      <c r="O53" s="55"/>
      <c r="P53" s="55"/>
      <c r="Q53" s="56"/>
      <c r="R53" s="57"/>
      <c r="S53" s="58"/>
      <c r="T53" s="57"/>
      <c r="U53" s="56"/>
      <c r="V53" s="55"/>
      <c r="W53" s="58"/>
      <c r="X53" s="55"/>
      <c r="Y53" s="59"/>
      <c r="Z53" s="59"/>
      <c r="AA53" s="59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5"/>
      <c r="AN53" s="55"/>
      <c r="AO53" s="55"/>
      <c r="AP53" s="60"/>
      <c r="AQ53" s="60"/>
      <c r="AR53" s="60"/>
      <c r="AS53" s="60"/>
      <c r="AT53" s="60"/>
      <c r="AU53" s="54"/>
      <c r="AV53" s="54"/>
      <c r="AW53" s="54"/>
      <c r="AX53" s="54"/>
      <c r="AY53" s="61"/>
      <c r="AZ53" s="54"/>
      <c r="BA53" s="61"/>
      <c r="BB53" s="61"/>
      <c r="BC53" s="61"/>
      <c r="BD53" s="61"/>
      <c r="BE53" s="54"/>
      <c r="BF53" s="61"/>
      <c r="BG53" s="61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</row>
    <row r="54" spans="1:70" x14ac:dyDescent="0.2">
      <c r="A54" s="54" t="s">
        <v>300</v>
      </c>
      <c r="B54" s="54" t="s">
        <v>130</v>
      </c>
      <c r="C54" s="54">
        <v>2020</v>
      </c>
      <c r="D54" s="54"/>
      <c r="E54" s="54"/>
      <c r="F54" s="55"/>
      <c r="G54" s="55"/>
      <c r="H54" s="55">
        <v>400</v>
      </c>
      <c r="I54" s="18">
        <v>1000</v>
      </c>
      <c r="J54" s="55">
        <v>400</v>
      </c>
      <c r="K54" s="18">
        <v>1000</v>
      </c>
      <c r="L54" s="55"/>
      <c r="M54" s="55"/>
      <c r="N54" s="55"/>
      <c r="O54" s="55"/>
      <c r="P54" s="55"/>
      <c r="Q54" s="56"/>
      <c r="R54" s="57"/>
      <c r="S54" s="58"/>
      <c r="T54" s="57"/>
      <c r="U54" s="56"/>
      <c r="V54" s="55"/>
      <c r="W54" s="58"/>
      <c r="X54" s="55"/>
      <c r="Y54" s="59"/>
      <c r="Z54" s="59"/>
      <c r="AA54" s="59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5"/>
      <c r="AN54" s="55"/>
      <c r="AO54" s="55"/>
      <c r="AP54" s="60"/>
      <c r="AQ54" s="60"/>
      <c r="AR54" s="60"/>
      <c r="AS54" s="60"/>
      <c r="AT54" s="60"/>
      <c r="AU54" s="54"/>
      <c r="AV54" s="54"/>
      <c r="AW54" s="54"/>
      <c r="AX54" s="54"/>
      <c r="AY54" s="61"/>
      <c r="AZ54" s="54"/>
      <c r="BA54" s="61"/>
      <c r="BB54" s="61"/>
      <c r="BC54" s="61"/>
      <c r="BD54" s="61"/>
      <c r="BE54" s="54"/>
      <c r="BF54" s="61"/>
      <c r="BG54" s="61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</row>
    <row r="55" spans="1:70" x14ac:dyDescent="0.2">
      <c r="A55" s="54" t="s">
        <v>300</v>
      </c>
      <c r="B55" s="54" t="s">
        <v>130</v>
      </c>
      <c r="C55" s="54">
        <v>2030</v>
      </c>
      <c r="D55" s="54"/>
      <c r="E55" s="54"/>
      <c r="F55" s="55"/>
      <c r="G55" s="55"/>
      <c r="H55" s="55">
        <v>400</v>
      </c>
      <c r="I55" s="18">
        <v>900</v>
      </c>
      <c r="J55" s="55">
        <v>400</v>
      </c>
      <c r="K55" s="18">
        <v>900</v>
      </c>
      <c r="L55" s="55"/>
      <c r="M55" s="55"/>
      <c r="N55" s="55"/>
      <c r="O55" s="55"/>
      <c r="P55" s="55"/>
      <c r="Q55" s="56"/>
      <c r="R55" s="57"/>
      <c r="S55" s="58"/>
      <c r="T55" s="57"/>
      <c r="U55" s="56"/>
      <c r="V55" s="55"/>
      <c r="W55" s="58"/>
      <c r="X55" s="55"/>
      <c r="Y55" s="59"/>
      <c r="Z55" s="59"/>
      <c r="AA55" s="59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5"/>
      <c r="AN55" s="55"/>
      <c r="AO55" s="55"/>
      <c r="AP55" s="60"/>
      <c r="AQ55" s="60"/>
      <c r="AR55" s="60"/>
      <c r="AS55" s="60"/>
      <c r="AT55" s="60"/>
      <c r="AU55" s="54"/>
      <c r="AV55" s="54"/>
      <c r="AW55" s="54"/>
      <c r="AX55" s="54"/>
      <c r="AY55" s="61"/>
      <c r="AZ55" s="54"/>
      <c r="BA55" s="61"/>
      <c r="BB55" s="61"/>
      <c r="BC55" s="61"/>
      <c r="BD55" s="61"/>
      <c r="BE55" s="54"/>
      <c r="BF55" s="61"/>
      <c r="BG55" s="61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1000000}">
          <x14:formula1>
            <xm:f>Dropdown!$C$2:$C$4</xm:f>
          </x14:formula1>
          <xm:sqref>B2:B55</xm:sqref>
        </x14:dataValidation>
        <x14:dataValidation type="list" allowBlank="1" showInputMessage="1" showErrorMessage="1" xr:uid="{00000000-0002-0000-1A00-000002000000}">
          <x14:formula1>
            <xm:f>Dropdown!$A$2:$A$91</xm:f>
          </x14:formula1>
          <xm:sqref>A2:A7 A23:A55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AF8-DB53-4922-81D1-6A97F299DA21}">
  <sheetPr codeName="Tabelle3"/>
  <dimension ref="A1:BT8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7" width="17.7109375" style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2" width="24.42578125" style="1" customWidth="1"/>
    <col min="23" max="23" width="37.7109375" style="1" bestFit="1" customWidth="1"/>
    <col min="24" max="25" width="24.7109375" style="1" customWidth="1"/>
    <col min="26" max="26" width="28.42578125" style="1" customWidth="1"/>
    <col min="27" max="27" width="27.42578125" style="1" bestFit="1" customWidth="1"/>
    <col min="28" max="29" width="27.42578125" style="1" customWidth="1"/>
    <col min="30" max="30" width="20.7109375" style="1" bestFit="1" customWidth="1"/>
    <col min="31" max="35" width="20.7109375" style="1" customWidth="1"/>
    <col min="36" max="36" width="25.85546875" style="1" bestFit="1" customWidth="1"/>
    <col min="37" max="37" width="29.7109375" style="1" bestFit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7" width="33.42578125" style="1" customWidth="1"/>
    <col min="48" max="48" width="25.7109375" style="1" bestFit="1" customWidth="1"/>
    <col min="49" max="49" width="25.7109375" style="1" customWidth="1"/>
    <col min="50" max="50" width="56.7109375" style="1" bestFit="1" customWidth="1"/>
    <col min="51" max="52" width="35.5703125" style="1" customWidth="1"/>
    <col min="53" max="53" width="31.7109375" style="1" bestFit="1" customWidth="1"/>
    <col min="54" max="54" width="31.5703125" style="1" bestFit="1" customWidth="1"/>
    <col min="55" max="59" width="31.5703125" style="1" customWidth="1"/>
    <col min="60" max="60" width="37.42578125" style="1" bestFit="1" customWidth="1"/>
    <col min="61" max="61" width="35.7109375" style="1" bestFit="1" customWidth="1"/>
    <col min="62" max="62" width="28.85546875" style="1" bestFit="1" customWidth="1"/>
    <col min="63" max="63" width="34" style="1" bestFit="1" customWidth="1"/>
    <col min="64" max="64" width="37.85546875" style="1" bestFit="1" customWidth="1"/>
    <col min="65" max="65" width="34.42578125" style="1" bestFit="1" customWidth="1"/>
    <col min="66" max="66" width="38.140625" style="1" bestFit="1" customWidth="1"/>
    <col min="67" max="67" width="22.85546875" style="1" bestFit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771</v>
      </c>
      <c r="H1" s="2" t="s">
        <v>49</v>
      </c>
      <c r="I1" s="2" t="s">
        <v>149</v>
      </c>
      <c r="J1" s="2" t="s">
        <v>50</v>
      </c>
      <c r="K1" s="2" t="s">
        <v>784</v>
      </c>
      <c r="L1" s="2" t="s">
        <v>97</v>
      </c>
      <c r="M1" s="2" t="s">
        <v>154</v>
      </c>
      <c r="N1" s="2" t="s">
        <v>156</v>
      </c>
      <c r="O1" s="2" t="s">
        <v>155</v>
      </c>
      <c r="P1" s="2" t="s">
        <v>783</v>
      </c>
      <c r="Q1" s="2" t="s">
        <v>56</v>
      </c>
      <c r="R1" s="2" t="s">
        <v>55</v>
      </c>
      <c r="S1" s="2" t="s">
        <v>87</v>
      </c>
      <c r="T1" s="2" t="s">
        <v>330</v>
      </c>
      <c r="U1" s="2" t="s">
        <v>792</v>
      </c>
      <c r="V1" s="2" t="s">
        <v>235</v>
      </c>
      <c r="W1" s="2" t="s">
        <v>116</v>
      </c>
      <c r="X1" s="2" t="s">
        <v>57</v>
      </c>
      <c r="Y1" s="2" t="s">
        <v>123</v>
      </c>
      <c r="Z1" s="2" t="s">
        <v>58</v>
      </c>
      <c r="AA1" s="2" t="s">
        <v>9</v>
      </c>
      <c r="AB1" s="2" t="s">
        <v>423</v>
      </c>
      <c r="AC1" s="2" t="s">
        <v>225</v>
      </c>
      <c r="AD1" s="2" t="s">
        <v>157</v>
      </c>
      <c r="AE1" s="2" t="s">
        <v>227</v>
      </c>
      <c r="AF1" s="2" t="s">
        <v>228</v>
      </c>
      <c r="AG1" s="2" t="s">
        <v>158</v>
      </c>
      <c r="AH1" s="2" t="s">
        <v>214</v>
      </c>
      <c r="AI1" s="2" t="s">
        <v>215</v>
      </c>
      <c r="AJ1" s="2" t="s">
        <v>3</v>
      </c>
      <c r="AK1" s="2" t="s">
        <v>10</v>
      </c>
      <c r="AL1" s="2" t="s">
        <v>16</v>
      </c>
      <c r="AM1" s="2" t="s">
        <v>4</v>
      </c>
      <c r="AN1" s="2" t="s">
        <v>99</v>
      </c>
      <c r="AO1" s="2" t="s">
        <v>183</v>
      </c>
      <c r="AP1" s="2" t="s">
        <v>182</v>
      </c>
      <c r="AQ1" s="2" t="s">
        <v>12</v>
      </c>
      <c r="AR1" s="2" t="s">
        <v>231</v>
      </c>
      <c r="AS1" s="2" t="s">
        <v>232</v>
      </c>
      <c r="AT1" s="2" t="s">
        <v>230</v>
      </c>
      <c r="AU1" s="2" t="s">
        <v>332</v>
      </c>
      <c r="AV1" s="2" t="s">
        <v>333</v>
      </c>
      <c r="AW1" s="2" t="s">
        <v>147</v>
      </c>
      <c r="AX1" s="2" t="s">
        <v>22</v>
      </c>
      <c r="AY1" s="2" t="s">
        <v>162</v>
      </c>
      <c r="AZ1" s="2" t="s">
        <v>163</v>
      </c>
      <c r="BA1" s="2" t="s">
        <v>1</v>
      </c>
      <c r="BB1" s="2" t="s">
        <v>2</v>
      </c>
      <c r="BC1" s="2" t="s">
        <v>59</v>
      </c>
      <c r="BD1" s="2" t="s">
        <v>1089</v>
      </c>
      <c r="BE1" s="2" t="s">
        <v>236</v>
      </c>
      <c r="BF1" s="2" t="s">
        <v>117</v>
      </c>
      <c r="BG1" s="2" t="s">
        <v>60</v>
      </c>
      <c r="BH1" s="2" t="s">
        <v>61</v>
      </c>
      <c r="BI1" s="2" t="s">
        <v>98</v>
      </c>
      <c r="BJ1" s="2" t="s">
        <v>5</v>
      </c>
      <c r="BK1" s="2" t="s">
        <v>6</v>
      </c>
      <c r="BL1" s="2" t="s">
        <v>17</v>
      </c>
      <c r="BM1" s="2" t="s">
        <v>18</v>
      </c>
      <c r="BN1" s="2" t="s">
        <v>7</v>
      </c>
      <c r="BO1" s="2" t="s">
        <v>19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54" t="s">
        <v>29</v>
      </c>
      <c r="B2" s="1" t="s">
        <v>129</v>
      </c>
      <c r="C2" s="54">
        <v>2011</v>
      </c>
      <c r="D2" s="54">
        <v>0</v>
      </c>
      <c r="E2" s="54">
        <v>1</v>
      </c>
      <c r="F2" s="54">
        <v>0</v>
      </c>
      <c r="G2" s="54">
        <f t="shared" ref="G2" si="0">0.46+5.27</f>
        <v>5.7299999999999995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7"/>
      <c r="T2" s="58"/>
      <c r="U2" s="93">
        <f>Tabelle58971114292527[[#This Row],[Durchschnittsauslastung]]*8760</f>
        <v>7358.4</v>
      </c>
      <c r="V2" s="57">
        <v>0.84</v>
      </c>
      <c r="W2" s="56">
        <f>Tabelle58971114292527[[#This Row],[Durchschnittsauslastung]]*Tabelle58971114292527[[#This Row],[installierte Leistung MW]]</f>
        <v>2108.4</v>
      </c>
      <c r="X2" s="55"/>
      <c r="Y2" s="58"/>
      <c r="Z2" s="55">
        <f>1100+1410</f>
        <v>2510</v>
      </c>
      <c r="AA2" s="59"/>
      <c r="AB2" s="59"/>
      <c r="AC2" s="59"/>
      <c r="AD2" s="54"/>
      <c r="AE2" s="54"/>
      <c r="AF2" s="54"/>
      <c r="AG2" s="54"/>
      <c r="AH2" s="54"/>
      <c r="AI2" s="54"/>
      <c r="AJ2" s="54"/>
      <c r="AK2" s="54"/>
      <c r="AL2" s="54"/>
      <c r="AM2" s="59"/>
      <c r="AN2" s="54"/>
      <c r="AO2" s="55"/>
      <c r="AP2" s="55"/>
      <c r="AQ2" s="55"/>
      <c r="AR2" s="60"/>
      <c r="AS2" s="60"/>
      <c r="AT2" s="60"/>
      <c r="AU2" s="60"/>
      <c r="AV2" s="60"/>
      <c r="AW2" s="54"/>
      <c r="AX2" s="1" t="s">
        <v>921</v>
      </c>
      <c r="AY2" s="54">
        <v>5</v>
      </c>
      <c r="AZ2" s="54">
        <v>5</v>
      </c>
      <c r="BA2" s="61"/>
      <c r="BB2" s="54"/>
      <c r="BC2" s="61"/>
      <c r="BD2" s="61"/>
      <c r="BE2" s="61"/>
      <c r="BF2" s="61"/>
      <c r="BG2" s="54"/>
      <c r="BH2" s="61"/>
      <c r="BI2" s="61"/>
      <c r="BJ2" s="54"/>
      <c r="BK2" s="54"/>
      <c r="BL2" s="54"/>
      <c r="BM2" s="54"/>
      <c r="BN2" s="54"/>
      <c r="BO2" s="54"/>
      <c r="BP2" s="54"/>
      <c r="BQ2" s="54"/>
      <c r="BR2" s="54"/>
      <c r="BS2" s="54">
        <v>5</v>
      </c>
      <c r="BT2" s="54"/>
    </row>
    <row r="3" spans="1:72" x14ac:dyDescent="0.2">
      <c r="A3" s="54" t="s">
        <v>84</v>
      </c>
      <c r="B3" s="1" t="s">
        <v>129</v>
      </c>
      <c r="C3" s="54">
        <v>2011</v>
      </c>
      <c r="D3" s="54">
        <v>0</v>
      </c>
      <c r="E3" s="54">
        <v>1</v>
      </c>
      <c r="F3" s="54">
        <v>0</v>
      </c>
      <c r="G3" s="54">
        <v>11.25</v>
      </c>
      <c r="H3" s="55"/>
      <c r="I3" s="55"/>
      <c r="J3" s="55"/>
      <c r="K3" s="55"/>
      <c r="L3" s="55"/>
      <c r="M3" s="55"/>
      <c r="N3" s="55"/>
      <c r="O3" s="55"/>
      <c r="P3" s="55"/>
      <c r="Q3" s="55"/>
      <c r="R3" s="56"/>
      <c r="S3" s="57"/>
      <c r="T3" s="58"/>
      <c r="U3" s="93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6502.8901734104047</v>
      </c>
      <c r="V3" s="57">
        <f>IF(Tabelle58971114292527[[#This Row],[Vollbenutzungsstunden h/a]]&lt;&gt;"",Tabelle58971114292527[[#This Row],[Vollbenutzungsstunden h/a]]/8760,"")</f>
        <v>0.74233906089159873</v>
      </c>
      <c r="W3" s="56">
        <f>Tabelle58971114292527[[#This Row],[Durchschnittsauslastung]]*Tabelle58971114292527[[#This Row],[installierte Leistung MW]]</f>
        <v>1284.2465753424658</v>
      </c>
      <c r="X3" s="55"/>
      <c r="Y3" s="58"/>
      <c r="Z3" s="55">
        <v>1730</v>
      </c>
      <c r="AA3" s="59"/>
      <c r="AB3" s="59"/>
      <c r="AC3" s="59"/>
      <c r="AD3" s="54"/>
      <c r="AE3" s="54"/>
      <c r="AF3" s="54"/>
      <c r="AG3" s="54"/>
      <c r="AH3" s="54"/>
      <c r="AI3" s="54"/>
      <c r="AJ3" s="54"/>
      <c r="AK3" s="54"/>
      <c r="AL3" s="54"/>
      <c r="AM3" s="59"/>
      <c r="AN3" s="54"/>
      <c r="AO3" s="55"/>
      <c r="AP3" s="55"/>
      <c r="AQ3" s="55"/>
      <c r="AR3" s="60"/>
      <c r="AS3" s="60"/>
      <c r="AT3" s="60"/>
      <c r="AU3" s="60"/>
      <c r="AV3" s="60"/>
      <c r="AW3" s="54"/>
      <c r="AX3" s="1" t="s">
        <v>924</v>
      </c>
      <c r="AY3" s="54">
        <v>5</v>
      </c>
      <c r="AZ3" s="54">
        <v>5</v>
      </c>
      <c r="BA3" s="61"/>
      <c r="BB3" s="54"/>
      <c r="BC3" s="61"/>
      <c r="BD3" s="61"/>
      <c r="BE3" s="61"/>
      <c r="BF3" s="61"/>
      <c r="BG3" s="54"/>
      <c r="BH3" s="61"/>
      <c r="BI3" s="61"/>
      <c r="BJ3" s="54"/>
      <c r="BK3" s="54"/>
      <c r="BL3" s="54"/>
      <c r="BM3" s="54"/>
      <c r="BN3" s="54"/>
      <c r="BO3" s="54"/>
      <c r="BP3" s="54"/>
      <c r="BQ3" s="54"/>
      <c r="BR3" s="54"/>
      <c r="BS3" s="54">
        <v>5</v>
      </c>
      <c r="BT3" s="54"/>
    </row>
    <row r="4" spans="1:72" x14ac:dyDescent="0.2">
      <c r="A4" s="54" t="s">
        <v>77</v>
      </c>
      <c r="B4" s="1" t="s">
        <v>129</v>
      </c>
      <c r="C4" s="54">
        <v>2011</v>
      </c>
      <c r="D4" s="54">
        <v>0</v>
      </c>
      <c r="E4" s="54">
        <v>1</v>
      </c>
      <c r="F4" s="54">
        <v>0</v>
      </c>
      <c r="G4" s="54">
        <v>5.04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6"/>
      <c r="S4" s="57"/>
      <c r="T4" s="58"/>
      <c r="U4" s="93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6072.2891566265062</v>
      </c>
      <c r="V4" s="57">
        <f>IF(Tabelle58971114292527[[#This Row],[Vollbenutzungsstunden h/a]]&lt;&gt;"",Tabelle58971114292527[[#This Row],[Vollbenutzungsstunden h/a]]/8760,"")</f>
        <v>0.69318369367882493</v>
      </c>
      <c r="W4" s="56">
        <f>Tabelle58971114292527[[#This Row],[Durchschnittsauslastung]]*Tabelle58971114292527[[#This Row],[installierte Leistung MW]]</f>
        <v>575.34246575342468</v>
      </c>
      <c r="X4" s="55"/>
      <c r="Y4" s="58"/>
      <c r="Z4" s="55">
        <v>830</v>
      </c>
      <c r="AA4" s="59"/>
      <c r="AB4" s="59"/>
      <c r="AC4" s="59"/>
      <c r="AD4" s="54"/>
      <c r="AE4" s="54"/>
      <c r="AF4" s="54"/>
      <c r="AG4" s="54"/>
      <c r="AH4" s="54"/>
      <c r="AI4" s="54"/>
      <c r="AJ4" s="54"/>
      <c r="AK4" s="54"/>
      <c r="AL4" s="54"/>
      <c r="AM4" s="59"/>
      <c r="AN4" s="54"/>
      <c r="AO4" s="55"/>
      <c r="AP4" s="55"/>
      <c r="AQ4" s="55"/>
      <c r="AR4" s="60"/>
      <c r="AS4" s="60"/>
      <c r="AT4" s="60"/>
      <c r="AU4" s="60"/>
      <c r="AV4" s="60"/>
      <c r="AW4" s="54"/>
      <c r="AX4" s="1" t="s">
        <v>923</v>
      </c>
      <c r="AY4" s="54">
        <v>5</v>
      </c>
      <c r="AZ4" s="54">
        <v>5</v>
      </c>
      <c r="BA4" s="61"/>
      <c r="BB4" s="54"/>
      <c r="BC4" s="61"/>
      <c r="BD4" s="61"/>
      <c r="BE4" s="61"/>
      <c r="BF4" s="61"/>
      <c r="BG4" s="54"/>
      <c r="BH4" s="61"/>
      <c r="BI4" s="61"/>
      <c r="BJ4" s="54"/>
      <c r="BK4" s="54"/>
      <c r="BL4" s="54"/>
      <c r="BM4" s="54"/>
      <c r="BN4" s="54"/>
      <c r="BO4" s="54"/>
      <c r="BP4" s="54"/>
      <c r="BQ4" s="54"/>
      <c r="BR4" s="54"/>
      <c r="BS4" s="54">
        <v>5</v>
      </c>
      <c r="BT4" s="54"/>
    </row>
    <row r="5" spans="1:72" x14ac:dyDescent="0.2">
      <c r="A5" s="54" t="s">
        <v>54</v>
      </c>
      <c r="B5" s="1" t="s">
        <v>129</v>
      </c>
      <c r="C5" s="54">
        <v>2011</v>
      </c>
      <c r="D5" s="54">
        <v>1</v>
      </c>
      <c r="E5" s="54">
        <v>1</v>
      </c>
      <c r="F5" s="54">
        <v>0</v>
      </c>
      <c r="G5" s="54">
        <v>6.27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57"/>
      <c r="T5" s="58"/>
      <c r="U5" s="93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8708.3333333333339</v>
      </c>
      <c r="V5" s="57">
        <f>IF(Tabelle58971114292527[[#This Row],[Vollbenutzungsstunden h/a]]&lt;&gt;"",Tabelle58971114292527[[#This Row],[Vollbenutzungsstunden h/a]]/8760,"")</f>
        <v>0.99410197869101991</v>
      </c>
      <c r="W5" s="56">
        <f>Tabelle58971114292527[[#This Row],[Durchschnittsauslastung]]*Tabelle58971114292527[[#This Row],[installierte Leistung MW]]</f>
        <v>715.75342465753431</v>
      </c>
      <c r="X5" s="55"/>
      <c r="Y5" s="58"/>
      <c r="Z5" s="55">
        <v>720</v>
      </c>
      <c r="AA5" s="59"/>
      <c r="AB5" s="59"/>
      <c r="AC5" s="59"/>
      <c r="AD5" s="54"/>
      <c r="AE5" s="54"/>
      <c r="AF5" s="54"/>
      <c r="AG5" s="54"/>
      <c r="AH5" s="54"/>
      <c r="AI5" s="54"/>
      <c r="AJ5" s="54"/>
      <c r="AK5" s="54"/>
      <c r="AL5" s="54"/>
      <c r="AM5" s="59"/>
      <c r="AN5" s="54"/>
      <c r="AO5" s="55"/>
      <c r="AP5" s="55"/>
      <c r="AQ5" s="55"/>
      <c r="AR5" s="60"/>
      <c r="AS5" s="60"/>
      <c r="AT5" s="60"/>
      <c r="AU5" s="60"/>
      <c r="AV5" s="60"/>
      <c r="AW5" s="54"/>
      <c r="AX5" s="1" t="s">
        <v>922</v>
      </c>
      <c r="AY5" s="54">
        <v>5</v>
      </c>
      <c r="AZ5" s="54">
        <v>5</v>
      </c>
      <c r="BA5" s="61"/>
      <c r="BB5" s="54"/>
      <c r="BC5" s="61"/>
      <c r="BD5" s="61"/>
      <c r="BE5" s="61"/>
      <c r="BF5" s="61"/>
      <c r="BG5" s="54"/>
      <c r="BH5" s="61"/>
      <c r="BI5" s="61"/>
      <c r="BJ5" s="54"/>
      <c r="BK5" s="54"/>
      <c r="BL5" s="54"/>
      <c r="BM5" s="54"/>
      <c r="BN5" s="54"/>
      <c r="BO5" s="54"/>
      <c r="BP5" s="54"/>
      <c r="BQ5" s="54"/>
      <c r="BR5" s="54"/>
      <c r="BS5" s="54">
        <v>5</v>
      </c>
      <c r="BT5" s="54"/>
    </row>
    <row r="6" spans="1:72" x14ac:dyDescent="0.2">
      <c r="A6" s="54" t="s">
        <v>880</v>
      </c>
      <c r="B6" s="1" t="s">
        <v>129</v>
      </c>
      <c r="C6" s="54">
        <v>2011</v>
      </c>
      <c r="D6" s="54">
        <v>1</v>
      </c>
      <c r="E6" s="54">
        <v>1</v>
      </c>
      <c r="F6" s="54">
        <v>0</v>
      </c>
      <c r="G6" s="54">
        <v>2.4300000000000002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7"/>
      <c r="T6" s="58"/>
      <c r="U6" s="93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>7593.75</v>
      </c>
      <c r="V6" s="57">
        <f>IF(Tabelle58971114292527[[#This Row],[Vollbenutzungsstunden h/a]]&lt;&gt;"",Tabelle58971114292527[[#This Row],[Vollbenutzungsstunden h/a]]/8760,"")</f>
        <v>0.86686643835616439</v>
      </c>
      <c r="W6" s="56">
        <f>Tabelle58971114292527[[#This Row],[Durchschnittsauslastung]]*Tabelle58971114292527[[#This Row],[installierte Leistung MW]]</f>
        <v>277.39726027397262</v>
      </c>
      <c r="X6" s="55"/>
      <c r="Y6" s="58"/>
      <c r="Z6" s="55">
        <v>320</v>
      </c>
      <c r="AA6" s="59"/>
      <c r="AB6" s="59"/>
      <c r="AC6" s="59"/>
      <c r="AD6" s="54"/>
      <c r="AE6" s="54"/>
      <c r="AF6" s="54"/>
      <c r="AG6" s="54"/>
      <c r="AH6" s="54"/>
      <c r="AI6" s="54"/>
      <c r="AJ6" s="54"/>
      <c r="AK6" s="54"/>
      <c r="AL6" s="54"/>
      <c r="AM6" s="59"/>
      <c r="AN6" s="54"/>
      <c r="AO6" s="55"/>
      <c r="AP6" s="55"/>
      <c r="AQ6" s="55"/>
      <c r="AR6" s="60"/>
      <c r="AS6" s="60"/>
      <c r="AT6" s="60"/>
      <c r="AU6" s="60"/>
      <c r="AV6" s="60"/>
      <c r="AW6" s="54"/>
      <c r="AX6" s="1" t="s">
        <v>925</v>
      </c>
      <c r="AY6" s="54">
        <v>5</v>
      </c>
      <c r="AZ6" s="54">
        <v>5</v>
      </c>
      <c r="BA6" s="61"/>
      <c r="BB6" s="54"/>
      <c r="BC6" s="61"/>
      <c r="BD6" s="61"/>
      <c r="BE6" s="61"/>
      <c r="BF6" s="61"/>
      <c r="BG6" s="54"/>
      <c r="BH6" s="61"/>
      <c r="BI6" s="61"/>
      <c r="BJ6" s="54"/>
      <c r="BK6" s="54"/>
      <c r="BL6" s="54"/>
      <c r="BM6" s="54"/>
      <c r="BN6" s="54"/>
      <c r="BO6" s="54"/>
      <c r="BP6" s="54"/>
      <c r="BQ6" s="54"/>
      <c r="BR6" s="54"/>
      <c r="BS6" s="54">
        <v>5</v>
      </c>
      <c r="BT6" s="54"/>
    </row>
    <row r="7" spans="1:72" x14ac:dyDescent="0.2">
      <c r="A7" s="1" t="s">
        <v>933</v>
      </c>
      <c r="B7" s="1" t="s">
        <v>129</v>
      </c>
      <c r="C7" s="54">
        <v>2011</v>
      </c>
      <c r="D7" s="54">
        <v>1</v>
      </c>
      <c r="E7" s="54">
        <v>0</v>
      </c>
      <c r="F7" s="54">
        <v>0</v>
      </c>
      <c r="G7" s="54"/>
      <c r="H7" s="55"/>
      <c r="I7" s="55">
        <v>1180</v>
      </c>
      <c r="J7" s="55"/>
      <c r="K7" s="55">
        <v>4920</v>
      </c>
      <c r="L7" s="55"/>
      <c r="M7" s="55"/>
      <c r="N7" s="55">
        <v>230</v>
      </c>
      <c r="O7" s="55"/>
      <c r="P7" s="55">
        <v>1860</v>
      </c>
      <c r="Q7" s="55"/>
      <c r="R7" s="56"/>
      <c r="S7" s="57"/>
      <c r="T7" s="58"/>
      <c r="U7" s="93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V7" s="57" t="str">
        <f>IF(Tabelle58971114292527[[#This Row],[Vollbenutzungsstunden h/a]]&lt;&gt;"",Tabelle58971114292527[[#This Row],[Vollbenutzungsstunden h/a]]/8760,"")</f>
        <v/>
      </c>
      <c r="W7" s="56"/>
      <c r="X7" s="55"/>
      <c r="Y7" s="58"/>
      <c r="Z7" s="55"/>
      <c r="AA7" s="59"/>
      <c r="AB7" s="59"/>
      <c r="AC7" s="59"/>
      <c r="AD7" s="54"/>
      <c r="AE7" s="54"/>
      <c r="AF7" s="54"/>
      <c r="AG7" s="54"/>
      <c r="AH7" s="54"/>
      <c r="AI7" s="54"/>
      <c r="AJ7" s="54"/>
      <c r="AK7" s="54"/>
      <c r="AL7" s="54"/>
      <c r="AM7" s="59"/>
      <c r="AN7" s="54"/>
      <c r="AO7" s="55"/>
      <c r="AP7" s="55"/>
      <c r="AQ7" s="55"/>
      <c r="AR7" s="60"/>
      <c r="AS7" s="60"/>
      <c r="AT7" s="60"/>
      <c r="AU7" s="60"/>
      <c r="AV7" s="60"/>
      <c r="AW7" s="54"/>
      <c r="AX7" s="54"/>
      <c r="AY7" s="54"/>
      <c r="AZ7" s="54"/>
      <c r="BA7" s="61"/>
      <c r="BB7" s="54"/>
      <c r="BC7" s="61"/>
      <c r="BD7" s="61"/>
      <c r="BE7" s="61"/>
      <c r="BF7" s="61"/>
      <c r="BG7" s="54"/>
      <c r="BH7" s="61"/>
      <c r="BI7" s="61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</row>
    <row r="8" spans="1:72" x14ac:dyDescent="0.2">
      <c r="A8" s="54" t="s">
        <v>934</v>
      </c>
      <c r="B8" s="1" t="s">
        <v>129</v>
      </c>
      <c r="C8" s="54">
        <v>2011</v>
      </c>
      <c r="D8" s="54">
        <v>0</v>
      </c>
      <c r="E8" s="54">
        <v>1</v>
      </c>
      <c r="F8" s="54">
        <v>0</v>
      </c>
      <c r="G8" s="54"/>
      <c r="H8" s="55"/>
      <c r="I8" s="55"/>
      <c r="J8" s="55">
        <v>1490</v>
      </c>
      <c r="K8" s="55">
        <v>6750</v>
      </c>
      <c r="L8" s="55"/>
      <c r="M8" s="55"/>
      <c r="N8" s="55"/>
      <c r="O8" s="55"/>
      <c r="P8" s="55"/>
      <c r="Q8" s="55"/>
      <c r="R8" s="56"/>
      <c r="S8" s="57"/>
      <c r="T8" s="58"/>
      <c r="U8" s="93" t="str">
        <f>IF(AND(Tabelle58971114292527[[#This Row],[Stromverbrauch in TWh]]&lt;&gt;"",Tabelle58971114292527[[#This Row],[installierte Leistung MW]]&lt;&gt;""),Tabelle58971114292527[[#This Row],[Stromverbrauch in TWh]]*10^6/Tabelle58971114292527[[#This Row],[installierte Leistung MW]],"")</f>
        <v/>
      </c>
      <c r="V8" s="57" t="str">
        <f>IF(Tabelle58971114292527[[#This Row],[Vollbenutzungsstunden h/a]]&lt;&gt;"",Tabelle58971114292527[[#This Row],[Vollbenutzungsstunden h/a]]/8760,"")</f>
        <v/>
      </c>
      <c r="W8" s="56"/>
      <c r="X8" s="55"/>
      <c r="Y8" s="58"/>
      <c r="Z8" s="55"/>
      <c r="AA8" s="59"/>
      <c r="AB8" s="59"/>
      <c r="AC8" s="59"/>
      <c r="AD8" s="54"/>
      <c r="AE8" s="54"/>
      <c r="AF8" s="54"/>
      <c r="AG8" s="54"/>
      <c r="AH8" s="54"/>
      <c r="AI8" s="54"/>
      <c r="AJ8" s="54"/>
      <c r="AK8" s="54"/>
      <c r="AL8" s="54"/>
      <c r="AM8" s="59"/>
      <c r="AN8" s="54"/>
      <c r="AO8" s="55"/>
      <c r="AP8" s="55"/>
      <c r="AQ8" s="55"/>
      <c r="AR8" s="60"/>
      <c r="AS8" s="60"/>
      <c r="AT8" s="60"/>
      <c r="AU8" s="60"/>
      <c r="AV8" s="60"/>
      <c r="AW8" s="54"/>
      <c r="AX8" s="54"/>
      <c r="AY8" s="54"/>
      <c r="AZ8" s="54"/>
      <c r="BA8" s="61"/>
      <c r="BB8" s="54"/>
      <c r="BC8" s="61"/>
      <c r="BD8" s="61"/>
      <c r="BE8" s="61"/>
      <c r="BF8" s="61"/>
      <c r="BG8" s="54"/>
      <c r="BH8" s="61"/>
      <c r="BI8" s="61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BC63FC-85C2-4030-8EB9-3E81FFDA1D9D}">
          <x14:formula1>
            <xm:f>Dropdown!$C$2:$C$4</xm:f>
          </x14:formula1>
          <xm:sqref>B2:B8</xm:sqref>
        </x14:dataValidation>
        <x14:dataValidation type="list" allowBlank="1" showInputMessage="1" showErrorMessage="1" xr:uid="{7CAC4724-FA99-478D-8781-10AB501BCBC7}">
          <x14:formula1>
            <xm:f>Dropdown!$A$1:$A$97</xm:f>
          </x14:formula1>
          <xm:sqref>A2:A8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2"/>
  <dimension ref="A1:BP34"/>
  <sheetViews>
    <sheetView zoomScale="70" zoomScaleNormal="70" workbookViewId="0">
      <pane xSplit="3" ySplit="1" topLeftCell="AK2" activePane="bottomRight" state="frozen"/>
      <selection pane="topRight" activeCell="D1" sqref="D1"/>
      <selection pane="bottomLeft" activeCell="A2" sqref="A2"/>
      <selection pane="bottomRight" activeCell="AN10" sqref="AN10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2" width="24.5703125" style="1" customWidth="1"/>
    <col min="13" max="13" width="24.42578125" style="1" bestFit="1" customWidth="1"/>
    <col min="14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3" width="33.42578125" style="1" customWidth="1"/>
    <col min="44" max="44" width="25.7109375" style="1" bestFit="1" customWidth="1"/>
    <col min="45" max="45" width="25.7109375" style="1" customWidth="1"/>
    <col min="46" max="46" width="56.7109375" style="1" bestFit="1" customWidth="1"/>
    <col min="47" max="48" width="35.5703125" style="1" customWidth="1"/>
    <col min="49" max="49" width="31.7109375" style="1" bestFit="1" customWidth="1"/>
    <col min="50" max="50" width="31.5703125" style="1" bestFit="1" customWidth="1"/>
    <col min="51" max="55" width="31.5703125" style="1" customWidth="1"/>
    <col min="56" max="56" width="37.42578125" style="1" bestFit="1" customWidth="1"/>
    <col min="57" max="57" width="35.7109375" style="1" bestFit="1" customWidth="1"/>
    <col min="58" max="58" width="28.85546875" style="1" bestFit="1" customWidth="1"/>
    <col min="59" max="59" width="34" style="1" bestFit="1" customWidth="1"/>
    <col min="60" max="60" width="37.85546875" style="1" bestFit="1" customWidth="1"/>
    <col min="61" max="61" width="34.42578125" style="1" bestFit="1" customWidth="1"/>
    <col min="62" max="62" width="38.140625" style="1" bestFit="1" customWidth="1"/>
    <col min="63" max="63" width="22.85546875" style="1" bestFit="1" customWidth="1"/>
    <col min="64" max="64" width="28.5703125" style="1" bestFit="1" customWidth="1"/>
    <col min="65" max="65" width="28.28515625" style="1" bestFit="1" customWidth="1"/>
    <col min="66" max="66" width="28.28515625" style="1" customWidth="1"/>
    <col min="67" max="67" width="31" style="1" bestFit="1" customWidth="1"/>
    <col min="68" max="68" width="28.85546875" style="1" bestFit="1" customWidth="1"/>
    <col min="69" max="16384" width="11.42578125" style="1"/>
  </cols>
  <sheetData>
    <row r="1" spans="1:68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50</v>
      </c>
      <c r="J1" s="2" t="s">
        <v>97</v>
      </c>
      <c r="K1" s="2" t="s">
        <v>154</v>
      </c>
      <c r="L1" s="2" t="s">
        <v>156</v>
      </c>
      <c r="M1" s="2" t="s">
        <v>155</v>
      </c>
      <c r="N1" s="2" t="s">
        <v>56</v>
      </c>
      <c r="O1" s="2" t="s">
        <v>55</v>
      </c>
      <c r="P1" s="2" t="s">
        <v>87</v>
      </c>
      <c r="Q1" s="2" t="s">
        <v>235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423</v>
      </c>
      <c r="X1" s="2" t="s">
        <v>225</v>
      </c>
      <c r="Y1" s="2" t="s">
        <v>157</v>
      </c>
      <c r="Z1" s="2" t="s">
        <v>227</v>
      </c>
      <c r="AA1" s="2" t="s">
        <v>228</v>
      </c>
      <c r="AB1" s="2" t="s">
        <v>158</v>
      </c>
      <c r="AC1" s="2" t="s">
        <v>214</v>
      </c>
      <c r="AD1" s="2" t="s">
        <v>215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183</v>
      </c>
      <c r="AK1" s="2" t="s">
        <v>182</v>
      </c>
      <c r="AL1" s="2" t="s">
        <v>12</v>
      </c>
      <c r="AM1" s="2" t="s">
        <v>231</v>
      </c>
      <c r="AN1" s="2" t="s">
        <v>232</v>
      </c>
      <c r="AO1" s="2" t="s">
        <v>230</v>
      </c>
      <c r="AP1" s="2" t="s">
        <v>332</v>
      </c>
      <c r="AQ1" s="2" t="s">
        <v>451</v>
      </c>
      <c r="AR1" s="2" t="s">
        <v>333</v>
      </c>
      <c r="AS1" s="2" t="s">
        <v>147</v>
      </c>
      <c r="AT1" s="2" t="s">
        <v>22</v>
      </c>
      <c r="AU1" s="2" t="s">
        <v>162</v>
      </c>
      <c r="AV1" s="2" t="s">
        <v>163</v>
      </c>
      <c r="AW1" s="2" t="s">
        <v>1</v>
      </c>
      <c r="AX1" s="2" t="s">
        <v>2</v>
      </c>
      <c r="AY1" s="2" t="s">
        <v>59</v>
      </c>
      <c r="AZ1" s="2" t="s">
        <v>1089</v>
      </c>
      <c r="BA1" s="2" t="s">
        <v>236</v>
      </c>
      <c r="BB1" s="2" t="s">
        <v>117</v>
      </c>
      <c r="BC1" s="2" t="s">
        <v>60</v>
      </c>
      <c r="BD1" s="2" t="s">
        <v>61</v>
      </c>
      <c r="BE1" s="2" t="s">
        <v>98</v>
      </c>
      <c r="BF1" s="2" t="s">
        <v>5</v>
      </c>
      <c r="BG1" s="2" t="s">
        <v>6</v>
      </c>
      <c r="BH1" s="2" t="s">
        <v>17</v>
      </c>
      <c r="BI1" s="2" t="s">
        <v>18</v>
      </c>
      <c r="BJ1" s="2" t="s">
        <v>7</v>
      </c>
      <c r="BK1" s="2" t="s">
        <v>19</v>
      </c>
      <c r="BL1" s="2" t="s">
        <v>20</v>
      </c>
      <c r="BM1" s="2" t="s">
        <v>21</v>
      </c>
      <c r="BN1" s="2" t="s">
        <v>148</v>
      </c>
      <c r="BO1" s="2" t="s">
        <v>23</v>
      </c>
      <c r="BP1" s="2" t="s">
        <v>51</v>
      </c>
    </row>
    <row r="2" spans="1:68" x14ac:dyDescent="0.2">
      <c r="A2" s="1" t="s">
        <v>135</v>
      </c>
      <c r="B2" s="1" t="s">
        <v>142</v>
      </c>
      <c r="C2" s="1">
        <v>2013</v>
      </c>
      <c r="D2" s="1">
        <v>1</v>
      </c>
      <c r="E2" s="1">
        <v>0</v>
      </c>
      <c r="F2" s="1">
        <v>0</v>
      </c>
      <c r="G2" s="18">
        <v>1333</v>
      </c>
      <c r="H2" s="18"/>
      <c r="I2" s="18">
        <v>3200</v>
      </c>
      <c r="J2" s="18"/>
      <c r="K2" s="18">
        <v>2667</v>
      </c>
      <c r="L2" s="18"/>
      <c r="M2" s="18">
        <v>6400</v>
      </c>
      <c r="N2" s="18"/>
      <c r="O2" s="19"/>
      <c r="P2" s="8"/>
      <c r="Q2" s="8">
        <f t="shared" ref="Q2:Q7" si="0">2920/8760</f>
        <v>0.33333333333333331</v>
      </c>
      <c r="R2" s="19">
        <v>4000</v>
      </c>
      <c r="S2" s="18">
        <v>9600</v>
      </c>
      <c r="T2" s="8"/>
      <c r="U2" s="18"/>
      <c r="AE2" s="1">
        <v>0.25</v>
      </c>
      <c r="AG2" s="1" t="s">
        <v>452</v>
      </c>
      <c r="AH2" s="1">
        <f t="shared" ref="AH2:AH7" si="1">24*7</f>
        <v>168</v>
      </c>
      <c r="AJ2" s="18"/>
      <c r="AK2" s="18"/>
      <c r="AL2" s="18"/>
      <c r="AM2" s="7"/>
      <c r="AN2" s="7"/>
      <c r="AO2" s="7"/>
      <c r="AP2" s="7"/>
      <c r="AQ2" s="7"/>
      <c r="AR2" s="7"/>
      <c r="AU2" s="1">
        <v>13</v>
      </c>
      <c r="AV2" s="1">
        <v>13</v>
      </c>
      <c r="AW2" s="12">
        <v>13</v>
      </c>
      <c r="AX2" s="1">
        <v>13</v>
      </c>
      <c r="AY2" s="12"/>
      <c r="AZ2" s="12"/>
      <c r="BA2" s="12">
        <v>13</v>
      </c>
      <c r="BB2" s="12">
        <v>13</v>
      </c>
      <c r="BC2" s="1">
        <v>13</v>
      </c>
      <c r="BD2" s="12"/>
      <c r="BE2" s="12"/>
      <c r="BG2" s="1">
        <v>13</v>
      </c>
      <c r="BI2" s="1">
        <v>13</v>
      </c>
      <c r="BJ2" s="1">
        <v>14</v>
      </c>
      <c r="BK2" s="1">
        <v>14</v>
      </c>
      <c r="BL2" s="1">
        <v>14</v>
      </c>
      <c r="BM2" s="1">
        <v>14</v>
      </c>
    </row>
    <row r="3" spans="1:68" x14ac:dyDescent="0.2">
      <c r="A3" s="1" t="s">
        <v>135</v>
      </c>
      <c r="B3" s="1" t="s">
        <v>142</v>
      </c>
      <c r="C3" s="1">
        <v>2023</v>
      </c>
      <c r="D3" s="1">
        <v>1</v>
      </c>
      <c r="E3" s="1">
        <v>0</v>
      </c>
      <c r="F3" s="1">
        <v>0</v>
      </c>
      <c r="G3" s="18">
        <v>1367</v>
      </c>
      <c r="H3" s="18"/>
      <c r="I3" s="18">
        <v>1640</v>
      </c>
      <c r="J3" s="18"/>
      <c r="K3" s="18">
        <v>2733</v>
      </c>
      <c r="L3" s="18"/>
      <c r="M3" s="18">
        <v>3280</v>
      </c>
      <c r="N3" s="18"/>
      <c r="O3" s="19"/>
      <c r="P3" s="8"/>
      <c r="Q3" s="8">
        <f t="shared" si="0"/>
        <v>0.33333333333333331</v>
      </c>
      <c r="R3" s="19">
        <v>1640</v>
      </c>
      <c r="S3" s="18">
        <v>4920</v>
      </c>
      <c r="T3" s="8"/>
      <c r="U3" s="18"/>
      <c r="AE3" s="1">
        <v>0.25</v>
      </c>
      <c r="AG3" s="1" t="s">
        <v>452</v>
      </c>
      <c r="AH3" s="1">
        <f t="shared" si="1"/>
        <v>168</v>
      </c>
      <c r="AJ3" s="7">
        <f>30*Umrechnungsfaktoren!$B$15/Umrechnungsfaktoren!$B$10</f>
        <v>31.614213197969544</v>
      </c>
      <c r="AK3" s="7">
        <f>130*Umrechnungsfaktoren!$B$15/Umrechnungsfaktoren!$B$10</f>
        <v>136.99492385786803</v>
      </c>
      <c r="AM3" s="7">
        <f>0*Umrechnungsfaktoren!$B$15/Umrechnungsfaktoren!$B$10</f>
        <v>0</v>
      </c>
      <c r="AN3" s="7">
        <f>0*Umrechnungsfaktoren!$B$15/Umrechnungsfaktoren!$B$10</f>
        <v>0</v>
      </c>
      <c r="AO3" s="7">
        <f>0*Umrechnungsfaktoren!$B$15/Umrechnungsfaktoren!$B$10</f>
        <v>0</v>
      </c>
      <c r="AP3" s="7">
        <f>2*Umrechnungsfaktoren!$B$15/Umrechnungsfaktoren!$B$10</f>
        <v>2.1076142131979694</v>
      </c>
      <c r="AQ3" s="7">
        <f>9*Umrechnungsfaktoren!$B$15/Umrechnungsfaktoren!$B$10</f>
        <v>9.484263959390864</v>
      </c>
      <c r="AR3" s="1">
        <f>AVERAGE(Tabelle58971117[[#This Row],[fixe Kosten min. €_2018/kW*a]:[fixe Kosten max. €_2018/kW*a]])</f>
        <v>5.7959390862944167</v>
      </c>
      <c r="AU3" s="1">
        <v>13</v>
      </c>
      <c r="AV3" s="1">
        <v>13</v>
      </c>
      <c r="AW3" s="12">
        <v>13</v>
      </c>
      <c r="AX3" s="1">
        <v>13</v>
      </c>
      <c r="AY3" s="12"/>
      <c r="AZ3" s="12"/>
      <c r="BA3" s="12">
        <v>13</v>
      </c>
      <c r="BB3" s="12">
        <v>13</v>
      </c>
      <c r="BC3" s="1">
        <v>13</v>
      </c>
      <c r="BD3" s="12"/>
      <c r="BE3" s="12"/>
      <c r="BG3" s="1">
        <v>13</v>
      </c>
      <c r="BI3" s="1">
        <v>13</v>
      </c>
      <c r="BJ3" s="1">
        <v>14</v>
      </c>
      <c r="BK3" s="1">
        <v>14</v>
      </c>
      <c r="BL3" s="1">
        <v>14</v>
      </c>
      <c r="BM3" s="1">
        <v>14</v>
      </c>
    </row>
    <row r="4" spans="1:68" x14ac:dyDescent="0.2">
      <c r="A4" s="5" t="s">
        <v>135</v>
      </c>
      <c r="B4" s="1" t="s">
        <v>142</v>
      </c>
      <c r="C4" s="1">
        <v>2050</v>
      </c>
      <c r="D4" s="1">
        <v>1</v>
      </c>
      <c r="E4" s="1">
        <v>0</v>
      </c>
      <c r="F4" s="1">
        <v>0</v>
      </c>
      <c r="G4" s="18">
        <v>1367</v>
      </c>
      <c r="H4" s="18"/>
      <c r="I4" s="18">
        <v>1640</v>
      </c>
      <c r="J4" s="18"/>
      <c r="K4" s="18">
        <v>2733</v>
      </c>
      <c r="L4" s="18"/>
      <c r="M4" s="18">
        <v>3280</v>
      </c>
      <c r="N4" s="18"/>
      <c r="O4" s="19"/>
      <c r="P4" s="8"/>
      <c r="Q4" s="8">
        <f t="shared" si="0"/>
        <v>0.33333333333333331</v>
      </c>
      <c r="R4" s="19">
        <v>1640</v>
      </c>
      <c r="S4" s="18">
        <v>4920</v>
      </c>
      <c r="T4" s="8"/>
      <c r="U4" s="18"/>
      <c r="AE4" s="1">
        <v>0.25</v>
      </c>
      <c r="AG4" s="1" t="s">
        <v>452</v>
      </c>
      <c r="AH4" s="1">
        <f t="shared" si="1"/>
        <v>168</v>
      </c>
      <c r="AJ4" s="18"/>
      <c r="AK4" s="18"/>
      <c r="AL4" s="18"/>
      <c r="AM4" s="7"/>
      <c r="AN4" s="7"/>
      <c r="AO4" s="7"/>
      <c r="AP4" s="7"/>
      <c r="AQ4" s="7"/>
      <c r="AR4" s="7"/>
      <c r="AU4" s="1">
        <v>13</v>
      </c>
      <c r="AV4" s="1">
        <v>13</v>
      </c>
      <c r="AW4" s="12">
        <v>13</v>
      </c>
      <c r="AX4" s="1">
        <v>13</v>
      </c>
      <c r="AY4" s="12"/>
      <c r="AZ4" s="12"/>
      <c r="BA4" s="12">
        <v>13</v>
      </c>
      <c r="BB4" s="12">
        <v>13</v>
      </c>
      <c r="BC4" s="1">
        <v>13</v>
      </c>
      <c r="BD4" s="12"/>
      <c r="BE4" s="12"/>
      <c r="BG4" s="1">
        <v>13</v>
      </c>
      <c r="BI4" s="1">
        <v>13</v>
      </c>
      <c r="BJ4" s="1">
        <v>14</v>
      </c>
      <c r="BK4" s="1">
        <v>14</v>
      </c>
      <c r="BL4" s="1">
        <v>14</v>
      </c>
      <c r="BM4" s="1">
        <v>14</v>
      </c>
    </row>
    <row r="5" spans="1:68" x14ac:dyDescent="0.2">
      <c r="A5" s="1" t="s">
        <v>136</v>
      </c>
      <c r="B5" s="1" t="s">
        <v>142</v>
      </c>
      <c r="C5" s="1">
        <v>2013</v>
      </c>
      <c r="D5" s="1">
        <v>1</v>
      </c>
      <c r="E5" s="1">
        <v>0</v>
      </c>
      <c r="F5" s="1">
        <v>0</v>
      </c>
      <c r="G5" s="18">
        <v>533</v>
      </c>
      <c r="H5" s="18"/>
      <c r="I5" s="18">
        <v>1333</v>
      </c>
      <c r="J5" s="18"/>
      <c r="K5" s="18">
        <v>1067</v>
      </c>
      <c r="L5" s="18"/>
      <c r="M5" s="18">
        <v>2667</v>
      </c>
      <c r="N5" s="18"/>
      <c r="O5" s="19"/>
      <c r="P5" s="8"/>
      <c r="Q5" s="8">
        <f t="shared" si="0"/>
        <v>0.33333333333333331</v>
      </c>
      <c r="R5" s="19">
        <v>1333</v>
      </c>
      <c r="S5" s="18">
        <v>4000</v>
      </c>
      <c r="T5" s="8"/>
      <c r="U5" s="18"/>
      <c r="AE5" s="1">
        <v>0.25</v>
      </c>
      <c r="AG5" s="1" t="s">
        <v>452</v>
      </c>
      <c r="AH5" s="1">
        <f t="shared" si="1"/>
        <v>168</v>
      </c>
      <c r="AJ5" s="7"/>
      <c r="AK5" s="7"/>
      <c r="AM5" s="7"/>
      <c r="AN5" s="7"/>
      <c r="AO5" s="7"/>
      <c r="AP5" s="7"/>
      <c r="AQ5" s="7"/>
      <c r="AU5" s="1">
        <v>15</v>
      </c>
      <c r="AV5" s="1">
        <v>15</v>
      </c>
      <c r="AW5" s="12">
        <v>15</v>
      </c>
      <c r="AX5" s="1">
        <v>15</v>
      </c>
      <c r="AY5" s="12"/>
      <c r="AZ5" s="12"/>
      <c r="BA5" s="12">
        <v>15</v>
      </c>
      <c r="BB5" s="12">
        <v>15</v>
      </c>
      <c r="BC5" s="1">
        <v>15</v>
      </c>
      <c r="BD5" s="12"/>
      <c r="BE5" s="12"/>
      <c r="BG5" s="1">
        <v>15</v>
      </c>
      <c r="BI5" s="1">
        <v>15</v>
      </c>
      <c r="BJ5" s="1">
        <v>16</v>
      </c>
      <c r="BK5" s="1">
        <v>16</v>
      </c>
      <c r="BL5" s="1">
        <v>16</v>
      </c>
      <c r="BM5" s="1">
        <v>16</v>
      </c>
    </row>
    <row r="6" spans="1:68" x14ac:dyDescent="0.2">
      <c r="A6" s="1" t="s">
        <v>136</v>
      </c>
      <c r="B6" s="1" t="s">
        <v>142</v>
      </c>
      <c r="C6" s="1">
        <v>2023</v>
      </c>
      <c r="D6" s="1">
        <v>1</v>
      </c>
      <c r="E6" s="1">
        <v>0</v>
      </c>
      <c r="F6" s="1">
        <v>0</v>
      </c>
      <c r="G6" s="18">
        <v>547</v>
      </c>
      <c r="H6" s="18"/>
      <c r="I6" s="18">
        <v>1367</v>
      </c>
      <c r="J6" s="18"/>
      <c r="K6" s="18">
        <v>1093</v>
      </c>
      <c r="L6" s="18"/>
      <c r="M6" s="18">
        <v>2733</v>
      </c>
      <c r="N6" s="18"/>
      <c r="O6" s="19"/>
      <c r="P6" s="8"/>
      <c r="Q6" s="8">
        <f t="shared" si="0"/>
        <v>0.33333333333333331</v>
      </c>
      <c r="R6" s="19">
        <v>1367</v>
      </c>
      <c r="S6" s="18">
        <v>4100</v>
      </c>
      <c r="T6" s="8"/>
      <c r="U6" s="18"/>
      <c r="AE6" s="1">
        <v>0.25</v>
      </c>
      <c r="AG6" s="1" t="s">
        <v>452</v>
      </c>
      <c r="AH6" s="1">
        <f t="shared" si="1"/>
        <v>168</v>
      </c>
      <c r="AJ6" s="7">
        <f>30*Umrechnungsfaktoren!$B$15/Umrechnungsfaktoren!$B$10</f>
        <v>31.614213197969544</v>
      </c>
      <c r="AK6" s="7">
        <f>130*Umrechnungsfaktoren!$B$15/Umrechnungsfaktoren!$B$10</f>
        <v>136.99492385786803</v>
      </c>
      <c r="AM6" s="7">
        <f>0*Umrechnungsfaktoren!$B$15/Umrechnungsfaktoren!$B$10</f>
        <v>0</v>
      </c>
      <c r="AN6" s="7">
        <f>0*Umrechnungsfaktoren!$B$15/Umrechnungsfaktoren!$B$10</f>
        <v>0</v>
      </c>
      <c r="AO6" s="7">
        <f>0*Umrechnungsfaktoren!$B$15/Umrechnungsfaktoren!$B$10</f>
        <v>0</v>
      </c>
      <c r="AP6" s="7">
        <f>2*Umrechnungsfaktoren!$B$15/Umrechnungsfaktoren!$B$10</f>
        <v>2.1076142131979694</v>
      </c>
      <c r="AQ6" s="7">
        <f>9*Umrechnungsfaktoren!$B$15/Umrechnungsfaktoren!$B$10</f>
        <v>9.484263959390864</v>
      </c>
      <c r="AR6" s="1">
        <f>AVERAGE(Tabelle58971117[[#This Row],[fixe Kosten min. €_2018/kW*a]:[fixe Kosten max. €_2018/kW*a]])</f>
        <v>5.7959390862944167</v>
      </c>
      <c r="AU6" s="1">
        <v>15</v>
      </c>
      <c r="AV6" s="1">
        <v>15</v>
      </c>
      <c r="AW6" s="12">
        <v>15</v>
      </c>
      <c r="AX6" s="1">
        <v>15</v>
      </c>
      <c r="AY6" s="12"/>
      <c r="AZ6" s="12"/>
      <c r="BA6" s="12">
        <v>15</v>
      </c>
      <c r="BB6" s="12">
        <v>15</v>
      </c>
      <c r="BC6" s="1">
        <v>15</v>
      </c>
      <c r="BD6" s="12"/>
      <c r="BE6" s="12"/>
      <c r="BG6" s="1">
        <v>15</v>
      </c>
      <c r="BI6" s="1">
        <v>15</v>
      </c>
      <c r="BJ6" s="1">
        <v>16</v>
      </c>
      <c r="BK6" s="1">
        <v>16</v>
      </c>
      <c r="BL6" s="1">
        <v>16</v>
      </c>
      <c r="BM6" s="1">
        <v>16</v>
      </c>
    </row>
    <row r="7" spans="1:68" x14ac:dyDescent="0.2">
      <c r="A7" s="1" t="s">
        <v>136</v>
      </c>
      <c r="B7" s="1" t="s">
        <v>142</v>
      </c>
      <c r="C7" s="1">
        <v>2050</v>
      </c>
      <c r="D7" s="1">
        <v>1</v>
      </c>
      <c r="E7" s="1">
        <v>0</v>
      </c>
      <c r="F7" s="1">
        <v>0</v>
      </c>
      <c r="G7" s="18">
        <v>547</v>
      </c>
      <c r="H7" s="18"/>
      <c r="I7" s="18">
        <v>683</v>
      </c>
      <c r="J7" s="18"/>
      <c r="K7" s="18">
        <v>1093</v>
      </c>
      <c r="L7" s="18"/>
      <c r="M7" s="18">
        <v>1367</v>
      </c>
      <c r="N7" s="18"/>
      <c r="O7" s="19"/>
      <c r="P7" s="8"/>
      <c r="Q7" s="8">
        <f t="shared" si="0"/>
        <v>0.33333333333333331</v>
      </c>
      <c r="R7" s="19">
        <v>683</v>
      </c>
      <c r="S7" s="18">
        <v>2050</v>
      </c>
      <c r="T7" s="8"/>
      <c r="U7" s="18"/>
      <c r="AE7" s="1">
        <v>0.25</v>
      </c>
      <c r="AG7" s="1" t="s">
        <v>452</v>
      </c>
      <c r="AH7" s="1">
        <f t="shared" si="1"/>
        <v>168</v>
      </c>
      <c r="AJ7" s="7"/>
      <c r="AK7" s="7"/>
      <c r="AM7" s="7"/>
      <c r="AN7" s="7"/>
      <c r="AO7" s="7"/>
      <c r="AP7" s="7"/>
      <c r="AQ7" s="7"/>
      <c r="AU7" s="1">
        <v>15</v>
      </c>
      <c r="AV7" s="1">
        <v>15</v>
      </c>
      <c r="AW7" s="12">
        <v>15</v>
      </c>
      <c r="AX7" s="1">
        <v>15</v>
      </c>
      <c r="AY7" s="12"/>
      <c r="AZ7" s="12"/>
      <c r="BA7" s="12">
        <v>15</v>
      </c>
      <c r="BB7" s="12">
        <v>15</v>
      </c>
      <c r="BC7" s="1">
        <v>15</v>
      </c>
      <c r="BD7" s="12"/>
      <c r="BE7" s="12"/>
      <c r="BG7" s="1">
        <v>15</v>
      </c>
      <c r="BI7" s="1">
        <v>15</v>
      </c>
      <c r="BJ7" s="1">
        <v>16</v>
      </c>
      <c r="BK7" s="1">
        <v>16</v>
      </c>
      <c r="BL7" s="1">
        <v>16</v>
      </c>
      <c r="BM7" s="1">
        <v>16</v>
      </c>
    </row>
    <row r="8" spans="1:68" x14ac:dyDescent="0.2">
      <c r="A8" s="1" t="s">
        <v>133</v>
      </c>
      <c r="B8" s="1" t="s">
        <v>142</v>
      </c>
      <c r="C8" s="1">
        <v>2013</v>
      </c>
      <c r="D8" s="1">
        <v>0</v>
      </c>
      <c r="E8" s="1">
        <v>0</v>
      </c>
      <c r="F8" s="1">
        <v>1</v>
      </c>
      <c r="G8" s="18"/>
      <c r="H8" s="18"/>
      <c r="I8" s="18"/>
      <c r="J8" s="18"/>
      <c r="K8" s="18">
        <v>703</v>
      </c>
      <c r="L8" s="18"/>
      <c r="M8" s="18">
        <v>1532</v>
      </c>
      <c r="N8" s="18"/>
      <c r="O8" s="19"/>
      <c r="P8" s="8"/>
      <c r="Q8" s="8">
        <f>114/8760</f>
        <v>1.3013698630136987E-2</v>
      </c>
      <c r="R8" s="19">
        <v>1532</v>
      </c>
      <c r="S8" s="18">
        <v>40000</v>
      </c>
      <c r="T8" s="8"/>
      <c r="U8" s="18"/>
      <c r="AC8" s="1">
        <v>1</v>
      </c>
      <c r="AD8" s="1">
        <v>4</v>
      </c>
      <c r="AG8" s="1" t="s">
        <v>453</v>
      </c>
      <c r="AH8" s="1">
        <f>7</f>
        <v>7</v>
      </c>
      <c r="AJ8" s="7"/>
      <c r="AK8" s="7"/>
      <c r="AM8" s="7"/>
      <c r="AN8" s="7"/>
      <c r="AO8" s="7"/>
      <c r="AP8" s="7"/>
      <c r="AQ8" s="7"/>
      <c r="AU8" s="1">
        <v>17</v>
      </c>
      <c r="AV8" s="1">
        <v>17</v>
      </c>
      <c r="AW8" s="12">
        <v>17</v>
      </c>
      <c r="AX8" s="12">
        <v>17</v>
      </c>
      <c r="AY8" s="12"/>
      <c r="AZ8" s="12"/>
      <c r="BA8" s="12">
        <v>16</v>
      </c>
      <c r="BB8" s="12">
        <v>16</v>
      </c>
      <c r="BC8" s="12">
        <v>16</v>
      </c>
      <c r="BD8" s="12"/>
      <c r="BE8" s="12"/>
      <c r="BG8" s="12">
        <v>16</v>
      </c>
      <c r="BI8" s="12">
        <v>16</v>
      </c>
      <c r="BJ8" s="1">
        <v>17</v>
      </c>
      <c r="BK8" s="1">
        <v>17</v>
      </c>
      <c r="BL8" s="1">
        <v>17</v>
      </c>
      <c r="BM8" s="1">
        <v>17</v>
      </c>
    </row>
    <row r="9" spans="1:68" x14ac:dyDescent="0.2">
      <c r="A9" s="1" t="s">
        <v>133</v>
      </c>
      <c r="B9" s="1" t="s">
        <v>142</v>
      </c>
      <c r="C9" s="1">
        <v>2023</v>
      </c>
      <c r="D9" s="1">
        <v>0</v>
      </c>
      <c r="E9" s="1">
        <v>0</v>
      </c>
      <c r="F9" s="1">
        <v>1</v>
      </c>
      <c r="G9" s="18"/>
      <c r="H9" s="18"/>
      <c r="I9" s="18"/>
      <c r="J9" s="18"/>
      <c r="K9" s="18">
        <v>403</v>
      </c>
      <c r="L9" s="18"/>
      <c r="M9" s="18">
        <v>698</v>
      </c>
      <c r="N9" s="18"/>
      <c r="O9" s="19"/>
      <c r="P9" s="8"/>
      <c r="Q9" s="8">
        <f>116/8760</f>
        <v>1.3242009132420091E-2</v>
      </c>
      <c r="R9" s="19">
        <v>698</v>
      </c>
      <c r="S9" s="18">
        <v>30750</v>
      </c>
      <c r="T9" s="8"/>
      <c r="U9" s="18"/>
      <c r="AC9" s="1">
        <v>1</v>
      </c>
      <c r="AD9" s="1">
        <v>4</v>
      </c>
      <c r="AG9" s="1" t="s">
        <v>453</v>
      </c>
      <c r="AH9" s="1">
        <f>7</f>
        <v>7</v>
      </c>
      <c r="AJ9" s="7">
        <f>30*Umrechnungsfaktoren!$B$15/Umrechnungsfaktoren!$B$10</f>
        <v>31.614213197969544</v>
      </c>
      <c r="AK9" s="7">
        <f>130*Umrechnungsfaktoren!$B$15/Umrechnungsfaktoren!$B$10</f>
        <v>136.99492385786803</v>
      </c>
      <c r="AM9" s="7">
        <f>0*Umrechnungsfaktoren!$B$15/Umrechnungsfaktoren!$B$10</f>
        <v>0</v>
      </c>
      <c r="AN9" s="7">
        <f>0*Umrechnungsfaktoren!$B$15/Umrechnungsfaktoren!$B$10</f>
        <v>0</v>
      </c>
      <c r="AO9" s="7">
        <f>0*Umrechnungsfaktoren!$B$15/Umrechnungsfaktoren!$B$10</f>
        <v>0</v>
      </c>
      <c r="AP9" s="7">
        <f>2*Umrechnungsfaktoren!$B$15/Umrechnungsfaktoren!$B$10</f>
        <v>2.1076142131979694</v>
      </c>
      <c r="AQ9" s="7">
        <f>9*Umrechnungsfaktoren!$B$15/Umrechnungsfaktoren!$B$10</f>
        <v>9.484263959390864</v>
      </c>
      <c r="AR9" s="1">
        <f>AVERAGE(Tabelle58971117[[#This Row],[fixe Kosten min. €_2018/kW*a]:[fixe Kosten max. €_2018/kW*a]])</f>
        <v>5.7959390862944167</v>
      </c>
      <c r="AU9" s="1">
        <v>17</v>
      </c>
      <c r="AV9" s="1">
        <v>17</v>
      </c>
      <c r="AW9" s="12">
        <v>17</v>
      </c>
      <c r="AX9" s="12">
        <v>17</v>
      </c>
      <c r="AY9" s="12"/>
      <c r="AZ9" s="12"/>
      <c r="BA9" s="12">
        <v>16</v>
      </c>
      <c r="BB9" s="12">
        <v>16</v>
      </c>
      <c r="BC9" s="12">
        <v>16</v>
      </c>
      <c r="BD9" s="12"/>
      <c r="BE9" s="12"/>
      <c r="BG9" s="12">
        <v>16</v>
      </c>
      <c r="BI9" s="12">
        <v>16</v>
      </c>
      <c r="BJ9" s="1">
        <v>17</v>
      </c>
      <c r="BK9" s="1">
        <v>17</v>
      </c>
      <c r="BL9" s="1">
        <v>17</v>
      </c>
      <c r="BM9" s="1">
        <v>17</v>
      </c>
    </row>
    <row r="10" spans="1:68" x14ac:dyDescent="0.2">
      <c r="A10" s="1" t="s">
        <v>133</v>
      </c>
      <c r="B10" s="1" t="s">
        <v>142</v>
      </c>
      <c r="C10" s="1">
        <v>2050</v>
      </c>
      <c r="D10" s="1">
        <v>0</v>
      </c>
      <c r="E10" s="1">
        <v>0</v>
      </c>
      <c r="F10" s="1">
        <v>1</v>
      </c>
      <c r="G10" s="18"/>
      <c r="H10" s="18"/>
      <c r="I10" s="18"/>
      <c r="J10" s="18"/>
      <c r="K10" s="18">
        <v>239</v>
      </c>
      <c r="L10" s="18"/>
      <c r="M10" s="18">
        <v>326</v>
      </c>
      <c r="N10" s="18"/>
      <c r="O10" s="19"/>
      <c r="P10" s="8"/>
      <c r="Q10" s="8">
        <f>139/8760</f>
        <v>1.5867579908675798E-2</v>
      </c>
      <c r="R10" s="19">
        <v>326</v>
      </c>
      <c r="S10" s="18">
        <v>20500</v>
      </c>
      <c r="T10" s="8"/>
      <c r="U10" s="18"/>
      <c r="AC10" s="1">
        <v>1</v>
      </c>
      <c r="AD10" s="1">
        <v>4</v>
      </c>
      <c r="AG10" s="1" t="s">
        <v>452</v>
      </c>
      <c r="AH10" s="1">
        <f>7</f>
        <v>7</v>
      </c>
      <c r="AJ10" s="7"/>
      <c r="AK10" s="7"/>
      <c r="AM10" s="7"/>
      <c r="AN10" s="7"/>
      <c r="AO10" s="7"/>
      <c r="AP10" s="7"/>
      <c r="AQ10" s="7"/>
      <c r="AU10" s="1">
        <v>17</v>
      </c>
      <c r="AV10" s="1">
        <v>17</v>
      </c>
      <c r="AW10" s="12">
        <v>17</v>
      </c>
      <c r="AX10" s="12">
        <v>17</v>
      </c>
      <c r="AY10" s="12"/>
      <c r="AZ10" s="12"/>
      <c r="BA10" s="12">
        <v>16</v>
      </c>
      <c r="BB10" s="12">
        <v>16</v>
      </c>
      <c r="BC10" s="12">
        <v>16</v>
      </c>
      <c r="BD10" s="12"/>
      <c r="BE10" s="12"/>
      <c r="BG10" s="12">
        <v>16</v>
      </c>
      <c r="BI10" s="12">
        <v>16</v>
      </c>
      <c r="BJ10" s="1">
        <v>17</v>
      </c>
      <c r="BK10" s="1">
        <v>17</v>
      </c>
      <c r="BL10" s="1">
        <v>17</v>
      </c>
      <c r="BM10" s="1">
        <v>17</v>
      </c>
    </row>
    <row r="11" spans="1:68" x14ac:dyDescent="0.2">
      <c r="A11" s="1" t="s">
        <v>365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8">
        <v>699</v>
      </c>
      <c r="H11" s="18"/>
      <c r="I11" s="18">
        <v>1644</v>
      </c>
      <c r="J11" s="18"/>
      <c r="K11" s="18">
        <v>2701</v>
      </c>
      <c r="L11" s="18"/>
      <c r="M11" s="18">
        <v>5556</v>
      </c>
      <c r="N11" s="18"/>
      <c r="O11" s="19"/>
      <c r="P11" s="8"/>
      <c r="Q11" s="8">
        <f>500/8760</f>
        <v>5.7077625570776253E-2</v>
      </c>
      <c r="R11" s="19">
        <v>1644</v>
      </c>
      <c r="S11" s="18">
        <v>7400</v>
      </c>
      <c r="T11" s="8"/>
      <c r="U11" s="18"/>
      <c r="AE11" s="1">
        <v>0.25</v>
      </c>
      <c r="AG11" s="1" t="s">
        <v>454</v>
      </c>
      <c r="AH11" s="1">
        <f>7</f>
        <v>7</v>
      </c>
      <c r="AJ11" s="7"/>
      <c r="AK11" s="7"/>
      <c r="AM11" s="7"/>
      <c r="AN11" s="7"/>
      <c r="AO11" s="7"/>
      <c r="AP11" s="7"/>
      <c r="AQ11" s="7"/>
      <c r="AU11" s="1">
        <v>18</v>
      </c>
      <c r="AV11" s="1">
        <v>18</v>
      </c>
      <c r="AW11" s="12">
        <v>18</v>
      </c>
      <c r="AX11" s="12">
        <v>18</v>
      </c>
      <c r="AY11" s="12"/>
      <c r="AZ11" s="12"/>
      <c r="BA11" s="12">
        <v>18</v>
      </c>
      <c r="BB11" s="12">
        <v>18</v>
      </c>
      <c r="BC11" s="12">
        <v>18</v>
      </c>
      <c r="BD11" s="12"/>
      <c r="BE11" s="12"/>
      <c r="BG11" s="12">
        <v>18</v>
      </c>
      <c r="BI11" s="12">
        <v>18</v>
      </c>
      <c r="BJ11" s="1">
        <v>19</v>
      </c>
      <c r="BK11" s="1">
        <v>19</v>
      </c>
      <c r="BL11" s="1">
        <v>19</v>
      </c>
      <c r="BM11" s="1">
        <v>19</v>
      </c>
    </row>
    <row r="12" spans="1:68" x14ac:dyDescent="0.2">
      <c r="A12" s="1" t="s">
        <v>365</v>
      </c>
      <c r="B12" s="1" t="s">
        <v>142</v>
      </c>
      <c r="C12" s="1">
        <v>2023</v>
      </c>
      <c r="D12" s="1">
        <v>1</v>
      </c>
      <c r="E12" s="1">
        <v>0</v>
      </c>
      <c r="F12" s="1">
        <v>0</v>
      </c>
      <c r="G12" s="18">
        <v>2864</v>
      </c>
      <c r="H12" s="18"/>
      <c r="I12" s="18">
        <v>3370</v>
      </c>
      <c r="J12" s="18"/>
      <c r="K12" s="18">
        <v>11076</v>
      </c>
      <c r="L12" s="18"/>
      <c r="M12" s="18">
        <v>11390</v>
      </c>
      <c r="N12" s="18"/>
      <c r="O12" s="19"/>
      <c r="P12" s="8"/>
      <c r="Q12" s="8">
        <f>500/8760</f>
        <v>5.7077625570776253E-2</v>
      </c>
      <c r="R12" s="19">
        <v>3370</v>
      </c>
      <c r="S12" s="18">
        <v>14760</v>
      </c>
      <c r="T12" s="8"/>
      <c r="U12" s="18"/>
      <c r="AE12" s="1">
        <v>0.25</v>
      </c>
      <c r="AG12" s="1" t="s">
        <v>454</v>
      </c>
      <c r="AH12" s="1">
        <f>7</f>
        <v>7</v>
      </c>
      <c r="AJ12" s="7">
        <f>30*Umrechnungsfaktoren!$B$15/Umrechnungsfaktoren!$B$10</f>
        <v>31.614213197969544</v>
      </c>
      <c r="AK12" s="7">
        <f>130*Umrechnungsfaktoren!$B$15/Umrechnungsfaktoren!$B$10</f>
        <v>136.99492385786803</v>
      </c>
      <c r="AM12" s="7">
        <f>0*Umrechnungsfaktoren!$B$15/Umrechnungsfaktoren!$B$10</f>
        <v>0</v>
      </c>
      <c r="AN12" s="7">
        <f>0*Umrechnungsfaktoren!$B$15/Umrechnungsfaktoren!$B$10</f>
        <v>0</v>
      </c>
      <c r="AO12" s="7">
        <f>0*Umrechnungsfaktoren!$B$15/Umrechnungsfaktoren!$B$10</f>
        <v>0</v>
      </c>
      <c r="AP12" s="7">
        <f>2*Umrechnungsfaktoren!$B$15/Umrechnungsfaktoren!$B$10</f>
        <v>2.1076142131979694</v>
      </c>
      <c r="AQ12" s="7">
        <f>9*Umrechnungsfaktoren!$B$15/Umrechnungsfaktoren!$B$10</f>
        <v>9.484263959390864</v>
      </c>
      <c r="AR12" s="1">
        <f>AVERAGE(Tabelle58971117[[#This Row],[fixe Kosten min. €_2018/kW*a]:[fixe Kosten max. €_2018/kW*a]])</f>
        <v>5.7959390862944167</v>
      </c>
      <c r="AU12" s="1">
        <v>18</v>
      </c>
      <c r="AV12" s="1">
        <v>18</v>
      </c>
      <c r="AW12" s="12">
        <v>18</v>
      </c>
      <c r="AX12" s="12">
        <v>18</v>
      </c>
      <c r="AY12" s="12"/>
      <c r="AZ12" s="12"/>
      <c r="BA12" s="12">
        <v>18</v>
      </c>
      <c r="BB12" s="12">
        <v>18</v>
      </c>
      <c r="BC12" s="12">
        <v>18</v>
      </c>
      <c r="BD12" s="12"/>
      <c r="BE12" s="12"/>
      <c r="BG12" s="12">
        <v>18</v>
      </c>
      <c r="BI12" s="12">
        <v>18</v>
      </c>
      <c r="BJ12" s="1">
        <v>19</v>
      </c>
      <c r="BK12" s="1">
        <v>19</v>
      </c>
      <c r="BL12" s="1">
        <v>19</v>
      </c>
      <c r="BM12" s="1">
        <v>19</v>
      </c>
    </row>
    <row r="13" spans="1:68" x14ac:dyDescent="0.2">
      <c r="A13" s="1" t="s">
        <v>365</v>
      </c>
      <c r="B13" s="1" t="s">
        <v>142</v>
      </c>
      <c r="C13" s="1">
        <v>2050</v>
      </c>
      <c r="D13" s="1">
        <v>1</v>
      </c>
      <c r="E13" s="1">
        <v>0</v>
      </c>
      <c r="F13" s="1">
        <v>0</v>
      </c>
      <c r="G13" s="18">
        <v>5729</v>
      </c>
      <c r="H13" s="18"/>
      <c r="I13" s="18">
        <v>8425</v>
      </c>
      <c r="J13" s="18"/>
      <c r="K13" s="18">
        <v>22151</v>
      </c>
      <c r="L13" s="18"/>
      <c r="M13" s="18">
        <v>28475</v>
      </c>
      <c r="N13" s="18"/>
      <c r="O13" s="19"/>
      <c r="P13" s="8"/>
      <c r="Q13" s="8">
        <f>500/8760</f>
        <v>5.7077625570776253E-2</v>
      </c>
      <c r="R13" s="19">
        <v>8425</v>
      </c>
      <c r="S13" s="18">
        <v>36900</v>
      </c>
      <c r="T13" s="8"/>
      <c r="U13" s="18"/>
      <c r="AE13" s="1">
        <v>0.25</v>
      </c>
      <c r="AG13" s="1" t="s">
        <v>454</v>
      </c>
      <c r="AH13" s="1">
        <f>7</f>
        <v>7</v>
      </c>
      <c r="AJ13" s="7"/>
      <c r="AK13" s="7"/>
      <c r="AM13" s="7"/>
      <c r="AN13" s="7"/>
      <c r="AO13" s="7"/>
      <c r="AP13" s="7"/>
      <c r="AQ13" s="7"/>
      <c r="AU13" s="1">
        <v>18</v>
      </c>
      <c r="AV13" s="1">
        <v>18</v>
      </c>
      <c r="AW13" s="12">
        <v>18</v>
      </c>
      <c r="AX13" s="12">
        <v>18</v>
      </c>
      <c r="AY13" s="12"/>
      <c r="AZ13" s="12"/>
      <c r="BA13" s="12">
        <v>18</v>
      </c>
      <c r="BB13" s="12">
        <v>18</v>
      </c>
      <c r="BC13" s="12">
        <v>18</v>
      </c>
      <c r="BD13" s="12"/>
      <c r="BE13" s="12"/>
      <c r="BG13" s="12">
        <v>18</v>
      </c>
      <c r="BI13" s="12">
        <v>18</v>
      </c>
      <c r="BJ13" s="1">
        <v>19</v>
      </c>
      <c r="BK13" s="1">
        <v>19</v>
      </c>
      <c r="BL13" s="1">
        <v>19</v>
      </c>
      <c r="BM13" s="1">
        <v>19</v>
      </c>
    </row>
    <row r="14" spans="1:68" x14ac:dyDescent="0.2">
      <c r="A14" s="1" t="s">
        <v>151</v>
      </c>
      <c r="B14" s="1" t="s">
        <v>142</v>
      </c>
      <c r="C14" s="1">
        <v>2013</v>
      </c>
      <c r="D14" s="1">
        <v>0</v>
      </c>
      <c r="E14" s="1">
        <v>1</v>
      </c>
      <c r="F14" s="1">
        <v>0</v>
      </c>
      <c r="G14" s="18">
        <v>1182</v>
      </c>
      <c r="H14" s="18"/>
      <c r="I14" s="18">
        <v>2250</v>
      </c>
      <c r="J14" s="18"/>
      <c r="K14" s="18"/>
      <c r="L14" s="18"/>
      <c r="M14" s="18"/>
      <c r="N14" s="18"/>
      <c r="O14" s="19"/>
      <c r="P14" s="8"/>
      <c r="Q14" s="8">
        <f>5400/8760</f>
        <v>0.61643835616438358</v>
      </c>
      <c r="R14" s="19">
        <v>2250</v>
      </c>
      <c r="S14" s="18">
        <v>2500</v>
      </c>
      <c r="T14" s="8"/>
      <c r="U14" s="18"/>
      <c r="AE14" s="1">
        <v>0.25</v>
      </c>
      <c r="AG14" s="1" t="s">
        <v>457</v>
      </c>
      <c r="AH14" s="1">
        <f>7</f>
        <v>7</v>
      </c>
      <c r="AJ14" s="7"/>
      <c r="AK14" s="7"/>
      <c r="AM14" s="7"/>
      <c r="AN14" s="7"/>
      <c r="AO14" s="7"/>
      <c r="AP14" s="7"/>
      <c r="AQ14" s="7"/>
      <c r="AU14" s="1">
        <v>20</v>
      </c>
      <c r="AV14" s="1">
        <v>20</v>
      </c>
      <c r="AW14" s="1">
        <v>20</v>
      </c>
      <c r="AX14" s="1">
        <v>20</v>
      </c>
      <c r="AY14" s="12"/>
      <c r="AZ14" s="12"/>
      <c r="BA14" s="12">
        <v>19</v>
      </c>
      <c r="BB14" s="12">
        <v>19</v>
      </c>
      <c r="BC14" s="12">
        <v>19</v>
      </c>
      <c r="BD14" s="12"/>
      <c r="BE14" s="12"/>
      <c r="BG14" s="12">
        <v>19</v>
      </c>
      <c r="BI14" s="12">
        <v>19</v>
      </c>
      <c r="BJ14" s="1">
        <v>20</v>
      </c>
      <c r="BK14" s="1">
        <v>21</v>
      </c>
      <c r="BL14" s="1">
        <v>21</v>
      </c>
      <c r="BM14" s="1">
        <v>21</v>
      </c>
    </row>
    <row r="15" spans="1:68" x14ac:dyDescent="0.2">
      <c r="A15" s="1" t="s">
        <v>151</v>
      </c>
      <c r="B15" s="1" t="s">
        <v>142</v>
      </c>
      <c r="C15" s="1">
        <v>2023</v>
      </c>
      <c r="D15" s="1">
        <v>0</v>
      </c>
      <c r="E15" s="1">
        <v>1</v>
      </c>
      <c r="F15" s="1">
        <v>0</v>
      </c>
      <c r="G15" s="18">
        <v>1281</v>
      </c>
      <c r="H15" s="18"/>
      <c r="I15" s="18">
        <v>2563</v>
      </c>
      <c r="J15" s="18"/>
      <c r="K15" s="18"/>
      <c r="L15" s="18"/>
      <c r="M15" s="18"/>
      <c r="N15" s="18"/>
      <c r="O15" s="19"/>
      <c r="P15" s="8"/>
      <c r="Q15" s="8">
        <f>6000/8760</f>
        <v>0.68493150684931503</v>
      </c>
      <c r="R15" s="19">
        <v>2563</v>
      </c>
      <c r="S15" s="18">
        <v>2563</v>
      </c>
      <c r="T15" s="8"/>
      <c r="U15" s="18"/>
      <c r="AE15" s="1">
        <v>0.25</v>
      </c>
      <c r="AG15" s="1" t="s">
        <v>457</v>
      </c>
      <c r="AH15" s="1">
        <f>7</f>
        <v>7</v>
      </c>
      <c r="AJ15" s="7">
        <f>30*Umrechnungsfaktoren!$B$15/Umrechnungsfaktoren!$B$10</f>
        <v>31.614213197969544</v>
      </c>
      <c r="AK15" s="7">
        <f>130*Umrechnungsfaktoren!$B$15/Umrechnungsfaktoren!$B$10</f>
        <v>136.99492385786803</v>
      </c>
      <c r="AM15" s="7">
        <f>0*Umrechnungsfaktoren!$B$15/Umrechnungsfaktoren!$B$10</f>
        <v>0</v>
      </c>
      <c r="AN15" s="7">
        <f>0*Umrechnungsfaktoren!$B$15/Umrechnungsfaktoren!$B$10</f>
        <v>0</v>
      </c>
      <c r="AO15" s="7">
        <f>0*Umrechnungsfaktoren!$B$15/Umrechnungsfaktoren!$B$10</f>
        <v>0</v>
      </c>
      <c r="AP15" s="7">
        <f>2*Umrechnungsfaktoren!$B$15/Umrechnungsfaktoren!$B$10</f>
        <v>2.1076142131979694</v>
      </c>
      <c r="AQ15" s="7">
        <f>9*Umrechnungsfaktoren!$B$15/Umrechnungsfaktoren!$B$10</f>
        <v>9.484263959390864</v>
      </c>
      <c r="AR15" s="1">
        <f>AVERAGE(Tabelle58971117[[#This Row],[fixe Kosten min. €_2018/kW*a]:[fixe Kosten max. €_2018/kW*a]])</f>
        <v>5.7959390862944167</v>
      </c>
      <c r="AU15" s="1">
        <v>20</v>
      </c>
      <c r="AV15" s="1">
        <v>20</v>
      </c>
      <c r="AW15" s="1">
        <v>20</v>
      </c>
      <c r="AX15" s="1">
        <v>20</v>
      </c>
      <c r="AY15" s="12"/>
      <c r="AZ15" s="12"/>
      <c r="BA15" s="12">
        <v>19</v>
      </c>
      <c r="BB15" s="12">
        <v>19</v>
      </c>
      <c r="BC15" s="12">
        <v>19</v>
      </c>
      <c r="BD15" s="12"/>
      <c r="BE15" s="12"/>
      <c r="BG15" s="12">
        <v>19</v>
      </c>
      <c r="BI15" s="12">
        <v>19</v>
      </c>
      <c r="BJ15" s="1">
        <v>20</v>
      </c>
      <c r="BK15" s="1">
        <v>21</v>
      </c>
      <c r="BL15" s="1">
        <v>21</v>
      </c>
      <c r="BM15" s="1">
        <v>21</v>
      </c>
    </row>
    <row r="16" spans="1:68" x14ac:dyDescent="0.2">
      <c r="A16" s="1" t="s">
        <v>151</v>
      </c>
      <c r="B16" s="1" t="s">
        <v>142</v>
      </c>
      <c r="C16" s="1">
        <v>2050</v>
      </c>
      <c r="D16" s="1">
        <v>0</v>
      </c>
      <c r="E16" s="1">
        <v>1</v>
      </c>
      <c r="F16" s="1">
        <v>0</v>
      </c>
      <c r="G16" s="18">
        <v>256</v>
      </c>
      <c r="H16" s="18"/>
      <c r="I16" s="18">
        <v>1281</v>
      </c>
      <c r="J16" s="18"/>
      <c r="K16" s="18"/>
      <c r="L16" s="18"/>
      <c r="M16" s="18"/>
      <c r="N16" s="18"/>
      <c r="O16" s="19"/>
      <c r="P16" s="8"/>
      <c r="Q16" s="8">
        <f>6000/8760</f>
        <v>0.68493150684931503</v>
      </c>
      <c r="R16" s="19">
        <v>1281</v>
      </c>
      <c r="S16" s="18">
        <v>1281</v>
      </c>
      <c r="T16" s="8"/>
      <c r="U16" s="18"/>
      <c r="AE16" s="1">
        <v>0.25</v>
      </c>
      <c r="AG16" s="1" t="s">
        <v>457</v>
      </c>
      <c r="AH16" s="1">
        <f>7</f>
        <v>7</v>
      </c>
      <c r="AJ16" s="7"/>
      <c r="AK16" s="7"/>
      <c r="AM16" s="7"/>
      <c r="AN16" s="7"/>
      <c r="AO16" s="7"/>
      <c r="AP16" s="7"/>
      <c r="AQ16" s="7"/>
      <c r="AU16" s="1">
        <v>20</v>
      </c>
      <c r="AV16" s="1">
        <v>20</v>
      </c>
      <c r="AW16" s="1">
        <v>20</v>
      </c>
      <c r="AX16" s="1">
        <v>20</v>
      </c>
      <c r="AY16" s="12"/>
      <c r="AZ16" s="12"/>
      <c r="BA16" s="12">
        <v>19</v>
      </c>
      <c r="BB16" s="12">
        <v>19</v>
      </c>
      <c r="BC16" s="12">
        <v>19</v>
      </c>
      <c r="BD16" s="12"/>
      <c r="BE16" s="12"/>
      <c r="BG16" s="12">
        <v>19</v>
      </c>
      <c r="BI16" s="12">
        <v>19</v>
      </c>
      <c r="BJ16" s="1">
        <v>20</v>
      </c>
      <c r="BK16" s="1">
        <v>21</v>
      </c>
      <c r="BL16" s="1">
        <v>21</v>
      </c>
      <c r="BM16" s="1">
        <v>21</v>
      </c>
    </row>
    <row r="17" spans="1:65" x14ac:dyDescent="0.2">
      <c r="A17" s="1" t="s">
        <v>138</v>
      </c>
      <c r="B17" s="1" t="s">
        <v>142</v>
      </c>
      <c r="C17" s="1">
        <v>2013</v>
      </c>
      <c r="D17" s="1">
        <v>1</v>
      </c>
      <c r="E17" s="1">
        <v>0</v>
      </c>
      <c r="F17" s="1">
        <v>0</v>
      </c>
      <c r="G17" s="18">
        <v>5510</v>
      </c>
      <c r="H17" s="18"/>
      <c r="I17" s="18">
        <v>5510</v>
      </c>
      <c r="J17" s="18"/>
      <c r="K17" s="18">
        <v>9690</v>
      </c>
      <c r="L17" s="18"/>
      <c r="M17" s="18">
        <v>40090</v>
      </c>
      <c r="N17" s="18"/>
      <c r="O17" s="19"/>
      <c r="P17" s="8"/>
      <c r="Q17" s="8">
        <f>353/8760</f>
        <v>4.029680365296804E-2</v>
      </c>
      <c r="R17" s="19">
        <v>5510</v>
      </c>
      <c r="S17" s="18">
        <v>45600</v>
      </c>
      <c r="T17" s="8"/>
      <c r="U17" s="18"/>
      <c r="AC17" s="1">
        <v>1</v>
      </c>
      <c r="AD17" s="1">
        <v>24</v>
      </c>
      <c r="AG17" s="1" t="s">
        <v>455</v>
      </c>
      <c r="AH17" s="1">
        <f>7</f>
        <v>7</v>
      </c>
      <c r="AJ17" s="7"/>
      <c r="AK17" s="7"/>
      <c r="AM17" s="7"/>
      <c r="AN17" s="7"/>
      <c r="AO17" s="7"/>
      <c r="AP17" s="7"/>
      <c r="AQ17" s="7"/>
      <c r="AU17" s="1">
        <v>22</v>
      </c>
      <c r="AV17" s="1">
        <v>22</v>
      </c>
      <c r="AW17" s="1">
        <v>22</v>
      </c>
      <c r="AX17" s="1">
        <v>22</v>
      </c>
      <c r="AY17" s="12"/>
      <c r="AZ17" s="12"/>
      <c r="BA17" s="1">
        <v>22</v>
      </c>
      <c r="BB17" s="1">
        <v>22</v>
      </c>
      <c r="BC17" s="1">
        <v>22</v>
      </c>
      <c r="BD17" s="12"/>
      <c r="BE17" s="12"/>
      <c r="BG17" s="1">
        <v>21</v>
      </c>
      <c r="BI17" s="1">
        <v>21</v>
      </c>
      <c r="BJ17" s="1">
        <v>22</v>
      </c>
      <c r="BK17" s="1" t="s">
        <v>456</v>
      </c>
      <c r="BL17" s="1" t="s">
        <v>456</v>
      </c>
      <c r="BM17" s="1" t="s">
        <v>456</v>
      </c>
    </row>
    <row r="18" spans="1:65" x14ac:dyDescent="0.2">
      <c r="A18" s="1" t="s">
        <v>138</v>
      </c>
      <c r="B18" s="1" t="s">
        <v>142</v>
      </c>
      <c r="C18" s="1">
        <v>2023</v>
      </c>
      <c r="D18" s="1">
        <v>1</v>
      </c>
      <c r="E18" s="1">
        <v>0</v>
      </c>
      <c r="F18" s="1">
        <v>0</v>
      </c>
      <c r="G18" s="18">
        <v>5648</v>
      </c>
      <c r="H18" s="18"/>
      <c r="I18" s="18">
        <v>5648</v>
      </c>
      <c r="J18" s="18"/>
      <c r="K18" s="18">
        <v>9932</v>
      </c>
      <c r="L18" s="18"/>
      <c r="M18" s="18">
        <v>41092</v>
      </c>
      <c r="N18" s="18"/>
      <c r="O18" s="19"/>
      <c r="P18" s="8"/>
      <c r="Q18" s="8">
        <f>353/8760</f>
        <v>4.029680365296804E-2</v>
      </c>
      <c r="R18" s="19">
        <v>5648</v>
      </c>
      <c r="S18" s="18">
        <v>46740</v>
      </c>
      <c r="T18" s="8"/>
      <c r="U18" s="18"/>
      <c r="AC18" s="1">
        <v>1</v>
      </c>
      <c r="AD18" s="1">
        <v>24</v>
      </c>
      <c r="AG18" s="1" t="s">
        <v>455</v>
      </c>
      <c r="AH18" s="1">
        <f>7</f>
        <v>7</v>
      </c>
      <c r="AJ18" s="7">
        <f>30*Umrechnungsfaktoren!$B$15/Umrechnungsfaktoren!$B$10</f>
        <v>31.614213197969544</v>
      </c>
      <c r="AK18" s="7">
        <f>130*Umrechnungsfaktoren!$B$15/Umrechnungsfaktoren!$B$10</f>
        <v>136.99492385786803</v>
      </c>
      <c r="AM18" s="7">
        <f>0*Umrechnungsfaktoren!$B$15/Umrechnungsfaktoren!$B$10</f>
        <v>0</v>
      </c>
      <c r="AN18" s="7">
        <f>0*Umrechnungsfaktoren!$B$15/Umrechnungsfaktoren!$B$10</f>
        <v>0</v>
      </c>
      <c r="AO18" s="7">
        <f>0*Umrechnungsfaktoren!$B$15/Umrechnungsfaktoren!$B$10</f>
        <v>0</v>
      </c>
      <c r="AP18" s="7">
        <f>2*Umrechnungsfaktoren!$B$15/Umrechnungsfaktoren!$B$10</f>
        <v>2.1076142131979694</v>
      </c>
      <c r="AQ18" s="7">
        <f>9*Umrechnungsfaktoren!$B$15/Umrechnungsfaktoren!$B$10</f>
        <v>9.484263959390864</v>
      </c>
      <c r="AR18" s="1">
        <f>AVERAGE(Tabelle58971117[[#This Row],[fixe Kosten min. €_2018/kW*a]:[fixe Kosten max. €_2018/kW*a]])</f>
        <v>5.7959390862944167</v>
      </c>
      <c r="AU18" s="1">
        <v>22</v>
      </c>
      <c r="AV18" s="1">
        <v>22</v>
      </c>
      <c r="AW18" s="1">
        <v>22</v>
      </c>
      <c r="AX18" s="1">
        <v>22</v>
      </c>
      <c r="AY18" s="12"/>
      <c r="AZ18" s="12"/>
      <c r="BA18" s="1">
        <v>22</v>
      </c>
      <c r="BB18" s="1">
        <v>22</v>
      </c>
      <c r="BC18" s="1">
        <v>22</v>
      </c>
      <c r="BD18" s="12"/>
      <c r="BE18" s="12"/>
      <c r="BG18" s="1">
        <v>21</v>
      </c>
      <c r="BI18" s="1">
        <v>21</v>
      </c>
      <c r="BJ18" s="1">
        <v>22</v>
      </c>
      <c r="BK18" s="1" t="s">
        <v>456</v>
      </c>
      <c r="BL18" s="1" t="s">
        <v>456</v>
      </c>
      <c r="BM18" s="1" t="s">
        <v>456</v>
      </c>
    </row>
    <row r="19" spans="1:65" x14ac:dyDescent="0.2">
      <c r="A19" s="1" t="s">
        <v>138</v>
      </c>
      <c r="B19" s="1" t="s">
        <v>142</v>
      </c>
      <c r="C19" s="1">
        <v>2050</v>
      </c>
      <c r="D19" s="1">
        <v>1</v>
      </c>
      <c r="E19" s="1">
        <v>0</v>
      </c>
      <c r="F19" s="1">
        <v>0</v>
      </c>
      <c r="G19" s="18">
        <v>5648</v>
      </c>
      <c r="H19" s="18"/>
      <c r="I19" s="18">
        <v>5648</v>
      </c>
      <c r="J19" s="18"/>
      <c r="K19" s="18">
        <v>9932</v>
      </c>
      <c r="L19" s="18"/>
      <c r="M19" s="18">
        <v>41092</v>
      </c>
      <c r="N19" s="18"/>
      <c r="O19" s="19"/>
      <c r="P19" s="8"/>
      <c r="Q19" s="8">
        <f>353/8760</f>
        <v>4.029680365296804E-2</v>
      </c>
      <c r="R19" s="19">
        <v>5648</v>
      </c>
      <c r="S19" s="18">
        <v>46740</v>
      </c>
      <c r="T19" s="8"/>
      <c r="U19" s="18"/>
      <c r="AC19" s="1">
        <v>1</v>
      </c>
      <c r="AD19" s="1">
        <v>24</v>
      </c>
      <c r="AG19" s="1" t="s">
        <v>455</v>
      </c>
      <c r="AH19" s="1">
        <f>7</f>
        <v>7</v>
      </c>
      <c r="AJ19" s="7"/>
      <c r="AK19" s="7"/>
      <c r="AM19" s="7"/>
      <c r="AN19" s="7"/>
      <c r="AO19" s="7"/>
      <c r="AP19" s="7"/>
      <c r="AQ19" s="7"/>
      <c r="AU19" s="1">
        <v>22</v>
      </c>
      <c r="AV19" s="1">
        <v>22</v>
      </c>
      <c r="AW19" s="1">
        <v>22</v>
      </c>
      <c r="AX19" s="1">
        <v>22</v>
      </c>
      <c r="AY19" s="12"/>
      <c r="AZ19" s="12"/>
      <c r="BA19" s="1">
        <v>22</v>
      </c>
      <c r="BB19" s="1">
        <v>22</v>
      </c>
      <c r="BC19" s="1">
        <v>22</v>
      </c>
      <c r="BD19" s="12"/>
      <c r="BE19" s="12"/>
      <c r="BG19" s="1">
        <v>21</v>
      </c>
      <c r="BI19" s="1">
        <v>21</v>
      </c>
      <c r="BJ19" s="1">
        <v>22</v>
      </c>
      <c r="BK19" s="1" t="s">
        <v>456</v>
      </c>
      <c r="BL19" s="1" t="s">
        <v>456</v>
      </c>
      <c r="BM19" s="1" t="s">
        <v>456</v>
      </c>
    </row>
    <row r="20" spans="1:65" x14ac:dyDescent="0.2">
      <c r="A20" s="1" t="s">
        <v>212</v>
      </c>
      <c r="B20" s="1" t="s">
        <v>130</v>
      </c>
      <c r="C20" s="1">
        <v>2013</v>
      </c>
      <c r="D20" s="1">
        <v>1</v>
      </c>
      <c r="E20" s="1">
        <v>0</v>
      </c>
      <c r="F20" s="1">
        <v>0</v>
      </c>
      <c r="G20" s="18">
        <v>776</v>
      </c>
      <c r="H20" s="18"/>
      <c r="I20" s="18">
        <v>868</v>
      </c>
      <c r="J20" s="18"/>
      <c r="K20" s="18">
        <v>1832</v>
      </c>
      <c r="L20" s="18"/>
      <c r="M20" s="18">
        <v>1924</v>
      </c>
      <c r="N20" s="18"/>
      <c r="O20" s="19"/>
      <c r="P20" s="8"/>
      <c r="Q20" s="8">
        <f>421/8760</f>
        <v>4.8059360730593609E-2</v>
      </c>
      <c r="R20" s="19">
        <v>868</v>
      </c>
      <c r="S20" s="18">
        <v>2700</v>
      </c>
      <c r="T20" s="8"/>
      <c r="U20" s="18"/>
      <c r="AE20" s="1">
        <v>0.25</v>
      </c>
      <c r="AG20" s="1" t="s">
        <v>454</v>
      </c>
      <c r="AJ20" s="7"/>
      <c r="AK20" s="7"/>
      <c r="AM20" s="7"/>
      <c r="AN20" s="7"/>
      <c r="AO20" s="7"/>
      <c r="AP20" s="7"/>
      <c r="AQ20" s="7"/>
      <c r="AU20" s="1">
        <v>31</v>
      </c>
      <c r="AV20" s="1">
        <v>31</v>
      </c>
      <c r="AW20" s="1">
        <v>31</v>
      </c>
      <c r="AX20" s="1">
        <v>31</v>
      </c>
      <c r="AY20" s="12"/>
      <c r="AZ20" s="12"/>
      <c r="BA20" s="1">
        <v>31</v>
      </c>
      <c r="BB20" s="1">
        <v>31</v>
      </c>
      <c r="BC20" s="1">
        <v>31</v>
      </c>
      <c r="BD20" s="12"/>
      <c r="BE20" s="12"/>
      <c r="BG20" s="1">
        <v>31</v>
      </c>
      <c r="BI20" s="1">
        <v>31</v>
      </c>
      <c r="BK20" s="1">
        <v>32</v>
      </c>
      <c r="BL20" s="1">
        <v>32</v>
      </c>
      <c r="BM20" s="1">
        <v>32</v>
      </c>
    </row>
    <row r="21" spans="1:65" x14ac:dyDescent="0.2">
      <c r="A21" s="1" t="s">
        <v>212</v>
      </c>
      <c r="B21" s="1" t="s">
        <v>130</v>
      </c>
      <c r="C21" s="1">
        <v>2023</v>
      </c>
      <c r="D21" s="1">
        <v>1</v>
      </c>
      <c r="E21" s="1">
        <v>0</v>
      </c>
      <c r="F21" s="1">
        <v>0</v>
      </c>
      <c r="G21" s="18">
        <v>13</v>
      </c>
      <c r="H21" s="18"/>
      <c r="I21" s="18">
        <v>1370</v>
      </c>
      <c r="J21" s="18"/>
      <c r="K21" s="18">
        <v>3087</v>
      </c>
      <c r="L21" s="18"/>
      <c r="M21" s="18">
        <v>2630</v>
      </c>
      <c r="N21" s="18"/>
      <c r="O21" s="19"/>
      <c r="P21" s="8"/>
      <c r="Q21" s="8">
        <f>421/8760</f>
        <v>4.8059360730593609E-2</v>
      </c>
      <c r="R21" s="19">
        <v>1370</v>
      </c>
      <c r="S21" s="18">
        <v>5000</v>
      </c>
      <c r="T21" s="8"/>
      <c r="U21" s="18"/>
      <c r="AE21" s="1">
        <v>0.25</v>
      </c>
      <c r="AG21" s="1" t="s">
        <v>454</v>
      </c>
      <c r="AJ21" s="7"/>
      <c r="AK21" s="7"/>
      <c r="AM21" s="7"/>
      <c r="AN21" s="7"/>
      <c r="AO21" s="7"/>
      <c r="AP21" s="7"/>
      <c r="AQ21" s="7"/>
      <c r="AU21" s="1">
        <v>31</v>
      </c>
      <c r="AV21" s="1">
        <v>31</v>
      </c>
      <c r="AW21" s="1">
        <v>31</v>
      </c>
      <c r="AX21" s="1">
        <v>31</v>
      </c>
      <c r="AY21" s="12"/>
      <c r="AZ21" s="12"/>
      <c r="BA21" s="1">
        <v>31</v>
      </c>
      <c r="BB21" s="1">
        <v>31</v>
      </c>
      <c r="BC21" s="1">
        <v>31</v>
      </c>
      <c r="BD21" s="12"/>
      <c r="BE21" s="12"/>
      <c r="BG21" s="1">
        <v>31</v>
      </c>
      <c r="BI21" s="1">
        <v>31</v>
      </c>
      <c r="BK21" s="1">
        <v>32</v>
      </c>
      <c r="BL21" s="1">
        <v>32</v>
      </c>
      <c r="BM21" s="1">
        <v>32</v>
      </c>
    </row>
    <row r="22" spans="1:65" x14ac:dyDescent="0.2">
      <c r="A22" s="1" t="s">
        <v>212</v>
      </c>
      <c r="B22" s="1" t="s">
        <v>130</v>
      </c>
      <c r="C22" s="1">
        <v>2050</v>
      </c>
      <c r="D22" s="1">
        <v>1</v>
      </c>
      <c r="E22" s="1">
        <v>0</v>
      </c>
      <c r="F22" s="1">
        <v>0</v>
      </c>
      <c r="G22" s="18">
        <v>1553</v>
      </c>
      <c r="H22" s="18"/>
      <c r="I22" s="18">
        <v>1735</v>
      </c>
      <c r="J22" s="18"/>
      <c r="K22" s="18">
        <v>3665</v>
      </c>
      <c r="L22" s="18"/>
      <c r="M22" s="18">
        <v>3847</v>
      </c>
      <c r="N22" s="18"/>
      <c r="O22" s="19"/>
      <c r="P22" s="8"/>
      <c r="Q22" s="8">
        <f>421/8760</f>
        <v>4.8059360730593609E-2</v>
      </c>
      <c r="R22" s="19">
        <v>1735</v>
      </c>
      <c r="S22" s="18">
        <v>5400</v>
      </c>
      <c r="T22" s="8"/>
      <c r="U22" s="18"/>
      <c r="AE22" s="1">
        <v>0.25</v>
      </c>
      <c r="AG22" s="1" t="s">
        <v>454</v>
      </c>
      <c r="AJ22" s="7"/>
      <c r="AK22" s="7"/>
      <c r="AL22" s="7">
        <f>25*Umrechnungsfaktoren!$B$15/Umrechnungsfaktoren!$B$10</f>
        <v>26.345177664974621</v>
      </c>
      <c r="AM22" s="7"/>
      <c r="AN22" s="7"/>
      <c r="AO22" s="7">
        <f>0*Umrechnungsfaktoren!$B$15/Umrechnungsfaktoren!$B$10</f>
        <v>0</v>
      </c>
      <c r="AP22" s="7"/>
      <c r="AQ22" s="7"/>
      <c r="AR22" s="7">
        <f>10*Umrechnungsfaktoren!$B$15/Umrechnungsfaktoren!$B$10</f>
        <v>10.538071065989849</v>
      </c>
      <c r="AU22" s="1">
        <v>31</v>
      </c>
      <c r="AV22" s="1">
        <v>31</v>
      </c>
      <c r="AW22" s="1">
        <v>31</v>
      </c>
      <c r="AX22" s="1">
        <v>31</v>
      </c>
      <c r="AY22" s="12"/>
      <c r="AZ22" s="12"/>
      <c r="BA22" s="1">
        <v>31</v>
      </c>
      <c r="BB22" s="1">
        <v>31</v>
      </c>
      <c r="BC22" s="1">
        <v>31</v>
      </c>
      <c r="BD22" s="12"/>
      <c r="BE22" s="12"/>
      <c r="BG22" s="1">
        <v>31</v>
      </c>
      <c r="BI22" s="1">
        <v>31</v>
      </c>
      <c r="BK22" s="1">
        <v>32</v>
      </c>
      <c r="BL22" s="1">
        <v>32</v>
      </c>
      <c r="BM22" s="1">
        <v>32</v>
      </c>
    </row>
    <row r="23" spans="1:65" x14ac:dyDescent="0.2">
      <c r="A23" s="1" t="s">
        <v>1015</v>
      </c>
      <c r="B23" s="1" t="s">
        <v>130</v>
      </c>
      <c r="C23" s="1">
        <v>2013</v>
      </c>
      <c r="D23" s="1">
        <v>1</v>
      </c>
      <c r="E23" s="1">
        <v>0</v>
      </c>
      <c r="F23" s="1">
        <v>0</v>
      </c>
      <c r="G23" s="18">
        <v>2922</v>
      </c>
      <c r="H23" s="18"/>
      <c r="I23" s="18">
        <v>3002</v>
      </c>
      <c r="J23" s="18"/>
      <c r="K23" s="18">
        <v>19732</v>
      </c>
      <c r="L23" s="18"/>
      <c r="M23" s="18">
        <v>20272</v>
      </c>
      <c r="N23" s="18"/>
      <c r="O23" s="19"/>
      <c r="P23" s="8"/>
      <c r="Q23" s="8">
        <f>1130/8760</f>
        <v>0.12899543378995434</v>
      </c>
      <c r="R23" s="19">
        <v>3002</v>
      </c>
      <c r="S23" s="18">
        <v>23274</v>
      </c>
      <c r="T23" s="8"/>
      <c r="U23" s="18"/>
      <c r="AE23" s="1">
        <v>0.25</v>
      </c>
      <c r="AG23" s="1" t="s">
        <v>452</v>
      </c>
      <c r="AJ23" s="7"/>
      <c r="AK23" s="7"/>
      <c r="AM23" s="7"/>
      <c r="AN23" s="7"/>
      <c r="AO23" s="7"/>
      <c r="AP23" s="7"/>
      <c r="AQ23" s="7"/>
      <c r="AU23" s="1">
        <v>33</v>
      </c>
      <c r="AV23" s="1">
        <v>33</v>
      </c>
      <c r="AW23" s="1">
        <v>33</v>
      </c>
      <c r="AX23" s="1">
        <v>33</v>
      </c>
      <c r="AY23" s="12"/>
      <c r="AZ23" s="12"/>
      <c r="BA23" s="1">
        <v>32</v>
      </c>
      <c r="BB23" s="1">
        <v>32</v>
      </c>
      <c r="BC23" s="1">
        <v>32</v>
      </c>
      <c r="BD23" s="12"/>
      <c r="BE23" s="12"/>
      <c r="BG23" s="1">
        <v>32</v>
      </c>
      <c r="BI23" s="1">
        <v>32</v>
      </c>
      <c r="BK23" s="1">
        <v>33</v>
      </c>
      <c r="BL23" s="1">
        <v>33</v>
      </c>
      <c r="BM23" s="1">
        <v>33</v>
      </c>
    </row>
    <row r="24" spans="1:65" x14ac:dyDescent="0.2">
      <c r="A24" s="1" t="s">
        <v>1015</v>
      </c>
      <c r="B24" s="1" t="s">
        <v>130</v>
      </c>
      <c r="C24" s="1">
        <v>2023</v>
      </c>
      <c r="D24" s="1">
        <v>1</v>
      </c>
      <c r="E24" s="1">
        <v>0</v>
      </c>
      <c r="F24" s="1">
        <v>0</v>
      </c>
      <c r="G24" s="18">
        <v>2801</v>
      </c>
      <c r="H24" s="18"/>
      <c r="I24" s="18">
        <v>2950</v>
      </c>
      <c r="J24" s="18"/>
      <c r="K24" s="18">
        <v>18194</v>
      </c>
      <c r="L24" s="18"/>
      <c r="M24" s="18">
        <v>19917</v>
      </c>
      <c r="N24" s="18"/>
      <c r="O24" s="19"/>
      <c r="P24" s="8"/>
      <c r="Q24" s="8">
        <f>1130/8760</f>
        <v>0.12899543378995434</v>
      </c>
      <c r="R24" s="19">
        <v>2950</v>
      </c>
      <c r="S24" s="18">
        <v>22867</v>
      </c>
      <c r="T24" s="8"/>
      <c r="U24" s="18"/>
      <c r="AE24" s="1">
        <v>0.25</v>
      </c>
      <c r="AG24" s="1" t="s">
        <v>452</v>
      </c>
      <c r="AJ24" s="7"/>
      <c r="AK24" s="7"/>
      <c r="AM24" s="7"/>
      <c r="AN24" s="7"/>
      <c r="AO24" s="7"/>
      <c r="AP24" s="7"/>
      <c r="AQ24" s="7"/>
      <c r="AU24" s="1">
        <v>33</v>
      </c>
      <c r="AV24" s="1">
        <v>33</v>
      </c>
      <c r="AW24" s="1">
        <v>33</v>
      </c>
      <c r="AX24" s="1">
        <v>33</v>
      </c>
      <c r="AY24" s="12"/>
      <c r="AZ24" s="12"/>
      <c r="BA24" s="1">
        <v>32</v>
      </c>
      <c r="BB24" s="1">
        <v>32</v>
      </c>
      <c r="BC24" s="1">
        <v>32</v>
      </c>
      <c r="BD24" s="12"/>
      <c r="BE24" s="12"/>
      <c r="BG24" s="1">
        <v>32</v>
      </c>
      <c r="BI24" s="1">
        <v>32</v>
      </c>
      <c r="BK24" s="1">
        <v>33</v>
      </c>
      <c r="BL24" s="1">
        <v>33</v>
      </c>
      <c r="BM24" s="1">
        <v>33</v>
      </c>
    </row>
    <row r="25" spans="1:65" x14ac:dyDescent="0.2">
      <c r="A25" s="1" t="s">
        <v>1015</v>
      </c>
      <c r="B25" s="1" t="s">
        <v>130</v>
      </c>
      <c r="C25" s="1">
        <v>2050</v>
      </c>
      <c r="D25" s="1">
        <v>1</v>
      </c>
      <c r="E25" s="1">
        <v>0</v>
      </c>
      <c r="F25" s="1">
        <v>0</v>
      </c>
      <c r="G25" s="18">
        <v>2569</v>
      </c>
      <c r="H25" s="18"/>
      <c r="I25" s="18">
        <v>2847</v>
      </c>
      <c r="J25" s="18"/>
      <c r="K25" s="18">
        <v>17344</v>
      </c>
      <c r="L25" s="18"/>
      <c r="M25" s="18">
        <v>19220</v>
      </c>
      <c r="N25" s="18"/>
      <c r="O25" s="19"/>
      <c r="P25" s="8"/>
      <c r="Q25" s="8">
        <f>1130/8760</f>
        <v>0.12899543378995434</v>
      </c>
      <c r="R25" s="19">
        <v>2847</v>
      </c>
      <c r="S25" s="18">
        <v>22067</v>
      </c>
      <c r="T25" s="8"/>
      <c r="U25" s="18"/>
      <c r="AE25" s="1">
        <v>0.25</v>
      </c>
      <c r="AG25" s="1" t="s">
        <v>452</v>
      </c>
      <c r="AJ25" s="7"/>
      <c r="AK25" s="7"/>
      <c r="AL25" s="7">
        <f>25*Umrechnungsfaktoren!$B$15/Umrechnungsfaktoren!$B$10</f>
        <v>26.345177664974621</v>
      </c>
      <c r="AM25" s="7"/>
      <c r="AN25" s="7"/>
      <c r="AO25" s="7">
        <f>0*Umrechnungsfaktoren!$B$15/Umrechnungsfaktoren!$B$10</f>
        <v>0</v>
      </c>
      <c r="AP25" s="7"/>
      <c r="AQ25" s="7"/>
      <c r="AR25" s="7">
        <f>10*Umrechnungsfaktoren!$B$15/Umrechnungsfaktoren!$B$10</f>
        <v>10.538071065989849</v>
      </c>
      <c r="AU25" s="1">
        <v>33</v>
      </c>
      <c r="AV25" s="1">
        <v>33</v>
      </c>
      <c r="AW25" s="1">
        <v>33</v>
      </c>
      <c r="AX25" s="1">
        <v>33</v>
      </c>
      <c r="AY25" s="12"/>
      <c r="AZ25" s="12"/>
      <c r="BA25" s="1">
        <v>32</v>
      </c>
      <c r="BB25" s="1">
        <v>32</v>
      </c>
      <c r="BC25" s="1">
        <v>32</v>
      </c>
      <c r="BD25" s="12"/>
      <c r="BE25" s="12"/>
      <c r="BG25" s="1">
        <v>32</v>
      </c>
      <c r="BI25" s="1">
        <v>32</v>
      </c>
      <c r="BK25" s="1">
        <v>33</v>
      </c>
      <c r="BL25" s="1">
        <v>33</v>
      </c>
      <c r="BM25" s="1">
        <v>33</v>
      </c>
    </row>
    <row r="26" spans="1:65" x14ac:dyDescent="0.2">
      <c r="A26" s="1" t="s">
        <v>209</v>
      </c>
      <c r="B26" s="1" t="s">
        <v>130</v>
      </c>
      <c r="C26" s="1">
        <v>2013</v>
      </c>
      <c r="D26" s="1">
        <v>1</v>
      </c>
      <c r="E26" s="1">
        <v>0</v>
      </c>
      <c r="F26" s="1">
        <v>0</v>
      </c>
      <c r="G26" s="18">
        <v>856</v>
      </c>
      <c r="H26" s="18"/>
      <c r="I26" s="18">
        <v>913</v>
      </c>
      <c r="J26" s="18"/>
      <c r="K26" s="18">
        <v>428</v>
      </c>
      <c r="L26" s="18"/>
      <c r="M26" s="18">
        <v>457</v>
      </c>
      <c r="N26" s="18"/>
      <c r="O26" s="19"/>
      <c r="P26" s="8"/>
      <c r="Q26" s="8">
        <f>5840/8760</f>
        <v>0.66666666666666663</v>
      </c>
      <c r="R26" s="19">
        <v>913</v>
      </c>
      <c r="S26" s="18">
        <v>1370</v>
      </c>
      <c r="T26" s="8"/>
      <c r="U26" s="18"/>
      <c r="AE26" s="1">
        <v>0.25</v>
      </c>
      <c r="AG26" s="1" t="s">
        <v>458</v>
      </c>
      <c r="AJ26" s="7"/>
      <c r="AK26" s="7"/>
      <c r="AM26" s="7"/>
      <c r="AN26" s="7"/>
      <c r="AO26" s="7"/>
      <c r="AP26" s="7"/>
      <c r="AQ26" s="7"/>
      <c r="AU26" s="1">
        <v>34</v>
      </c>
      <c r="AV26" s="1">
        <v>34</v>
      </c>
      <c r="AW26" s="1">
        <v>34</v>
      </c>
      <c r="AX26" s="1">
        <v>34</v>
      </c>
      <c r="AY26" s="12"/>
      <c r="AZ26" s="12"/>
      <c r="BA26" s="1">
        <v>34</v>
      </c>
      <c r="BB26" s="1">
        <v>34</v>
      </c>
      <c r="BC26" s="1">
        <v>34</v>
      </c>
      <c r="BD26" s="12"/>
      <c r="BE26" s="12"/>
      <c r="BG26" s="1">
        <v>34</v>
      </c>
      <c r="BI26" s="1">
        <v>33</v>
      </c>
      <c r="BK26" s="1">
        <v>34</v>
      </c>
      <c r="BL26" s="1">
        <v>34</v>
      </c>
      <c r="BM26" s="1">
        <v>34</v>
      </c>
    </row>
    <row r="27" spans="1:65" x14ac:dyDescent="0.2">
      <c r="A27" s="1" t="s">
        <v>209</v>
      </c>
      <c r="B27" s="1" t="s">
        <v>130</v>
      </c>
      <c r="C27" s="1">
        <v>2023</v>
      </c>
      <c r="D27" s="1">
        <v>1</v>
      </c>
      <c r="E27" s="1">
        <v>0</v>
      </c>
      <c r="F27" s="1">
        <v>0</v>
      </c>
      <c r="G27" s="18">
        <v>856</v>
      </c>
      <c r="H27" s="18"/>
      <c r="I27" s="18">
        <v>913</v>
      </c>
      <c r="J27" s="18"/>
      <c r="K27" s="18">
        <v>428</v>
      </c>
      <c r="L27" s="18"/>
      <c r="M27" s="18">
        <v>457</v>
      </c>
      <c r="N27" s="18"/>
      <c r="O27" s="19"/>
      <c r="P27" s="8"/>
      <c r="Q27" s="8">
        <f>5840/8760</f>
        <v>0.66666666666666663</v>
      </c>
      <c r="R27" s="19">
        <v>913</v>
      </c>
      <c r="S27" s="18">
        <v>1370</v>
      </c>
      <c r="T27" s="8"/>
      <c r="U27" s="18"/>
      <c r="AE27" s="1">
        <v>0.25</v>
      </c>
      <c r="AG27" s="1" t="s">
        <v>458</v>
      </c>
      <c r="AJ27" s="7"/>
      <c r="AK27" s="7"/>
      <c r="AM27" s="7"/>
      <c r="AN27" s="7"/>
      <c r="AO27" s="7"/>
      <c r="AP27" s="7"/>
      <c r="AQ27" s="7"/>
      <c r="AU27" s="1">
        <v>34</v>
      </c>
      <c r="AV27" s="1">
        <v>34</v>
      </c>
      <c r="AW27" s="1">
        <v>34</v>
      </c>
      <c r="AX27" s="1">
        <v>34</v>
      </c>
      <c r="AY27" s="12"/>
      <c r="AZ27" s="12"/>
      <c r="BA27" s="1">
        <v>34</v>
      </c>
      <c r="BB27" s="1">
        <v>34</v>
      </c>
      <c r="BC27" s="1">
        <v>34</v>
      </c>
      <c r="BD27" s="12"/>
      <c r="BE27" s="12"/>
      <c r="BG27" s="1">
        <v>34</v>
      </c>
      <c r="BI27" s="1">
        <v>33</v>
      </c>
      <c r="BK27" s="1">
        <v>34</v>
      </c>
      <c r="BL27" s="1">
        <v>34</v>
      </c>
      <c r="BM27" s="1">
        <v>34</v>
      </c>
    </row>
    <row r="28" spans="1:65" x14ac:dyDescent="0.2">
      <c r="A28" s="1" t="s">
        <v>209</v>
      </c>
      <c r="B28" s="1" t="s">
        <v>130</v>
      </c>
      <c r="C28" s="1">
        <v>2050</v>
      </c>
      <c r="D28" s="1">
        <v>1</v>
      </c>
      <c r="E28" s="1">
        <v>0</v>
      </c>
      <c r="F28" s="1">
        <v>0</v>
      </c>
      <c r="G28" s="18">
        <v>856</v>
      </c>
      <c r="H28" s="18"/>
      <c r="I28" s="18">
        <v>913</v>
      </c>
      <c r="J28" s="18"/>
      <c r="K28" s="18">
        <v>428</v>
      </c>
      <c r="L28" s="18"/>
      <c r="M28" s="18">
        <v>457</v>
      </c>
      <c r="N28" s="18"/>
      <c r="O28" s="19"/>
      <c r="P28" s="8"/>
      <c r="Q28" s="8">
        <f>5840/8760</f>
        <v>0.66666666666666663</v>
      </c>
      <c r="R28" s="19">
        <v>913</v>
      </c>
      <c r="S28" s="18">
        <v>1370</v>
      </c>
      <c r="T28" s="8"/>
      <c r="U28" s="18"/>
      <c r="AE28" s="1">
        <v>0.25</v>
      </c>
      <c r="AG28" s="1" t="s">
        <v>458</v>
      </c>
      <c r="AJ28" s="7"/>
      <c r="AK28" s="7"/>
      <c r="AL28" s="7">
        <f>25*Umrechnungsfaktoren!$B$15/Umrechnungsfaktoren!$B$10</f>
        <v>26.345177664974621</v>
      </c>
      <c r="AM28" s="7"/>
      <c r="AN28" s="7"/>
      <c r="AO28" s="7">
        <f>0*Umrechnungsfaktoren!$B$15/Umrechnungsfaktoren!$B$10</f>
        <v>0</v>
      </c>
      <c r="AP28" s="7"/>
      <c r="AQ28" s="7"/>
      <c r="AR28" s="7">
        <f>10*Umrechnungsfaktoren!$B$15/Umrechnungsfaktoren!$B$10</f>
        <v>10.538071065989849</v>
      </c>
      <c r="AU28" s="1">
        <v>34</v>
      </c>
      <c r="AV28" s="1">
        <v>34</v>
      </c>
      <c r="AW28" s="1">
        <v>34</v>
      </c>
      <c r="AX28" s="1">
        <v>34</v>
      </c>
      <c r="AY28" s="12"/>
      <c r="AZ28" s="12"/>
      <c r="BA28" s="1">
        <v>34</v>
      </c>
      <c r="BB28" s="1">
        <v>34</v>
      </c>
      <c r="BC28" s="1">
        <v>34</v>
      </c>
      <c r="BD28" s="12"/>
      <c r="BE28" s="12"/>
      <c r="BG28" s="1">
        <v>34</v>
      </c>
      <c r="BI28" s="1">
        <v>33</v>
      </c>
      <c r="BK28" s="1">
        <v>34</v>
      </c>
      <c r="BL28" s="1">
        <v>34</v>
      </c>
      <c r="BM28" s="1">
        <v>34</v>
      </c>
    </row>
    <row r="29" spans="1:65" x14ac:dyDescent="0.2">
      <c r="A29" s="1" t="s">
        <v>210</v>
      </c>
      <c r="B29" s="1" t="s">
        <v>130</v>
      </c>
      <c r="C29" s="1">
        <v>2013</v>
      </c>
      <c r="D29" s="1">
        <v>1</v>
      </c>
      <c r="E29" s="1">
        <v>0</v>
      </c>
      <c r="F29" s="1">
        <v>0</v>
      </c>
      <c r="G29" s="18">
        <v>982</v>
      </c>
      <c r="H29" s="18"/>
      <c r="I29" s="18">
        <v>1027</v>
      </c>
      <c r="J29" s="18"/>
      <c r="K29" s="18">
        <v>1963</v>
      </c>
      <c r="L29" s="18"/>
      <c r="M29" s="18">
        <v>2055</v>
      </c>
      <c r="N29" s="18"/>
      <c r="O29" s="19"/>
      <c r="P29" s="8"/>
      <c r="Q29" s="8">
        <f>2920/8760</f>
        <v>0.33333333333333331</v>
      </c>
      <c r="R29" s="19">
        <v>1027</v>
      </c>
      <c r="S29" s="18">
        <v>3082</v>
      </c>
      <c r="T29" s="8"/>
      <c r="U29" s="18"/>
      <c r="AE29" s="1">
        <v>0</v>
      </c>
      <c r="AG29" s="1" t="s">
        <v>452</v>
      </c>
      <c r="AJ29" s="7"/>
      <c r="AK29" s="7"/>
      <c r="AM29" s="7"/>
      <c r="AN29" s="7"/>
      <c r="AO29" s="7"/>
      <c r="AP29" s="7"/>
      <c r="AQ29" s="7"/>
      <c r="AU29" s="1">
        <v>35</v>
      </c>
      <c r="AV29" s="1">
        <v>35</v>
      </c>
      <c r="AW29" s="1">
        <v>35</v>
      </c>
      <c r="AX29" s="1">
        <v>35</v>
      </c>
      <c r="AY29" s="12"/>
      <c r="AZ29" s="12"/>
      <c r="BA29" s="1">
        <v>35</v>
      </c>
      <c r="BB29" s="1">
        <v>35</v>
      </c>
      <c r="BC29" s="1">
        <v>35</v>
      </c>
      <c r="BD29" s="12"/>
      <c r="BE29" s="12"/>
      <c r="BG29" s="1">
        <v>35</v>
      </c>
      <c r="BI29" s="1">
        <v>35</v>
      </c>
      <c r="BK29" s="1">
        <v>36</v>
      </c>
      <c r="BL29" s="1">
        <v>36</v>
      </c>
      <c r="BM29" s="1">
        <v>36</v>
      </c>
    </row>
    <row r="30" spans="1:65" x14ac:dyDescent="0.2">
      <c r="A30" s="1" t="s">
        <v>210</v>
      </c>
      <c r="B30" s="1" t="s">
        <v>130</v>
      </c>
      <c r="C30" s="1">
        <v>2023</v>
      </c>
      <c r="D30" s="1">
        <v>1</v>
      </c>
      <c r="E30" s="1">
        <v>0</v>
      </c>
      <c r="F30" s="1">
        <v>0</v>
      </c>
      <c r="G30" s="18">
        <v>982</v>
      </c>
      <c r="H30" s="18"/>
      <c r="I30" s="18">
        <v>1027</v>
      </c>
      <c r="J30" s="18"/>
      <c r="K30" s="18">
        <v>1963</v>
      </c>
      <c r="L30" s="18"/>
      <c r="M30" s="18">
        <v>2055</v>
      </c>
      <c r="N30" s="18"/>
      <c r="O30" s="19"/>
      <c r="P30" s="8"/>
      <c r="Q30" s="8">
        <f>2920/8760</f>
        <v>0.33333333333333331</v>
      </c>
      <c r="R30" s="19">
        <v>1027</v>
      </c>
      <c r="S30" s="18">
        <v>3082</v>
      </c>
      <c r="T30" s="8"/>
      <c r="U30" s="18"/>
      <c r="AE30" s="1">
        <v>1</v>
      </c>
      <c r="AG30" s="1" t="s">
        <v>452</v>
      </c>
      <c r="AJ30" s="7"/>
      <c r="AK30" s="7"/>
      <c r="AM30" s="7"/>
      <c r="AN30" s="7"/>
      <c r="AO30" s="7"/>
      <c r="AP30" s="7"/>
      <c r="AQ30" s="7"/>
      <c r="AU30" s="1">
        <v>35</v>
      </c>
      <c r="AV30" s="1">
        <v>35</v>
      </c>
      <c r="AW30" s="1">
        <v>35</v>
      </c>
      <c r="AX30" s="1">
        <v>35</v>
      </c>
      <c r="AY30" s="12"/>
      <c r="AZ30" s="12"/>
      <c r="BA30" s="1">
        <v>35</v>
      </c>
      <c r="BB30" s="1">
        <v>35</v>
      </c>
      <c r="BC30" s="1">
        <v>35</v>
      </c>
      <c r="BD30" s="12"/>
      <c r="BE30" s="12"/>
      <c r="BG30" s="1">
        <v>35</v>
      </c>
      <c r="BI30" s="1">
        <v>35</v>
      </c>
      <c r="BK30" s="1">
        <v>36</v>
      </c>
      <c r="BL30" s="1">
        <v>36</v>
      </c>
      <c r="BM30" s="1">
        <v>36</v>
      </c>
    </row>
    <row r="31" spans="1:65" x14ac:dyDescent="0.2">
      <c r="A31" s="1" t="s">
        <v>210</v>
      </c>
      <c r="B31" s="1" t="s">
        <v>130</v>
      </c>
      <c r="C31" s="1">
        <v>2050</v>
      </c>
      <c r="D31" s="1">
        <v>1</v>
      </c>
      <c r="E31" s="1">
        <v>0</v>
      </c>
      <c r="F31" s="1">
        <v>0</v>
      </c>
      <c r="G31" s="18">
        <v>982</v>
      </c>
      <c r="H31" s="18"/>
      <c r="I31" s="18">
        <v>1027</v>
      </c>
      <c r="J31" s="18"/>
      <c r="K31" s="18">
        <v>1963</v>
      </c>
      <c r="L31" s="18"/>
      <c r="M31" s="18">
        <v>2055</v>
      </c>
      <c r="N31" s="18"/>
      <c r="O31" s="19"/>
      <c r="P31" s="8"/>
      <c r="Q31" s="8">
        <f>2920/8760</f>
        <v>0.33333333333333331</v>
      </c>
      <c r="R31" s="19">
        <v>1027</v>
      </c>
      <c r="S31" s="18">
        <v>3082</v>
      </c>
      <c r="T31" s="8"/>
      <c r="U31" s="18"/>
      <c r="AE31" s="1">
        <v>1</v>
      </c>
      <c r="AG31" s="1" t="s">
        <v>452</v>
      </c>
      <c r="AJ31" s="7"/>
      <c r="AK31" s="7"/>
      <c r="AL31" s="7">
        <f>25*Umrechnungsfaktoren!$B$15/Umrechnungsfaktoren!$B$10</f>
        <v>26.345177664974621</v>
      </c>
      <c r="AM31" s="7"/>
      <c r="AN31" s="7"/>
      <c r="AO31" s="7">
        <f>0*Umrechnungsfaktoren!$B$15/Umrechnungsfaktoren!$B$10</f>
        <v>0</v>
      </c>
      <c r="AP31" s="7"/>
      <c r="AQ31" s="7"/>
      <c r="AR31" s="7">
        <f>10*Umrechnungsfaktoren!$B$15/Umrechnungsfaktoren!$B$10</f>
        <v>10.538071065989849</v>
      </c>
      <c r="AU31" s="1">
        <v>35</v>
      </c>
      <c r="AV31" s="1">
        <v>35</v>
      </c>
      <c r="AW31" s="1">
        <v>35</v>
      </c>
      <c r="AX31" s="1">
        <v>35</v>
      </c>
      <c r="AY31" s="12"/>
      <c r="AZ31" s="12"/>
      <c r="BA31" s="1">
        <v>35</v>
      </c>
      <c r="BB31" s="1">
        <v>35</v>
      </c>
      <c r="BC31" s="1">
        <v>35</v>
      </c>
      <c r="BD31" s="12"/>
      <c r="BE31" s="12"/>
      <c r="BG31" s="1">
        <v>35</v>
      </c>
      <c r="BI31" s="1">
        <v>35</v>
      </c>
      <c r="BK31" s="1">
        <v>36</v>
      </c>
      <c r="BL31" s="1">
        <v>36</v>
      </c>
      <c r="BM31" s="1">
        <v>36</v>
      </c>
    </row>
    <row r="32" spans="1:65" x14ac:dyDescent="0.2">
      <c r="A32" s="1" t="s">
        <v>213</v>
      </c>
      <c r="B32" s="1" t="s">
        <v>130</v>
      </c>
      <c r="C32" s="1">
        <v>2013</v>
      </c>
      <c r="D32" s="1">
        <v>1</v>
      </c>
      <c r="E32" s="1">
        <v>0</v>
      </c>
      <c r="F32" s="1">
        <v>0</v>
      </c>
      <c r="G32" s="18">
        <v>1575</v>
      </c>
      <c r="H32" s="18"/>
      <c r="I32" s="18">
        <v>1918</v>
      </c>
      <c r="J32" s="18"/>
      <c r="K32" s="18">
        <v>9206</v>
      </c>
      <c r="L32" s="18"/>
      <c r="M32" s="18">
        <v>11207</v>
      </c>
      <c r="N32" s="18"/>
      <c r="O32" s="19"/>
      <c r="P32" s="8"/>
      <c r="Q32" s="8">
        <f>640/8760</f>
        <v>7.3059360730593603E-2</v>
      </c>
      <c r="R32" s="19">
        <v>1918</v>
      </c>
      <c r="S32" s="18">
        <v>13125</v>
      </c>
      <c r="T32" s="8"/>
      <c r="U32" s="18"/>
      <c r="AC32" s="1">
        <v>0.25</v>
      </c>
      <c r="AD32" s="1">
        <v>1</v>
      </c>
      <c r="AG32" s="1" t="s">
        <v>459</v>
      </c>
      <c r="AJ32" s="7"/>
      <c r="AK32" s="7"/>
      <c r="AM32" s="7"/>
      <c r="AN32" s="7"/>
      <c r="AO32" s="7"/>
      <c r="AP32" s="7"/>
      <c r="AQ32" s="7"/>
      <c r="AU32" s="1">
        <v>36</v>
      </c>
      <c r="AV32" s="1">
        <v>36</v>
      </c>
      <c r="AW32" s="1">
        <v>36</v>
      </c>
      <c r="AX32" s="1">
        <v>36</v>
      </c>
      <c r="AY32" s="12"/>
      <c r="AZ32" s="12"/>
      <c r="BA32" s="1">
        <v>36</v>
      </c>
      <c r="BB32" s="1">
        <v>36</v>
      </c>
      <c r="BC32" s="1">
        <v>36</v>
      </c>
      <c r="BD32" s="12"/>
      <c r="BE32" s="12"/>
      <c r="BG32" s="1">
        <v>36</v>
      </c>
      <c r="BI32" s="1">
        <v>36</v>
      </c>
      <c r="BK32" s="1">
        <v>37</v>
      </c>
      <c r="BL32" s="1">
        <v>37</v>
      </c>
      <c r="BM32" s="1">
        <v>37</v>
      </c>
    </row>
    <row r="33" spans="1:65" x14ac:dyDescent="0.2">
      <c r="A33" s="1" t="s">
        <v>213</v>
      </c>
      <c r="B33" s="1" t="s">
        <v>130</v>
      </c>
      <c r="C33" s="1">
        <v>2023</v>
      </c>
      <c r="D33" s="1">
        <v>1</v>
      </c>
      <c r="E33" s="1">
        <v>0</v>
      </c>
      <c r="F33" s="1">
        <v>0</v>
      </c>
      <c r="G33" s="18">
        <v>1575</v>
      </c>
      <c r="H33" s="18"/>
      <c r="I33" s="18">
        <v>1918</v>
      </c>
      <c r="J33" s="18"/>
      <c r="K33" s="18">
        <v>9206</v>
      </c>
      <c r="L33" s="18"/>
      <c r="M33" s="18">
        <v>11207</v>
      </c>
      <c r="N33" s="18"/>
      <c r="O33" s="19"/>
      <c r="P33" s="8"/>
      <c r="Q33" s="8">
        <f>640/8760</f>
        <v>7.3059360730593603E-2</v>
      </c>
      <c r="R33" s="19">
        <v>1918</v>
      </c>
      <c r="S33" s="18">
        <v>13125</v>
      </c>
      <c r="T33" s="8"/>
      <c r="U33" s="18"/>
      <c r="AC33" s="1">
        <v>0.25</v>
      </c>
      <c r="AD33" s="1">
        <v>1</v>
      </c>
      <c r="AG33" s="1" t="s">
        <v>459</v>
      </c>
      <c r="AJ33" s="7"/>
      <c r="AK33" s="7"/>
      <c r="AM33" s="7"/>
      <c r="AN33" s="7"/>
      <c r="AO33" s="7"/>
      <c r="AP33" s="7"/>
      <c r="AQ33" s="7"/>
      <c r="AU33" s="1">
        <v>36</v>
      </c>
      <c r="AV33" s="1">
        <v>36</v>
      </c>
      <c r="AW33" s="1">
        <v>36</v>
      </c>
      <c r="AX33" s="1">
        <v>36</v>
      </c>
      <c r="AY33" s="12"/>
      <c r="AZ33" s="12"/>
      <c r="BA33" s="1">
        <v>36</v>
      </c>
      <c r="BB33" s="1">
        <v>36</v>
      </c>
      <c r="BC33" s="1">
        <v>36</v>
      </c>
      <c r="BD33" s="12"/>
      <c r="BE33" s="12"/>
      <c r="BG33" s="1">
        <v>36</v>
      </c>
      <c r="BI33" s="1">
        <v>36</v>
      </c>
      <c r="BK33" s="1">
        <v>37</v>
      </c>
      <c r="BL33" s="1">
        <v>37</v>
      </c>
      <c r="BM33" s="1">
        <v>37</v>
      </c>
    </row>
    <row r="34" spans="1:65" x14ac:dyDescent="0.2">
      <c r="A34" s="1" t="s">
        <v>213</v>
      </c>
      <c r="B34" s="1" t="s">
        <v>130</v>
      </c>
      <c r="C34" s="1">
        <v>2050</v>
      </c>
      <c r="D34" s="1">
        <v>1</v>
      </c>
      <c r="E34" s="1">
        <v>0</v>
      </c>
      <c r="F34" s="1">
        <v>0</v>
      </c>
      <c r="G34" s="18">
        <v>1575</v>
      </c>
      <c r="H34" s="18"/>
      <c r="I34" s="18">
        <v>1918</v>
      </c>
      <c r="J34" s="18"/>
      <c r="K34" s="18">
        <v>9206</v>
      </c>
      <c r="L34" s="18"/>
      <c r="M34" s="18">
        <v>11207</v>
      </c>
      <c r="N34" s="18"/>
      <c r="O34" s="19"/>
      <c r="P34" s="8"/>
      <c r="Q34" s="8">
        <f>640/8760</f>
        <v>7.3059360730593603E-2</v>
      </c>
      <c r="R34" s="19">
        <v>1918</v>
      </c>
      <c r="S34" s="18">
        <v>13125</v>
      </c>
      <c r="T34" s="8"/>
      <c r="U34" s="18"/>
      <c r="AC34" s="1">
        <v>0.25</v>
      </c>
      <c r="AD34" s="1">
        <v>1</v>
      </c>
      <c r="AG34" s="1" t="s">
        <v>459</v>
      </c>
      <c r="AJ34" s="7"/>
      <c r="AK34" s="7"/>
      <c r="AL34" s="7">
        <f>25*Umrechnungsfaktoren!$B$15/Umrechnungsfaktoren!$B$10</f>
        <v>26.345177664974621</v>
      </c>
      <c r="AM34" s="7"/>
      <c r="AN34" s="7"/>
      <c r="AO34" s="7">
        <f>0*Umrechnungsfaktoren!$B$15/Umrechnungsfaktoren!$B$10</f>
        <v>0</v>
      </c>
      <c r="AP34" s="7"/>
      <c r="AQ34" s="7"/>
      <c r="AR34" s="7">
        <f>10*Umrechnungsfaktoren!$B$15/Umrechnungsfaktoren!$B$10</f>
        <v>10.538071065989849</v>
      </c>
      <c r="AU34" s="1">
        <v>36</v>
      </c>
      <c r="AV34" s="1">
        <v>36</v>
      </c>
      <c r="AW34" s="1">
        <v>36</v>
      </c>
      <c r="AX34" s="1">
        <v>36</v>
      </c>
      <c r="AY34" s="12"/>
      <c r="AZ34" s="12"/>
      <c r="BA34" s="1">
        <v>36</v>
      </c>
      <c r="BB34" s="1">
        <v>36</v>
      </c>
      <c r="BC34" s="1">
        <v>36</v>
      </c>
      <c r="BD34" s="12"/>
      <c r="BE34" s="12"/>
      <c r="BG34" s="1">
        <v>36</v>
      </c>
      <c r="BI34" s="1">
        <v>36</v>
      </c>
      <c r="BK34" s="1">
        <v>37</v>
      </c>
      <c r="BL34" s="1">
        <v>37</v>
      </c>
      <c r="BM34" s="1">
        <v>37</v>
      </c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0E00-000001000000}">
          <x14:formula1>
            <xm:f>Dropdown!$A$2:$A$54</xm:f>
          </x14:formula1>
          <xm:sqref>A2:A22</xm:sqref>
        </x14:dataValidation>
        <x14:dataValidation type="list" allowBlank="1" showInputMessage="1" showErrorMessage="1" xr:uid="{00000000-0002-0000-0E00-000002000000}">
          <x14:formula1>
            <xm:f>Dropdown!$A$2:$A92</xm:f>
          </x14:formula1>
          <xm:sqref>A23:A31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3"/>
  <dimension ref="A1:H22"/>
  <sheetViews>
    <sheetView zoomScaleNormal="100" workbookViewId="0">
      <selection activeCell="D8" sqref="D8:E21"/>
    </sheetView>
  </sheetViews>
  <sheetFormatPr baseColWidth="10" defaultColWidth="11.42578125" defaultRowHeight="12.75" x14ac:dyDescent="0.2"/>
  <cols>
    <col min="1" max="1" width="23.28515625" style="1" bestFit="1" customWidth="1"/>
    <col min="2" max="2" width="23.28515625" style="1" customWidth="1"/>
    <col min="3" max="3" width="11.42578125" style="1"/>
    <col min="4" max="4" width="38.28515625" style="1" bestFit="1" customWidth="1"/>
    <col min="5" max="5" width="38.28515625" style="1" customWidth="1"/>
    <col min="6" max="6" width="25" style="1" bestFit="1" customWidth="1"/>
    <col min="7" max="7" width="17.85546875" style="1" bestFit="1" customWidth="1"/>
    <col min="8" max="8" width="30.7109375" style="1" bestFit="1" customWidth="1"/>
    <col min="9" max="16384" width="11.42578125" style="1"/>
  </cols>
  <sheetData>
    <row r="1" spans="1:8" x14ac:dyDescent="0.2">
      <c r="A1" s="2" t="s">
        <v>0</v>
      </c>
      <c r="B1" s="2" t="s">
        <v>131</v>
      </c>
      <c r="C1" s="2" t="s">
        <v>8</v>
      </c>
      <c r="D1" s="2" t="s">
        <v>533</v>
      </c>
      <c r="E1" s="2" t="s">
        <v>532</v>
      </c>
      <c r="F1" s="2" t="s">
        <v>506</v>
      </c>
      <c r="G1" s="1" t="s">
        <v>157</v>
      </c>
      <c r="H1" s="1" t="s">
        <v>28</v>
      </c>
    </row>
    <row r="2" spans="1:8" x14ac:dyDescent="0.2">
      <c r="A2" s="1" t="s">
        <v>141</v>
      </c>
      <c r="B2" s="32" t="s">
        <v>142</v>
      </c>
      <c r="C2" s="5"/>
      <c r="D2" s="15"/>
      <c r="E2" s="5"/>
      <c r="F2" s="5">
        <v>-10</v>
      </c>
      <c r="G2" s="29">
        <v>2</v>
      </c>
      <c r="H2" s="1" t="s">
        <v>507</v>
      </c>
    </row>
    <row r="3" spans="1:8" x14ac:dyDescent="0.2">
      <c r="A3" s="1" t="s">
        <v>141</v>
      </c>
      <c r="B3" s="32" t="s">
        <v>142</v>
      </c>
      <c r="D3" s="8"/>
      <c r="F3" s="1">
        <v>-5</v>
      </c>
      <c r="G3" s="29">
        <v>2</v>
      </c>
      <c r="H3" s="1" t="s">
        <v>507</v>
      </c>
    </row>
    <row r="4" spans="1:8" x14ac:dyDescent="0.2">
      <c r="A4" s="1" t="s">
        <v>141</v>
      </c>
      <c r="B4" s="32" t="s">
        <v>142</v>
      </c>
      <c r="C4" s="5"/>
      <c r="D4" s="15"/>
      <c r="E4" s="5"/>
      <c r="F4" s="5">
        <v>0</v>
      </c>
      <c r="G4" s="29">
        <v>3</v>
      </c>
      <c r="H4" s="1" t="s">
        <v>507</v>
      </c>
    </row>
    <row r="5" spans="1:8" x14ac:dyDescent="0.2">
      <c r="A5" s="1" t="s">
        <v>141</v>
      </c>
      <c r="B5" s="32" t="s">
        <v>142</v>
      </c>
      <c r="D5" s="8"/>
      <c r="F5" s="1">
        <v>5</v>
      </c>
      <c r="G5" s="29">
        <v>5</v>
      </c>
      <c r="H5" s="1" t="s">
        <v>507</v>
      </c>
    </row>
    <row r="6" spans="1:8" x14ac:dyDescent="0.2">
      <c r="A6" s="1" t="s">
        <v>141</v>
      </c>
      <c r="B6" s="32" t="s">
        <v>142</v>
      </c>
      <c r="C6" s="5"/>
      <c r="D6" s="15"/>
      <c r="E6" s="5"/>
      <c r="F6" s="5">
        <v>10</v>
      </c>
      <c r="G6" s="29">
        <v>10</v>
      </c>
      <c r="H6" s="1" t="s">
        <v>507</v>
      </c>
    </row>
    <row r="7" spans="1:8" x14ac:dyDescent="0.2">
      <c r="A7" s="1" t="s">
        <v>141</v>
      </c>
      <c r="B7" s="32" t="s">
        <v>142</v>
      </c>
      <c r="D7" s="8"/>
      <c r="F7" s="1">
        <v>15</v>
      </c>
      <c r="G7" s="29">
        <v>30</v>
      </c>
      <c r="H7" s="1" t="s">
        <v>507</v>
      </c>
    </row>
    <row r="8" spans="1:8" x14ac:dyDescent="0.2">
      <c r="A8" s="1" t="s">
        <v>222</v>
      </c>
      <c r="B8" s="32" t="s">
        <v>129</v>
      </c>
      <c r="C8" s="5">
        <v>2020</v>
      </c>
      <c r="D8" s="15">
        <v>0.73</v>
      </c>
      <c r="E8" s="15">
        <v>1.45</v>
      </c>
      <c r="F8" s="5"/>
      <c r="G8" s="29"/>
      <c r="H8" s="1" t="s">
        <v>534</v>
      </c>
    </row>
    <row r="9" spans="1:8" x14ac:dyDescent="0.2">
      <c r="A9" s="1" t="s">
        <v>222</v>
      </c>
      <c r="B9" s="32" t="s">
        <v>129</v>
      </c>
      <c r="C9" s="1">
        <v>2025</v>
      </c>
      <c r="D9" s="8">
        <v>0.69</v>
      </c>
      <c r="E9" s="8">
        <v>1.52</v>
      </c>
      <c r="G9" s="29"/>
      <c r="H9" s="1" t="s">
        <v>534</v>
      </c>
    </row>
    <row r="10" spans="1:8" x14ac:dyDescent="0.2">
      <c r="A10" s="1" t="s">
        <v>222</v>
      </c>
      <c r="B10" s="32" t="s">
        <v>129</v>
      </c>
      <c r="C10" s="5">
        <v>2030</v>
      </c>
      <c r="D10" s="15">
        <v>0.65</v>
      </c>
      <c r="E10" s="15">
        <v>1.58</v>
      </c>
      <c r="F10" s="5"/>
      <c r="G10" s="29"/>
      <c r="H10" s="1" t="s">
        <v>534</v>
      </c>
    </row>
    <row r="11" spans="1:8" x14ac:dyDescent="0.2">
      <c r="A11" s="1" t="s">
        <v>535</v>
      </c>
      <c r="B11" s="32" t="s">
        <v>129</v>
      </c>
      <c r="C11" s="1">
        <v>2020</v>
      </c>
      <c r="D11" s="8">
        <v>1.01</v>
      </c>
      <c r="E11" s="8">
        <v>1.28</v>
      </c>
      <c r="G11" s="29"/>
      <c r="H11" s="1" t="s">
        <v>534</v>
      </c>
    </row>
    <row r="12" spans="1:8" x14ac:dyDescent="0.2">
      <c r="A12" s="1" t="s">
        <v>535</v>
      </c>
      <c r="B12" s="32" t="s">
        <v>129</v>
      </c>
      <c r="C12" s="5">
        <v>2025</v>
      </c>
      <c r="D12" s="15">
        <v>1.01</v>
      </c>
      <c r="E12" s="15">
        <v>1.32</v>
      </c>
      <c r="F12" s="5"/>
      <c r="G12" s="29"/>
      <c r="H12" s="1" t="s">
        <v>534</v>
      </c>
    </row>
    <row r="13" spans="1:8" x14ac:dyDescent="0.2">
      <c r="A13" s="1" t="s">
        <v>535</v>
      </c>
      <c r="B13" s="32" t="s">
        <v>129</v>
      </c>
      <c r="C13" s="1">
        <v>2030</v>
      </c>
      <c r="D13" s="8">
        <v>1.01</v>
      </c>
      <c r="E13" s="8">
        <v>1.37</v>
      </c>
      <c r="G13" s="29"/>
      <c r="H13" s="1" t="s">
        <v>534</v>
      </c>
    </row>
    <row r="14" spans="1:8" x14ac:dyDescent="0.2">
      <c r="A14" s="1" t="s">
        <v>536</v>
      </c>
      <c r="B14" s="32" t="s">
        <v>129</v>
      </c>
      <c r="C14" s="5">
        <v>2020</v>
      </c>
      <c r="D14" s="15">
        <v>0.76</v>
      </c>
      <c r="E14" s="15">
        <v>0.95</v>
      </c>
      <c r="F14" s="5"/>
      <c r="G14" s="29"/>
      <c r="H14" s="1" t="s">
        <v>534</v>
      </c>
    </row>
    <row r="15" spans="1:8" x14ac:dyDescent="0.2">
      <c r="A15" s="1" t="s">
        <v>536</v>
      </c>
      <c r="B15" s="32" t="s">
        <v>129</v>
      </c>
      <c r="C15" s="1">
        <v>2025</v>
      </c>
      <c r="D15" s="8">
        <v>0.71</v>
      </c>
      <c r="E15" s="8">
        <v>0.94</v>
      </c>
      <c r="G15" s="29"/>
      <c r="H15" s="1" t="s">
        <v>534</v>
      </c>
    </row>
    <row r="16" spans="1:8" x14ac:dyDescent="0.2">
      <c r="A16" s="1" t="s">
        <v>536</v>
      </c>
      <c r="B16" s="32" t="s">
        <v>129</v>
      </c>
      <c r="C16" s="5">
        <v>2030</v>
      </c>
      <c r="D16" s="15">
        <v>0.67</v>
      </c>
      <c r="E16" s="15">
        <v>0.93</v>
      </c>
      <c r="F16" s="5"/>
      <c r="G16" s="29"/>
      <c r="H16" s="1" t="s">
        <v>534</v>
      </c>
    </row>
    <row r="17" spans="1:8" x14ac:dyDescent="0.2">
      <c r="A17" s="1" t="s">
        <v>211</v>
      </c>
      <c r="B17" s="32" t="s">
        <v>129</v>
      </c>
      <c r="C17" s="1">
        <v>2020</v>
      </c>
      <c r="D17" s="8">
        <v>0.85</v>
      </c>
      <c r="E17" s="8">
        <v>1.2</v>
      </c>
      <c r="G17" s="29"/>
      <c r="H17" s="1" t="s">
        <v>534</v>
      </c>
    </row>
    <row r="18" spans="1:8" x14ac:dyDescent="0.2">
      <c r="A18" s="1" t="s">
        <v>211</v>
      </c>
      <c r="B18" s="32" t="s">
        <v>129</v>
      </c>
      <c r="C18" s="5">
        <v>2025</v>
      </c>
      <c r="D18" s="15">
        <v>0.82</v>
      </c>
      <c r="E18" s="15">
        <v>1.25</v>
      </c>
      <c r="F18" s="5"/>
      <c r="G18" s="29"/>
      <c r="H18" s="1" t="s">
        <v>534</v>
      </c>
    </row>
    <row r="19" spans="1:8" x14ac:dyDescent="0.2">
      <c r="A19" s="1" t="s">
        <v>211</v>
      </c>
      <c r="B19" s="32" t="s">
        <v>129</v>
      </c>
      <c r="C19" s="1">
        <v>2030</v>
      </c>
      <c r="D19" s="8">
        <v>0.78</v>
      </c>
      <c r="E19" s="8">
        <v>1.29</v>
      </c>
      <c r="G19" s="29"/>
      <c r="H19" s="1" t="s">
        <v>534</v>
      </c>
    </row>
    <row r="20" spans="1:8" x14ac:dyDescent="0.2">
      <c r="A20" s="1" t="s">
        <v>537</v>
      </c>
      <c r="B20" s="32" t="s">
        <v>129</v>
      </c>
      <c r="C20" s="5">
        <v>2020</v>
      </c>
      <c r="D20" s="15">
        <v>0.83</v>
      </c>
      <c r="E20" s="15">
        <v>1.03</v>
      </c>
      <c r="F20" s="5"/>
      <c r="G20" s="29"/>
      <c r="H20" s="1" t="s">
        <v>534</v>
      </c>
    </row>
    <row r="21" spans="1:8" x14ac:dyDescent="0.2">
      <c r="A21" s="1" t="s">
        <v>537</v>
      </c>
      <c r="B21" s="32" t="s">
        <v>129</v>
      </c>
      <c r="C21" s="1">
        <v>2025</v>
      </c>
      <c r="D21" s="8">
        <v>0.79</v>
      </c>
      <c r="E21" s="8">
        <v>1.03</v>
      </c>
      <c r="G21" s="29"/>
      <c r="H21" s="1" t="s">
        <v>534</v>
      </c>
    </row>
    <row r="22" spans="1:8" x14ac:dyDescent="0.2">
      <c r="A22" s="1" t="s">
        <v>537</v>
      </c>
      <c r="B22" s="32" t="s">
        <v>129</v>
      </c>
      <c r="C22" s="5">
        <v>2030</v>
      </c>
      <c r="D22" s="15">
        <v>0.76</v>
      </c>
      <c r="E22" s="15">
        <v>1.04</v>
      </c>
      <c r="F22" s="5"/>
      <c r="G22" s="29"/>
      <c r="H22" s="1" t="s">
        <v>534</v>
      </c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0000000}">
          <x14:formula1>
            <xm:f>Dropdown!$C$2:$C$4</xm:f>
          </x14:formula1>
          <xm:sqref>B2:B22</xm:sqref>
        </x14:dataValidation>
        <x14:dataValidation type="list" allowBlank="1" showInputMessage="1" showErrorMessage="1" xr:uid="{00000000-0002-0000-1000-000001000000}">
          <x14:formula1>
            <xm:f>Dropdown!$A$2:$A$91</xm:f>
          </x14:formula1>
          <xm:sqref>A2:A22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4"/>
  <dimension ref="A1:D27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1.42578125" style="1"/>
    <col min="2" max="2" width="33.42578125" style="1" bestFit="1" customWidth="1"/>
    <col min="3" max="3" width="73.7109375" style="1" customWidth="1"/>
    <col min="4" max="4" width="19.7109375" style="1" bestFit="1" customWidth="1"/>
    <col min="5" max="16384" width="11.42578125" style="1"/>
  </cols>
  <sheetData>
    <row r="1" spans="1:4" x14ac:dyDescent="0.2">
      <c r="A1" s="1" t="s">
        <v>238</v>
      </c>
      <c r="B1" s="1" t="s">
        <v>239</v>
      </c>
      <c r="C1" s="1" t="s">
        <v>240</v>
      </c>
      <c r="D1" s="1" t="s">
        <v>274</v>
      </c>
    </row>
    <row r="2" spans="1:4" x14ac:dyDescent="0.2">
      <c r="A2" s="22" t="s">
        <v>248</v>
      </c>
      <c r="B2" s="22" t="s">
        <v>249</v>
      </c>
      <c r="C2" s="20" t="s">
        <v>253</v>
      </c>
      <c r="D2" s="22" t="s">
        <v>276</v>
      </c>
    </row>
    <row r="3" spans="1:4" ht="25.5" x14ac:dyDescent="0.2">
      <c r="A3" s="22" t="s">
        <v>866</v>
      </c>
      <c r="B3" s="22" t="s">
        <v>864</v>
      </c>
      <c r="C3" s="21" t="s">
        <v>865</v>
      </c>
      <c r="D3" s="22" t="s">
        <v>276</v>
      </c>
    </row>
    <row r="4" spans="1:4" ht="25.5" x14ac:dyDescent="0.2">
      <c r="A4" s="22" t="s">
        <v>349</v>
      </c>
      <c r="B4" s="22" t="s">
        <v>352</v>
      </c>
      <c r="C4" s="20" t="s">
        <v>357</v>
      </c>
      <c r="D4" s="22" t="s">
        <v>276</v>
      </c>
    </row>
    <row r="5" spans="1:4" ht="25.5" x14ac:dyDescent="0.2">
      <c r="A5" s="22" t="s">
        <v>780</v>
      </c>
      <c r="B5" s="22" t="s">
        <v>781</v>
      </c>
      <c r="C5" s="21" t="s">
        <v>782</v>
      </c>
      <c r="D5" s="22" t="s">
        <v>276</v>
      </c>
    </row>
    <row r="6" spans="1:4" ht="25.5" x14ac:dyDescent="0.2">
      <c r="A6" s="22" t="s">
        <v>350</v>
      </c>
      <c r="B6" s="22" t="s">
        <v>353</v>
      </c>
      <c r="C6" s="20" t="s">
        <v>358</v>
      </c>
      <c r="D6" s="22" t="s">
        <v>276</v>
      </c>
    </row>
    <row r="7" spans="1:4" ht="76.5" x14ac:dyDescent="0.2">
      <c r="A7" s="22" t="s">
        <v>268</v>
      </c>
      <c r="B7" s="22" t="s">
        <v>491</v>
      </c>
      <c r="C7" s="21" t="s">
        <v>492</v>
      </c>
      <c r="D7" s="22" t="s">
        <v>276</v>
      </c>
    </row>
    <row r="8" spans="1:4" x14ac:dyDescent="0.2">
      <c r="A8" s="22" t="s">
        <v>775</v>
      </c>
      <c r="B8" s="22" t="s">
        <v>776</v>
      </c>
      <c r="C8" s="20" t="s">
        <v>777</v>
      </c>
      <c r="D8" s="22" t="s">
        <v>276</v>
      </c>
    </row>
    <row r="9" spans="1:4" x14ac:dyDescent="0.2">
      <c r="A9" s="22" t="s">
        <v>809</v>
      </c>
      <c r="B9" s="22" t="s">
        <v>810</v>
      </c>
      <c r="C9" s="21" t="s">
        <v>808</v>
      </c>
      <c r="D9" s="22" t="s">
        <v>276</v>
      </c>
    </row>
    <row r="10" spans="1:4" ht="25.5" x14ac:dyDescent="0.2">
      <c r="A10" s="22" t="s">
        <v>269</v>
      </c>
      <c r="B10" s="22" t="s">
        <v>264</v>
      </c>
      <c r="C10" s="20" t="s">
        <v>258</v>
      </c>
      <c r="D10" s="22" t="s">
        <v>276</v>
      </c>
    </row>
    <row r="11" spans="1:4" ht="38.25" x14ac:dyDescent="0.2">
      <c r="A11" s="22" t="s">
        <v>794</v>
      </c>
      <c r="B11" s="22" t="s">
        <v>795</v>
      </c>
      <c r="C11" s="21" t="s">
        <v>796</v>
      </c>
      <c r="D11" s="22" t="s">
        <v>276</v>
      </c>
    </row>
    <row r="12" spans="1:4" ht="25.5" x14ac:dyDescent="0.2">
      <c r="A12" s="22" t="s">
        <v>785</v>
      </c>
      <c r="B12" s="22" t="s">
        <v>786</v>
      </c>
      <c r="C12" s="20" t="s">
        <v>787</v>
      </c>
      <c r="D12" s="22" t="s">
        <v>276</v>
      </c>
    </row>
    <row r="13" spans="1:4" ht="38.25" x14ac:dyDescent="0.2">
      <c r="A13" s="22" t="s">
        <v>241</v>
      </c>
      <c r="B13" s="22" t="s">
        <v>267</v>
      </c>
      <c r="C13" s="21" t="s">
        <v>278</v>
      </c>
      <c r="D13" s="22" t="s">
        <v>276</v>
      </c>
    </row>
    <row r="14" spans="1:4" ht="25.5" x14ac:dyDescent="0.2">
      <c r="A14" s="22" t="s">
        <v>779</v>
      </c>
      <c r="B14" s="22" t="s">
        <v>464</v>
      </c>
      <c r="C14" s="20" t="s">
        <v>335</v>
      </c>
      <c r="D14" s="22" t="s">
        <v>276</v>
      </c>
    </row>
    <row r="15" spans="1:4" ht="25.5" x14ac:dyDescent="0.2">
      <c r="A15" s="22" t="s">
        <v>351</v>
      </c>
      <c r="B15" s="22" t="s">
        <v>354</v>
      </c>
      <c r="C15" s="21" t="s">
        <v>359</v>
      </c>
      <c r="D15" s="22" t="s">
        <v>276</v>
      </c>
    </row>
    <row r="16" spans="1:4" ht="25.5" x14ac:dyDescent="0.2">
      <c r="A16" s="22" t="s">
        <v>755</v>
      </c>
      <c r="B16" s="22" t="s">
        <v>756</v>
      </c>
      <c r="C16" s="20" t="s">
        <v>757</v>
      </c>
      <c r="D16" s="22" t="s">
        <v>276</v>
      </c>
    </row>
    <row r="17" spans="1:4" ht="25.5" x14ac:dyDescent="0.2">
      <c r="A17" s="22" t="s">
        <v>271</v>
      </c>
      <c r="B17" s="22" t="s">
        <v>261</v>
      </c>
      <c r="C17" s="21" t="s">
        <v>255</v>
      </c>
      <c r="D17" s="22" t="s">
        <v>276</v>
      </c>
    </row>
    <row r="18" spans="1:4" x14ac:dyDescent="0.2">
      <c r="A18" s="22" t="s">
        <v>778</v>
      </c>
      <c r="B18" s="22" t="s">
        <v>355</v>
      </c>
      <c r="C18" s="20" t="s">
        <v>360</v>
      </c>
      <c r="D18" s="22" t="s">
        <v>276</v>
      </c>
    </row>
    <row r="19" spans="1:4" ht="25.5" x14ac:dyDescent="0.2">
      <c r="A19" s="22" t="s">
        <v>242</v>
      </c>
      <c r="B19" s="22" t="s">
        <v>243</v>
      </c>
      <c r="C19" s="21" t="s">
        <v>250</v>
      </c>
      <c r="D19" s="22" t="s">
        <v>276</v>
      </c>
    </row>
    <row r="20" spans="1:4" ht="25.5" x14ac:dyDescent="0.2">
      <c r="A20" s="22" t="s">
        <v>246</v>
      </c>
      <c r="B20" s="22" t="s">
        <v>247</v>
      </c>
      <c r="C20" s="20" t="s">
        <v>252</v>
      </c>
      <c r="D20" s="22" t="s">
        <v>276</v>
      </c>
    </row>
    <row r="21" spans="1:4" ht="25.5" x14ac:dyDescent="0.2">
      <c r="A21" s="22" t="s">
        <v>272</v>
      </c>
      <c r="B21" s="22" t="s">
        <v>263</v>
      </c>
      <c r="C21" s="21" t="s">
        <v>257</v>
      </c>
      <c r="D21" s="22" t="s">
        <v>276</v>
      </c>
    </row>
    <row r="22" spans="1:4" x14ac:dyDescent="0.2">
      <c r="A22" s="22" t="s">
        <v>266</v>
      </c>
      <c r="B22" s="22" t="s">
        <v>260</v>
      </c>
      <c r="C22" s="20" t="s">
        <v>254</v>
      </c>
      <c r="D22" s="22" t="s">
        <v>276</v>
      </c>
    </row>
    <row r="23" spans="1:4" x14ac:dyDescent="0.2">
      <c r="A23" s="22" t="s">
        <v>244</v>
      </c>
      <c r="B23" s="22" t="s">
        <v>245</v>
      </c>
      <c r="C23" s="21" t="s">
        <v>251</v>
      </c>
      <c r="D23" s="22" t="s">
        <v>276</v>
      </c>
    </row>
    <row r="24" spans="1:4" ht="25.5" x14ac:dyDescent="0.2">
      <c r="A24" s="22" t="s">
        <v>772</v>
      </c>
      <c r="B24" s="22" t="s">
        <v>773</v>
      </c>
      <c r="C24" s="20" t="s">
        <v>774</v>
      </c>
      <c r="D24" s="22" t="s">
        <v>276</v>
      </c>
    </row>
    <row r="25" spans="1:4" ht="25.5" x14ac:dyDescent="0.2">
      <c r="A25" s="22" t="s">
        <v>270</v>
      </c>
      <c r="B25" s="22" t="s">
        <v>265</v>
      </c>
      <c r="C25" s="21" t="s">
        <v>259</v>
      </c>
      <c r="D25" s="22" t="s">
        <v>276</v>
      </c>
    </row>
    <row r="26" spans="1:4" x14ac:dyDescent="0.2">
      <c r="A26" s="22" t="s">
        <v>744</v>
      </c>
      <c r="B26" s="22" t="s">
        <v>356</v>
      </c>
      <c r="C26" s="20" t="s">
        <v>361</v>
      </c>
      <c r="D26" s="22" t="s">
        <v>276</v>
      </c>
    </row>
    <row r="27" spans="1:4" ht="25.5" x14ac:dyDescent="0.2">
      <c r="A27" s="22" t="s">
        <v>273</v>
      </c>
      <c r="B27" s="22" t="s">
        <v>262</v>
      </c>
      <c r="C27" s="21" t="s">
        <v>256</v>
      </c>
      <c r="D27" s="22" t="s">
        <v>276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0000000}">
          <x14:formula1>
            <xm:f>Dropdown!$E$2:$E$4</xm:f>
          </x14:formula1>
          <xm:sqref>D2:D27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5"/>
  <dimension ref="A1:E99"/>
  <sheetViews>
    <sheetView workbookViewId="0">
      <selection activeCell="A15" sqref="A15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3" width="20.5703125" style="1" customWidth="1"/>
    <col min="4" max="16384" width="11.42578125" style="1"/>
  </cols>
  <sheetData>
    <row r="1" spans="1:5" x14ac:dyDescent="0.2">
      <c r="A1" s="1" t="s">
        <v>0</v>
      </c>
      <c r="B1" s="1" t="s">
        <v>201</v>
      </c>
      <c r="C1" s="1" t="s">
        <v>131</v>
      </c>
      <c r="D1" s="1" t="s">
        <v>161</v>
      </c>
      <c r="E1" s="1" t="s">
        <v>275</v>
      </c>
    </row>
    <row r="2" spans="1:5" x14ac:dyDescent="0.2">
      <c r="A2" s="83" t="s">
        <v>29</v>
      </c>
      <c r="B2" s="83" t="s">
        <v>200</v>
      </c>
      <c r="C2" s="83" t="s">
        <v>129</v>
      </c>
      <c r="D2" s="83">
        <v>1</v>
      </c>
      <c r="E2" s="83" t="s">
        <v>276</v>
      </c>
    </row>
    <row r="3" spans="1:5" x14ac:dyDescent="0.2">
      <c r="A3" s="83" t="s">
        <v>53</v>
      </c>
      <c r="B3" s="83" t="s">
        <v>202</v>
      </c>
      <c r="C3" s="83" t="s">
        <v>130</v>
      </c>
      <c r="D3" s="83">
        <v>0</v>
      </c>
      <c r="E3" s="83" t="s">
        <v>277</v>
      </c>
    </row>
    <row r="4" spans="1:5" x14ac:dyDescent="0.2">
      <c r="A4" s="83" t="s">
        <v>54</v>
      </c>
      <c r="B4" s="83" t="s">
        <v>203</v>
      </c>
      <c r="C4" s="83" t="s">
        <v>142</v>
      </c>
      <c r="D4" s="83"/>
      <c r="E4" s="83" t="s">
        <v>279</v>
      </c>
    </row>
    <row r="5" spans="1:5" x14ac:dyDescent="0.2">
      <c r="A5" s="83" t="s">
        <v>72</v>
      </c>
      <c r="B5" s="83" t="s">
        <v>572</v>
      </c>
      <c r="C5" s="83" t="s">
        <v>812</v>
      </c>
      <c r="D5" s="83"/>
      <c r="E5" s="83"/>
    </row>
    <row r="6" spans="1:5" x14ac:dyDescent="0.2">
      <c r="A6" s="83" t="s">
        <v>76</v>
      </c>
      <c r="B6" s="83"/>
      <c r="C6" s="83" t="s">
        <v>816</v>
      </c>
      <c r="D6" s="83"/>
      <c r="E6" s="83"/>
    </row>
    <row r="7" spans="1:5" x14ac:dyDescent="0.2">
      <c r="A7" s="83" t="s">
        <v>77</v>
      </c>
      <c r="B7" s="83"/>
      <c r="C7" s="83" t="s">
        <v>817</v>
      </c>
      <c r="D7" s="83"/>
      <c r="E7" s="83"/>
    </row>
    <row r="8" spans="1:5" x14ac:dyDescent="0.2">
      <c r="A8" s="83" t="s">
        <v>80</v>
      </c>
      <c r="B8" s="83"/>
      <c r="C8" s="83"/>
      <c r="D8" s="83"/>
      <c r="E8" s="83"/>
    </row>
    <row r="9" spans="1:5" x14ac:dyDescent="0.2">
      <c r="A9" s="83" t="s">
        <v>81</v>
      </c>
      <c r="B9" s="83"/>
      <c r="C9" s="83"/>
      <c r="D9" s="83"/>
      <c r="E9" s="83"/>
    </row>
    <row r="10" spans="1:5" x14ac:dyDescent="0.2">
      <c r="A10" s="83" t="s">
        <v>82</v>
      </c>
      <c r="B10" s="83"/>
      <c r="C10" s="83"/>
      <c r="D10" s="83"/>
      <c r="E10" s="83"/>
    </row>
    <row r="11" spans="1:5" x14ac:dyDescent="0.2">
      <c r="A11" s="83" t="s">
        <v>84</v>
      </c>
      <c r="B11" s="83"/>
      <c r="C11" s="83"/>
      <c r="D11" s="83"/>
      <c r="E11" s="83"/>
    </row>
    <row r="12" spans="1:5" x14ac:dyDescent="0.2">
      <c r="A12" s="83" t="s">
        <v>880</v>
      </c>
      <c r="B12" s="83"/>
      <c r="C12" s="83"/>
      <c r="D12" s="83"/>
      <c r="E12" s="83"/>
    </row>
    <row r="13" spans="1:5" x14ac:dyDescent="0.2">
      <c r="A13" s="83" t="s">
        <v>91</v>
      </c>
      <c r="B13" s="83"/>
      <c r="C13" s="83"/>
      <c r="D13" s="83"/>
      <c r="E13" s="83"/>
    </row>
    <row r="14" spans="1:5" x14ac:dyDescent="0.2">
      <c r="A14" s="83" t="s">
        <v>211</v>
      </c>
      <c r="B14" s="83"/>
      <c r="C14" s="83"/>
      <c r="D14" s="83"/>
      <c r="E14" s="83"/>
    </row>
    <row r="15" spans="1:5" x14ac:dyDescent="0.2">
      <c r="A15" s="83" t="s">
        <v>100</v>
      </c>
      <c r="B15" s="83"/>
      <c r="C15" s="83"/>
      <c r="D15" s="83"/>
      <c r="E15" s="83"/>
    </row>
    <row r="16" spans="1:5" x14ac:dyDescent="0.2">
      <c r="A16" s="83" t="s">
        <v>1087</v>
      </c>
      <c r="B16" s="83"/>
      <c r="C16" s="83"/>
      <c r="D16" s="83"/>
      <c r="E16" s="83"/>
    </row>
    <row r="17" spans="1:5" x14ac:dyDescent="0.2">
      <c r="A17" s="83" t="s">
        <v>102</v>
      </c>
      <c r="B17" s="83"/>
      <c r="C17" s="83"/>
      <c r="D17" s="83"/>
      <c r="E17" s="83"/>
    </row>
    <row r="18" spans="1:5" x14ac:dyDescent="0.2">
      <c r="A18" s="83" t="s">
        <v>103</v>
      </c>
      <c r="B18" s="83"/>
      <c r="C18" s="83"/>
      <c r="D18" s="83"/>
      <c r="E18" s="83"/>
    </row>
    <row r="19" spans="1:5" x14ac:dyDescent="0.2">
      <c r="A19" s="83" t="s">
        <v>104</v>
      </c>
      <c r="B19" s="83"/>
      <c r="C19" s="83"/>
      <c r="D19" s="83"/>
      <c r="E19" s="83"/>
    </row>
    <row r="20" spans="1:5" x14ac:dyDescent="0.2">
      <c r="A20" s="83" t="s">
        <v>105</v>
      </c>
      <c r="B20" s="83"/>
      <c r="C20" s="83"/>
      <c r="D20" s="83"/>
      <c r="E20" s="83"/>
    </row>
    <row r="21" spans="1:5" x14ac:dyDescent="0.2">
      <c r="A21" s="83" t="s">
        <v>106</v>
      </c>
      <c r="B21" s="83"/>
      <c r="C21" s="83"/>
      <c r="D21" s="83"/>
      <c r="E21" s="83"/>
    </row>
    <row r="22" spans="1:5" x14ac:dyDescent="0.2">
      <c r="A22" s="83" t="s">
        <v>139</v>
      </c>
      <c r="B22" s="83"/>
      <c r="C22" s="83"/>
      <c r="D22" s="83"/>
      <c r="E22" s="83"/>
    </row>
    <row r="23" spans="1:5" x14ac:dyDescent="0.2">
      <c r="A23" s="83" t="s">
        <v>140</v>
      </c>
      <c r="B23" s="83"/>
      <c r="C23" s="83"/>
      <c r="D23" s="83"/>
      <c r="E23" s="83"/>
    </row>
    <row r="24" spans="1:5" x14ac:dyDescent="0.2">
      <c r="A24" s="83" t="s">
        <v>127</v>
      </c>
      <c r="B24" s="83"/>
      <c r="C24" s="83"/>
      <c r="D24" s="83"/>
      <c r="E24" s="83"/>
    </row>
    <row r="25" spans="1:5" x14ac:dyDescent="0.2">
      <c r="A25" s="83" t="s">
        <v>132</v>
      </c>
      <c r="B25" s="83"/>
      <c r="C25" s="83"/>
      <c r="D25" s="83"/>
      <c r="E25" s="83"/>
    </row>
    <row r="26" spans="1:5" x14ac:dyDescent="0.2">
      <c r="A26" s="83" t="s">
        <v>133</v>
      </c>
      <c r="B26" s="83"/>
      <c r="C26" s="83"/>
      <c r="D26" s="83"/>
      <c r="E26" s="83"/>
    </row>
    <row r="27" spans="1:5" x14ac:dyDescent="0.2">
      <c r="A27" s="83" t="s">
        <v>286</v>
      </c>
      <c r="B27" s="83"/>
      <c r="C27" s="83"/>
      <c r="D27" s="83"/>
      <c r="E27" s="83"/>
    </row>
    <row r="28" spans="1:5" x14ac:dyDescent="0.2">
      <c r="A28" s="83" t="s">
        <v>135</v>
      </c>
      <c r="B28" s="83"/>
      <c r="C28" s="83"/>
      <c r="D28" s="83"/>
      <c r="E28" s="83"/>
    </row>
    <row r="29" spans="1:5" x14ac:dyDescent="0.2">
      <c r="A29" s="83" t="s">
        <v>136</v>
      </c>
      <c r="B29" s="83"/>
      <c r="C29" s="83"/>
      <c r="D29" s="83"/>
      <c r="E29" s="83"/>
    </row>
    <row r="30" spans="1:5" x14ac:dyDescent="0.2">
      <c r="A30" s="83" t="s">
        <v>137</v>
      </c>
      <c r="B30" s="83"/>
      <c r="C30" s="83"/>
      <c r="D30" s="83"/>
      <c r="E30" s="83"/>
    </row>
    <row r="31" spans="1:5" x14ac:dyDescent="0.2">
      <c r="A31" s="83" t="s">
        <v>138</v>
      </c>
      <c r="B31" s="83"/>
      <c r="C31" s="83"/>
      <c r="D31" s="83"/>
      <c r="E31" s="83"/>
    </row>
    <row r="32" spans="1:5" x14ac:dyDescent="0.2">
      <c r="A32" s="83" t="s">
        <v>141</v>
      </c>
      <c r="B32" s="83"/>
      <c r="C32" s="83"/>
      <c r="D32" s="83"/>
      <c r="E32" s="83"/>
    </row>
    <row r="33" spans="1:5" x14ac:dyDescent="0.2">
      <c r="A33" s="83" t="s">
        <v>151</v>
      </c>
      <c r="B33" s="83"/>
      <c r="C33" s="83"/>
      <c r="D33" s="83"/>
      <c r="E33" s="83"/>
    </row>
    <row r="34" spans="1:5" x14ac:dyDescent="0.2">
      <c r="A34" s="83" t="s">
        <v>165</v>
      </c>
      <c r="B34" s="83"/>
      <c r="C34" s="83"/>
      <c r="D34" s="83"/>
      <c r="E34" s="83"/>
    </row>
    <row r="35" spans="1:5" x14ac:dyDescent="0.2">
      <c r="A35" s="83" t="s">
        <v>186</v>
      </c>
      <c r="B35" s="83"/>
      <c r="C35" s="83"/>
      <c r="D35" s="83"/>
      <c r="E35" s="83"/>
    </row>
    <row r="36" spans="1:5" x14ac:dyDescent="0.2">
      <c r="A36" s="83" t="s">
        <v>187</v>
      </c>
      <c r="B36" s="83"/>
      <c r="C36" s="83"/>
      <c r="D36" s="83"/>
      <c r="E36" s="83"/>
    </row>
    <row r="37" spans="1:5" x14ac:dyDescent="0.2">
      <c r="A37" s="83" t="s">
        <v>188</v>
      </c>
      <c r="B37" s="83"/>
      <c r="C37" s="83"/>
      <c r="D37" s="83"/>
      <c r="E37" s="83"/>
    </row>
    <row r="38" spans="1:5" x14ac:dyDescent="0.2">
      <c r="A38" s="83" t="s">
        <v>189</v>
      </c>
      <c r="B38" s="83"/>
      <c r="C38" s="83"/>
      <c r="D38" s="83"/>
      <c r="E38" s="83"/>
    </row>
    <row r="39" spans="1:5" x14ac:dyDescent="0.2">
      <c r="A39" s="83" t="s">
        <v>190</v>
      </c>
      <c r="B39" s="83"/>
      <c r="C39" s="83"/>
      <c r="D39" s="83"/>
      <c r="E39" s="83"/>
    </row>
    <row r="40" spans="1:5" x14ac:dyDescent="0.2">
      <c r="A40" s="83" t="s">
        <v>191</v>
      </c>
      <c r="B40" s="83"/>
      <c r="C40" s="83"/>
      <c r="D40" s="83"/>
      <c r="E40" s="83"/>
    </row>
    <row r="41" spans="1:5" x14ac:dyDescent="0.2">
      <c r="A41" s="83" t="s">
        <v>192</v>
      </c>
      <c r="B41" s="83"/>
      <c r="C41" s="83"/>
      <c r="D41" s="83"/>
      <c r="E41" s="83"/>
    </row>
    <row r="42" spans="1:5" x14ac:dyDescent="0.2">
      <c r="A42" s="83" t="s">
        <v>193</v>
      </c>
      <c r="B42" s="83"/>
      <c r="C42" s="83"/>
      <c r="D42" s="83"/>
      <c r="E42" s="83"/>
    </row>
    <row r="43" spans="1:5" x14ac:dyDescent="0.2">
      <c r="A43" s="83" t="s">
        <v>209</v>
      </c>
      <c r="B43" s="83"/>
      <c r="C43" s="83"/>
      <c r="D43" s="83"/>
      <c r="E43" s="83"/>
    </row>
    <row r="44" spans="1:5" x14ac:dyDescent="0.2">
      <c r="A44" s="83" t="s">
        <v>210</v>
      </c>
      <c r="B44" s="83"/>
      <c r="C44" s="83"/>
      <c r="D44" s="83"/>
      <c r="E44" s="83"/>
    </row>
    <row r="45" spans="1:5" x14ac:dyDescent="0.2">
      <c r="A45" s="83" t="s">
        <v>212</v>
      </c>
      <c r="B45" s="83"/>
      <c r="C45" s="83"/>
      <c r="D45" s="83"/>
      <c r="E45" s="83"/>
    </row>
    <row r="46" spans="1:5" x14ac:dyDescent="0.2">
      <c r="A46" s="83" t="s">
        <v>213</v>
      </c>
      <c r="B46" s="83"/>
      <c r="C46" s="83"/>
      <c r="D46" s="83"/>
      <c r="E46" s="83"/>
    </row>
    <row r="47" spans="1:5" x14ac:dyDescent="0.2">
      <c r="A47" s="83" t="s">
        <v>222</v>
      </c>
      <c r="B47" s="83"/>
      <c r="C47" s="83"/>
      <c r="D47" s="83"/>
      <c r="E47" s="83"/>
    </row>
    <row r="48" spans="1:5" x14ac:dyDescent="0.2">
      <c r="A48" s="83" t="s">
        <v>224</v>
      </c>
      <c r="B48" s="83"/>
      <c r="C48" s="83"/>
      <c r="D48" s="83"/>
      <c r="E48" s="83"/>
    </row>
    <row r="49" spans="1:5" x14ac:dyDescent="0.2">
      <c r="A49" s="83" t="s">
        <v>280</v>
      </c>
      <c r="B49" s="83"/>
      <c r="C49" s="83"/>
      <c r="D49" s="83"/>
      <c r="E49" s="83"/>
    </row>
    <row r="50" spans="1:5" x14ac:dyDescent="0.2">
      <c r="A50" s="83" t="s">
        <v>312</v>
      </c>
      <c r="B50" s="83"/>
      <c r="C50" s="83"/>
      <c r="D50" s="83"/>
      <c r="E50" s="83"/>
    </row>
    <row r="51" spans="1:5" x14ac:dyDescent="0.2">
      <c r="A51" s="83" t="s">
        <v>287</v>
      </c>
      <c r="B51" s="83"/>
      <c r="C51" s="83"/>
      <c r="D51" s="83"/>
      <c r="E51" s="83"/>
    </row>
    <row r="52" spans="1:5" x14ac:dyDescent="0.2">
      <c r="A52" s="83" t="s">
        <v>292</v>
      </c>
      <c r="B52" s="83"/>
      <c r="C52" s="83"/>
      <c r="D52" s="83"/>
      <c r="E52" s="83"/>
    </row>
    <row r="53" spans="1:5" x14ac:dyDescent="0.2">
      <c r="A53" s="83" t="s">
        <v>293</v>
      </c>
      <c r="B53" s="83"/>
      <c r="C53" s="83"/>
      <c r="D53" s="83"/>
      <c r="E53" s="83"/>
    </row>
    <row r="54" spans="1:5" x14ac:dyDescent="0.2">
      <c r="A54" s="83" t="s">
        <v>294</v>
      </c>
      <c r="B54" s="83"/>
      <c r="C54" s="83"/>
      <c r="D54" s="83"/>
      <c r="E54" s="83"/>
    </row>
    <row r="55" spans="1:5" x14ac:dyDescent="0.2">
      <c r="A55" s="83" t="s">
        <v>295</v>
      </c>
      <c r="B55" s="83"/>
      <c r="C55" s="83"/>
      <c r="D55" s="83"/>
      <c r="E55" s="83"/>
    </row>
    <row r="56" spans="1:5" x14ac:dyDescent="0.2">
      <c r="A56" s="83" t="s">
        <v>296</v>
      </c>
      <c r="B56" s="83"/>
      <c r="C56" s="83"/>
      <c r="D56" s="83"/>
      <c r="E56" s="83"/>
    </row>
    <row r="57" spans="1:5" x14ac:dyDescent="0.2">
      <c r="A57" s="83" t="s">
        <v>297</v>
      </c>
      <c r="B57" s="83"/>
      <c r="C57" s="83"/>
      <c r="D57" s="83"/>
      <c r="E57" s="83"/>
    </row>
    <row r="58" spans="1:5" x14ac:dyDescent="0.2">
      <c r="A58" s="83" t="s">
        <v>298</v>
      </c>
      <c r="B58" s="83"/>
      <c r="C58" s="83"/>
      <c r="D58" s="83"/>
      <c r="E58" s="83"/>
    </row>
    <row r="59" spans="1:5" x14ac:dyDescent="0.2">
      <c r="A59" s="83" t="s">
        <v>299</v>
      </c>
      <c r="B59" s="83"/>
      <c r="C59" s="83"/>
      <c r="D59" s="83"/>
      <c r="E59" s="83"/>
    </row>
    <row r="60" spans="1:5" x14ac:dyDescent="0.2">
      <c r="A60" s="83" t="s">
        <v>300</v>
      </c>
      <c r="B60" s="83"/>
      <c r="C60" s="83"/>
      <c r="D60" s="83"/>
      <c r="E60" s="83"/>
    </row>
    <row r="61" spans="1:5" x14ac:dyDescent="0.2">
      <c r="A61" s="83" t="s">
        <v>328</v>
      </c>
      <c r="B61" s="83"/>
      <c r="C61" s="83"/>
      <c r="D61" s="83"/>
      <c r="E61" s="83"/>
    </row>
    <row r="62" spans="1:5" x14ac:dyDescent="0.2">
      <c r="A62" s="83" t="s">
        <v>365</v>
      </c>
      <c r="B62" s="83"/>
      <c r="C62" s="83"/>
      <c r="D62" s="83"/>
      <c r="E62" s="83"/>
    </row>
    <row r="63" spans="1:5" x14ac:dyDescent="0.2">
      <c r="A63" s="83" t="s">
        <v>373</v>
      </c>
      <c r="B63" s="83"/>
      <c r="C63" s="83"/>
      <c r="D63" s="83"/>
      <c r="E63" s="83"/>
    </row>
    <row r="64" spans="1:5" x14ac:dyDescent="0.2">
      <c r="A64" s="83" t="s">
        <v>376</v>
      </c>
      <c r="B64" s="83"/>
      <c r="C64" s="83"/>
      <c r="D64" s="83"/>
      <c r="E64" s="83"/>
    </row>
    <row r="65" spans="1:5" x14ac:dyDescent="0.2">
      <c r="A65" s="83" t="s">
        <v>377</v>
      </c>
      <c r="B65" s="83"/>
      <c r="C65" s="83"/>
      <c r="D65" s="83"/>
      <c r="E65" s="83"/>
    </row>
    <row r="66" spans="1:5" x14ac:dyDescent="0.2">
      <c r="A66" s="83" t="s">
        <v>392</v>
      </c>
      <c r="B66" s="83"/>
      <c r="C66" s="83"/>
      <c r="D66" s="83"/>
      <c r="E66" s="83"/>
    </row>
    <row r="67" spans="1:5" x14ac:dyDescent="0.2">
      <c r="A67" s="83" t="s">
        <v>401</v>
      </c>
      <c r="B67" s="83"/>
      <c r="C67" s="83"/>
      <c r="D67" s="83"/>
      <c r="E67" s="83"/>
    </row>
    <row r="68" spans="1:5" x14ac:dyDescent="0.2">
      <c r="A68" s="83" t="s">
        <v>406</v>
      </c>
      <c r="B68" s="83"/>
      <c r="C68" s="83"/>
      <c r="D68" s="83"/>
      <c r="E68" s="83"/>
    </row>
    <row r="69" spans="1:5" x14ac:dyDescent="0.2">
      <c r="A69" s="83" t="s">
        <v>412</v>
      </c>
      <c r="B69" s="83"/>
      <c r="C69" s="83"/>
      <c r="D69" s="83"/>
      <c r="E69" s="83"/>
    </row>
    <row r="70" spans="1:5" x14ac:dyDescent="0.2">
      <c r="A70" s="83" t="s">
        <v>411</v>
      </c>
      <c r="B70" s="83"/>
      <c r="C70" s="83"/>
      <c r="D70" s="83"/>
      <c r="E70" s="83"/>
    </row>
    <row r="71" spans="1:5" x14ac:dyDescent="0.2">
      <c r="A71" s="83" t="s">
        <v>1015</v>
      </c>
      <c r="B71" s="83"/>
      <c r="C71" s="83"/>
      <c r="D71" s="83"/>
      <c r="E71" s="83"/>
    </row>
    <row r="72" spans="1:5" x14ac:dyDescent="0.2">
      <c r="A72" s="83" t="s">
        <v>535</v>
      </c>
      <c r="B72" s="83"/>
      <c r="C72" s="83"/>
      <c r="D72" s="83"/>
      <c r="E72" s="83"/>
    </row>
    <row r="73" spans="1:5" x14ac:dyDescent="0.2">
      <c r="A73" s="83" t="s">
        <v>536</v>
      </c>
      <c r="B73" s="83"/>
      <c r="C73" s="83"/>
      <c r="D73" s="83"/>
      <c r="E73" s="83"/>
    </row>
    <row r="74" spans="1:5" x14ac:dyDescent="0.2">
      <c r="A74" s="83" t="s">
        <v>537</v>
      </c>
      <c r="B74" s="83"/>
      <c r="C74" s="83"/>
      <c r="D74" s="83"/>
      <c r="E74" s="83"/>
    </row>
    <row r="75" spans="1:5" x14ac:dyDescent="0.2">
      <c r="A75" s="83" t="s">
        <v>542</v>
      </c>
      <c r="B75" s="83"/>
      <c r="C75" s="83"/>
      <c r="D75" s="83"/>
      <c r="E75" s="83"/>
    </row>
    <row r="76" spans="1:5" x14ac:dyDescent="0.2">
      <c r="A76" s="83" t="s">
        <v>569</v>
      </c>
      <c r="B76" s="83"/>
      <c r="C76" s="83"/>
      <c r="D76" s="83"/>
      <c r="E76" s="83"/>
    </row>
    <row r="77" spans="1:5" x14ac:dyDescent="0.2">
      <c r="A77" s="83" t="s">
        <v>570</v>
      </c>
      <c r="B77" s="83"/>
      <c r="C77" s="83"/>
      <c r="D77" s="83"/>
      <c r="E77" s="83"/>
    </row>
    <row r="78" spans="1:5" x14ac:dyDescent="0.2">
      <c r="A78" s="83" t="s">
        <v>650</v>
      </c>
      <c r="B78" s="83"/>
      <c r="C78" s="83"/>
      <c r="D78" s="83"/>
      <c r="E78" s="83"/>
    </row>
    <row r="79" spans="1:5" x14ac:dyDescent="0.2">
      <c r="A79" s="83" t="s">
        <v>649</v>
      </c>
      <c r="B79" s="83"/>
      <c r="C79" s="83"/>
      <c r="D79" s="83"/>
      <c r="E79" s="83"/>
    </row>
    <row r="80" spans="1:5" x14ac:dyDescent="0.2">
      <c r="A80" s="83" t="s">
        <v>746</v>
      </c>
      <c r="B80" s="83"/>
      <c r="C80" s="83"/>
      <c r="D80" s="83"/>
      <c r="E80" s="83"/>
    </row>
    <row r="81" spans="1:5" x14ac:dyDescent="0.2">
      <c r="A81" s="91" t="s">
        <v>747</v>
      </c>
      <c r="B81" s="91"/>
      <c r="C81" s="91"/>
      <c r="D81" s="91"/>
      <c r="E81" s="91"/>
    </row>
    <row r="82" spans="1:5" x14ac:dyDescent="0.2">
      <c r="A82" s="83" t="s">
        <v>758</v>
      </c>
      <c r="B82" s="83"/>
      <c r="C82" s="83"/>
      <c r="D82" s="83"/>
      <c r="E82" s="83"/>
    </row>
    <row r="83" spans="1:5" x14ac:dyDescent="0.2">
      <c r="A83" s="91" t="s">
        <v>761</v>
      </c>
      <c r="B83" s="91"/>
      <c r="C83" s="91"/>
      <c r="D83" s="91"/>
      <c r="E83" s="91"/>
    </row>
    <row r="84" spans="1:5" x14ac:dyDescent="0.2">
      <c r="A84" s="83" t="s">
        <v>765</v>
      </c>
      <c r="B84" s="83"/>
      <c r="C84" s="83"/>
      <c r="D84" s="83"/>
      <c r="E84" s="83"/>
    </row>
    <row r="85" spans="1:5" x14ac:dyDescent="0.2">
      <c r="A85" s="91" t="s">
        <v>767</v>
      </c>
      <c r="B85" s="91"/>
      <c r="C85" s="91"/>
      <c r="D85" s="91"/>
      <c r="E85" s="91"/>
    </row>
    <row r="86" spans="1:5" x14ac:dyDescent="0.2">
      <c r="A86" s="83" t="s">
        <v>788</v>
      </c>
      <c r="B86" s="83"/>
      <c r="C86" s="83"/>
      <c r="D86" s="83"/>
      <c r="E86" s="83"/>
    </row>
    <row r="87" spans="1:5" x14ac:dyDescent="0.2">
      <c r="A87" s="91" t="s">
        <v>789</v>
      </c>
      <c r="B87" s="91"/>
      <c r="C87" s="91"/>
      <c r="D87" s="91"/>
      <c r="E87" s="91"/>
    </row>
    <row r="88" spans="1:5" x14ac:dyDescent="0.2">
      <c r="A88" s="83" t="s">
        <v>811</v>
      </c>
      <c r="B88" s="83"/>
      <c r="C88" s="83"/>
      <c r="D88" s="83"/>
      <c r="E88" s="83"/>
    </row>
    <row r="89" spans="1:5" x14ac:dyDescent="0.2">
      <c r="A89" s="91" t="s">
        <v>813</v>
      </c>
      <c r="B89" s="91"/>
      <c r="C89" s="91"/>
      <c r="D89" s="91"/>
      <c r="E89" s="91"/>
    </row>
    <row r="90" spans="1:5" x14ac:dyDescent="0.2">
      <c r="A90" s="83" t="s">
        <v>818</v>
      </c>
      <c r="B90" s="83"/>
      <c r="C90" s="83"/>
      <c r="D90" s="83"/>
      <c r="E90" s="83"/>
    </row>
    <row r="91" spans="1:5" x14ac:dyDescent="0.2">
      <c r="A91" s="91" t="s">
        <v>819</v>
      </c>
      <c r="B91" s="91"/>
      <c r="C91" s="91"/>
      <c r="D91" s="91"/>
      <c r="E91" s="91"/>
    </row>
    <row r="92" spans="1:5" x14ac:dyDescent="0.2">
      <c r="A92" s="83" t="s">
        <v>862</v>
      </c>
      <c r="B92" s="83"/>
      <c r="C92" s="83"/>
      <c r="D92" s="83"/>
      <c r="E92" s="83"/>
    </row>
    <row r="93" spans="1:5" x14ac:dyDescent="0.2">
      <c r="A93" s="83" t="s">
        <v>867</v>
      </c>
      <c r="B93" s="83"/>
      <c r="C93" s="83"/>
      <c r="D93" s="83"/>
      <c r="E93" s="83"/>
    </row>
    <row r="94" spans="1:5" x14ac:dyDescent="0.2">
      <c r="A94" s="83" t="s">
        <v>868</v>
      </c>
      <c r="B94" s="83"/>
      <c r="C94" s="83"/>
      <c r="D94" s="83"/>
      <c r="E94" s="83"/>
    </row>
    <row r="95" spans="1:5" x14ac:dyDescent="0.2">
      <c r="A95" s="83" t="s">
        <v>869</v>
      </c>
      <c r="B95" s="83"/>
      <c r="C95" s="83"/>
      <c r="D95" s="83"/>
      <c r="E95" s="83"/>
    </row>
    <row r="96" spans="1:5" x14ac:dyDescent="0.2">
      <c r="A96" s="83" t="s">
        <v>933</v>
      </c>
      <c r="B96" s="83"/>
      <c r="C96" s="83"/>
      <c r="D96" s="83"/>
      <c r="E96" s="83"/>
    </row>
    <row r="97" spans="1:5" x14ac:dyDescent="0.2">
      <c r="A97" s="83" t="s">
        <v>934</v>
      </c>
      <c r="B97" s="83"/>
      <c r="C97" s="83"/>
      <c r="D97" s="83"/>
      <c r="E97" s="83"/>
    </row>
    <row r="98" spans="1:5" x14ac:dyDescent="0.2">
      <c r="A98" s="83" t="s">
        <v>959</v>
      </c>
      <c r="B98" s="83"/>
      <c r="C98" s="83"/>
      <c r="D98" s="83"/>
      <c r="E98" s="83"/>
    </row>
    <row r="99" spans="1:5" x14ac:dyDescent="0.2">
      <c r="A99" s="83" t="s">
        <v>960</v>
      </c>
      <c r="B99" s="83"/>
      <c r="C99" s="83"/>
      <c r="D99" s="83"/>
      <c r="E99" s="83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D2AD-3744-4E1A-98A5-A2428620E467}">
  <sheetPr codeName="Tabelle36"/>
  <dimension ref="A1:H171"/>
  <sheetViews>
    <sheetView topLeftCell="A67" workbookViewId="0">
      <selection activeCell="H73" sqref="H73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6.5703125" style="1" customWidth="1"/>
    <col min="7" max="16384" width="11.42578125" style="1"/>
  </cols>
  <sheetData>
    <row r="1" spans="1:6" x14ac:dyDescent="0.2">
      <c r="A1" s="95" t="s">
        <v>874</v>
      </c>
      <c r="B1" s="95" t="s">
        <v>898</v>
      </c>
      <c r="C1" s="95" t="s">
        <v>899</v>
      </c>
      <c r="D1" s="95" t="s">
        <v>900</v>
      </c>
      <c r="E1" s="95" t="s">
        <v>1038</v>
      </c>
      <c r="F1" s="1" t="s">
        <v>1091</v>
      </c>
    </row>
    <row r="2" spans="1:6" x14ac:dyDescent="0.2">
      <c r="A2" s="96" t="s">
        <v>29</v>
      </c>
      <c r="B2" s="96" t="s">
        <v>29</v>
      </c>
      <c r="C2" s="96" t="s">
        <v>1090</v>
      </c>
      <c r="D2" s="96" t="s">
        <v>1090</v>
      </c>
      <c r="E2" s="97" t="s">
        <v>0</v>
      </c>
      <c r="F2" s="1">
        <v>1</v>
      </c>
    </row>
    <row r="3" spans="1:6" x14ac:dyDescent="0.2">
      <c r="A3" s="1" t="s">
        <v>53</v>
      </c>
      <c r="B3" s="1" t="s">
        <v>41</v>
      </c>
      <c r="C3" s="1" t="s">
        <v>1090</v>
      </c>
      <c r="D3" s="1" t="s">
        <v>1090</v>
      </c>
      <c r="E3" s="98" t="s">
        <v>0</v>
      </c>
      <c r="F3" s="1">
        <v>1</v>
      </c>
    </row>
    <row r="4" spans="1:6" x14ac:dyDescent="0.2">
      <c r="A4" s="5" t="s">
        <v>54</v>
      </c>
      <c r="B4" s="5" t="s">
        <v>54</v>
      </c>
      <c r="C4" s="5" t="s">
        <v>1090</v>
      </c>
      <c r="D4" s="5" t="s">
        <v>1090</v>
      </c>
      <c r="E4" s="99" t="s">
        <v>0</v>
      </c>
      <c r="F4" s="1">
        <v>1</v>
      </c>
    </row>
    <row r="5" spans="1:6" x14ac:dyDescent="0.2">
      <c r="A5" s="1" t="s">
        <v>72</v>
      </c>
      <c r="B5" s="1" t="s">
        <v>875</v>
      </c>
      <c r="C5" s="1" t="s">
        <v>1090</v>
      </c>
      <c r="D5" s="1" t="s">
        <v>1090</v>
      </c>
      <c r="E5" s="98" t="s">
        <v>0</v>
      </c>
      <c r="F5" s="1">
        <v>1</v>
      </c>
    </row>
    <row r="6" spans="1:6" x14ac:dyDescent="0.2">
      <c r="A6" s="5" t="s">
        <v>76</v>
      </c>
      <c r="B6" s="5" t="s">
        <v>875</v>
      </c>
      <c r="C6" s="5" t="s">
        <v>1090</v>
      </c>
      <c r="D6" s="5" t="s">
        <v>1090</v>
      </c>
      <c r="E6" s="99" t="s">
        <v>0</v>
      </c>
      <c r="F6" s="1">
        <v>1</v>
      </c>
    </row>
    <row r="7" spans="1:6" x14ac:dyDescent="0.2">
      <c r="A7" s="1" t="s">
        <v>77</v>
      </c>
      <c r="B7" s="1" t="s">
        <v>876</v>
      </c>
      <c r="C7" s="1" t="s">
        <v>1090</v>
      </c>
      <c r="D7" s="1" t="s">
        <v>1090</v>
      </c>
      <c r="E7" s="98" t="s">
        <v>0</v>
      </c>
      <c r="F7" s="1">
        <v>1</v>
      </c>
    </row>
    <row r="8" spans="1:6" x14ac:dyDescent="0.2">
      <c r="A8" s="5" t="s">
        <v>80</v>
      </c>
      <c r="B8" s="5" t="s">
        <v>877</v>
      </c>
      <c r="C8" s="5" t="s">
        <v>1090</v>
      </c>
      <c r="D8" s="5" t="s">
        <v>1090</v>
      </c>
      <c r="E8" s="99" t="s">
        <v>0</v>
      </c>
      <c r="F8" s="1">
        <v>1</v>
      </c>
    </row>
    <row r="9" spans="1:6" x14ac:dyDescent="0.2">
      <c r="A9" s="1" t="s">
        <v>81</v>
      </c>
      <c r="B9" s="1" t="s">
        <v>81</v>
      </c>
      <c r="C9" s="1" t="s">
        <v>1090</v>
      </c>
      <c r="D9" s="1" t="s">
        <v>1090</v>
      </c>
      <c r="E9" s="98" t="s">
        <v>0</v>
      </c>
      <c r="F9" s="1">
        <v>1</v>
      </c>
    </row>
    <row r="10" spans="1:6" x14ac:dyDescent="0.2">
      <c r="A10" s="5" t="s">
        <v>82</v>
      </c>
      <c r="B10" s="5" t="s">
        <v>878</v>
      </c>
      <c r="C10" s="5" t="s">
        <v>1090</v>
      </c>
      <c r="D10" s="5" t="s">
        <v>1090</v>
      </c>
      <c r="E10" s="99" t="s">
        <v>0</v>
      </c>
      <c r="F10" s="1">
        <v>1</v>
      </c>
    </row>
    <row r="11" spans="1:6" x14ac:dyDescent="0.2">
      <c r="A11" s="1" t="s">
        <v>84</v>
      </c>
      <c r="B11" s="1" t="s">
        <v>879</v>
      </c>
      <c r="C11" s="1" t="s">
        <v>1090</v>
      </c>
      <c r="D11" s="1" t="s">
        <v>1090</v>
      </c>
      <c r="E11" s="98" t="s">
        <v>0</v>
      </c>
      <c r="F11" s="1">
        <v>1</v>
      </c>
    </row>
    <row r="12" spans="1:6" x14ac:dyDescent="0.2">
      <c r="A12" s="5" t="s">
        <v>880</v>
      </c>
      <c r="B12" s="5" t="s">
        <v>880</v>
      </c>
      <c r="C12" s="5" t="s">
        <v>1090</v>
      </c>
      <c r="D12" s="5" t="s">
        <v>1090</v>
      </c>
      <c r="E12" s="99" t="s">
        <v>0</v>
      </c>
      <c r="F12" s="1">
        <v>1</v>
      </c>
    </row>
    <row r="13" spans="1:6" x14ac:dyDescent="0.2">
      <c r="A13" s="1" t="s">
        <v>91</v>
      </c>
      <c r="B13" s="1" t="s">
        <v>881</v>
      </c>
      <c r="C13" s="1" t="s">
        <v>1090</v>
      </c>
      <c r="D13" s="1" t="s">
        <v>1090</v>
      </c>
      <c r="E13" s="98" t="s">
        <v>1037</v>
      </c>
      <c r="F13" s="1">
        <v>1</v>
      </c>
    </row>
    <row r="14" spans="1:6" x14ac:dyDescent="0.2">
      <c r="A14" s="5" t="s">
        <v>211</v>
      </c>
      <c r="B14" s="5" t="s">
        <v>882</v>
      </c>
      <c r="C14" s="5" t="s">
        <v>1090</v>
      </c>
      <c r="D14" s="5" t="s">
        <v>1090</v>
      </c>
      <c r="E14" s="99" t="s">
        <v>1037</v>
      </c>
      <c r="F14" s="1">
        <v>1</v>
      </c>
    </row>
    <row r="15" spans="1:6" x14ac:dyDescent="0.2">
      <c r="A15" s="1" t="s">
        <v>100</v>
      </c>
      <c r="B15" s="1" t="s">
        <v>881</v>
      </c>
      <c r="C15" s="1" t="s">
        <v>1090</v>
      </c>
      <c r="D15" s="1" t="s">
        <v>1090</v>
      </c>
      <c r="E15" s="98" t="s">
        <v>1037</v>
      </c>
      <c r="F15" s="1">
        <v>1</v>
      </c>
    </row>
    <row r="16" spans="1:6" x14ac:dyDescent="0.2">
      <c r="A16" s="5" t="s">
        <v>1087</v>
      </c>
      <c r="B16" s="5" t="s">
        <v>881</v>
      </c>
      <c r="C16" s="5" t="s">
        <v>1090</v>
      </c>
      <c r="D16" s="5" t="s">
        <v>1090</v>
      </c>
      <c r="E16" s="99" t="s">
        <v>1037</v>
      </c>
      <c r="F16" s="1">
        <v>1</v>
      </c>
    </row>
    <row r="17" spans="1:6" x14ac:dyDescent="0.2">
      <c r="A17" s="1" t="s">
        <v>102</v>
      </c>
      <c r="B17" s="1" t="s">
        <v>883</v>
      </c>
      <c r="C17" s="1" t="s">
        <v>1090</v>
      </c>
      <c r="D17" s="1" t="s">
        <v>1090</v>
      </c>
      <c r="E17" s="98" t="s">
        <v>1037</v>
      </c>
      <c r="F17" s="1">
        <v>1</v>
      </c>
    </row>
    <row r="18" spans="1:6" x14ac:dyDescent="0.2">
      <c r="A18" s="5" t="s">
        <v>103</v>
      </c>
      <c r="B18" s="5" t="s">
        <v>884</v>
      </c>
      <c r="C18" s="5" t="s">
        <v>1090</v>
      </c>
      <c r="D18" s="5" t="s">
        <v>1090</v>
      </c>
      <c r="E18" s="99" t="s">
        <v>1037</v>
      </c>
      <c r="F18" s="1">
        <v>1</v>
      </c>
    </row>
    <row r="19" spans="1:6" x14ac:dyDescent="0.2">
      <c r="A19" s="1" t="s">
        <v>104</v>
      </c>
      <c r="B19" s="1" t="s">
        <v>884</v>
      </c>
      <c r="C19" s="1" t="s">
        <v>1090</v>
      </c>
      <c r="D19" s="1" t="s">
        <v>1090</v>
      </c>
      <c r="E19" s="98" t="s">
        <v>1037</v>
      </c>
      <c r="F19" s="1">
        <v>1</v>
      </c>
    </row>
    <row r="20" spans="1:6" x14ac:dyDescent="0.2">
      <c r="A20" s="5" t="s">
        <v>105</v>
      </c>
      <c r="B20" s="5" t="s">
        <v>884</v>
      </c>
      <c r="C20" s="5" t="s">
        <v>1090</v>
      </c>
      <c r="D20" s="5" t="s">
        <v>1090</v>
      </c>
      <c r="E20" s="99" t="s">
        <v>1037</v>
      </c>
      <c r="F20" s="1">
        <v>1</v>
      </c>
    </row>
    <row r="21" spans="1:6" x14ac:dyDescent="0.2">
      <c r="A21" s="1" t="s">
        <v>106</v>
      </c>
      <c r="B21" s="1" t="s">
        <v>884</v>
      </c>
      <c r="C21" s="1" t="s">
        <v>1090</v>
      </c>
      <c r="D21" s="1" t="s">
        <v>1090</v>
      </c>
      <c r="E21" s="98" t="s">
        <v>1037</v>
      </c>
      <c r="F21" s="1">
        <v>1</v>
      </c>
    </row>
    <row r="22" spans="1:6" x14ac:dyDescent="0.2">
      <c r="A22" s="5" t="s">
        <v>139</v>
      </c>
      <c r="B22" s="5" t="s">
        <v>885</v>
      </c>
      <c r="C22" s="5" t="s">
        <v>1090</v>
      </c>
      <c r="D22" s="5" t="s">
        <v>1090</v>
      </c>
      <c r="E22" s="99" t="s">
        <v>1037</v>
      </c>
      <c r="F22" s="1">
        <v>1</v>
      </c>
    </row>
    <row r="23" spans="1:6" x14ac:dyDescent="0.2">
      <c r="A23" s="1" t="s">
        <v>140</v>
      </c>
      <c r="B23" s="1" t="s">
        <v>886</v>
      </c>
      <c r="C23" s="1" t="s">
        <v>1090</v>
      </c>
      <c r="D23" s="1" t="s">
        <v>1090</v>
      </c>
      <c r="E23" s="98" t="s">
        <v>1037</v>
      </c>
      <c r="F23" s="1">
        <v>1</v>
      </c>
    </row>
    <row r="24" spans="1:6" x14ac:dyDescent="0.2">
      <c r="A24" s="5" t="s">
        <v>127</v>
      </c>
      <c r="B24" s="5" t="s">
        <v>887</v>
      </c>
      <c r="C24" s="5" t="s">
        <v>1090</v>
      </c>
      <c r="D24" s="5" t="s">
        <v>1090</v>
      </c>
      <c r="E24" s="99" t="s">
        <v>1037</v>
      </c>
      <c r="F24" s="1">
        <v>1</v>
      </c>
    </row>
    <row r="25" spans="1:6" x14ac:dyDescent="0.2">
      <c r="A25" s="1" t="s">
        <v>132</v>
      </c>
      <c r="B25" s="1" t="s">
        <v>132</v>
      </c>
      <c r="C25" s="1" t="s">
        <v>1090</v>
      </c>
      <c r="D25" s="1" t="s">
        <v>1090</v>
      </c>
      <c r="E25" s="98" t="s">
        <v>1039</v>
      </c>
      <c r="F25" s="1">
        <v>1</v>
      </c>
    </row>
    <row r="26" spans="1:6" x14ac:dyDescent="0.2">
      <c r="A26" s="5" t="s">
        <v>133</v>
      </c>
      <c r="B26" s="5" t="s">
        <v>888</v>
      </c>
      <c r="C26" s="5" t="s">
        <v>1090</v>
      </c>
      <c r="D26" s="5" t="s">
        <v>1090</v>
      </c>
      <c r="E26" s="99" t="s">
        <v>1039</v>
      </c>
      <c r="F26" s="1">
        <v>1</v>
      </c>
    </row>
    <row r="27" spans="1:6" x14ac:dyDescent="0.2">
      <c r="A27" s="1" t="s">
        <v>286</v>
      </c>
      <c r="B27" s="1" t="s">
        <v>286</v>
      </c>
      <c r="C27" s="1" t="s">
        <v>1090</v>
      </c>
      <c r="D27" s="1" t="s">
        <v>1090</v>
      </c>
      <c r="E27" s="98" t="s">
        <v>1039</v>
      </c>
      <c r="F27" s="1">
        <v>1</v>
      </c>
    </row>
    <row r="28" spans="1:6" x14ac:dyDescent="0.2">
      <c r="A28" s="5" t="s">
        <v>135</v>
      </c>
      <c r="B28" s="5" t="s">
        <v>889</v>
      </c>
      <c r="C28" s="5" t="s">
        <v>1090</v>
      </c>
      <c r="D28" s="5" t="s">
        <v>1090</v>
      </c>
      <c r="E28" s="99" t="s">
        <v>1039</v>
      </c>
      <c r="F28" s="1">
        <v>1</v>
      </c>
    </row>
    <row r="29" spans="1:6" x14ac:dyDescent="0.2">
      <c r="A29" s="1" t="s">
        <v>136</v>
      </c>
      <c r="B29" s="1" t="s">
        <v>890</v>
      </c>
      <c r="C29" s="1" t="s">
        <v>1090</v>
      </c>
      <c r="D29" s="1" t="s">
        <v>1090</v>
      </c>
      <c r="E29" s="98" t="s">
        <v>1039</v>
      </c>
      <c r="F29" s="1">
        <v>1</v>
      </c>
    </row>
    <row r="30" spans="1:6" x14ac:dyDescent="0.2">
      <c r="A30" s="5" t="s">
        <v>137</v>
      </c>
      <c r="B30" s="5" t="s">
        <v>137</v>
      </c>
      <c r="C30" s="5" t="s">
        <v>1090</v>
      </c>
      <c r="D30" s="5" t="s">
        <v>1090</v>
      </c>
      <c r="E30" s="99" t="s">
        <v>1037</v>
      </c>
      <c r="F30" s="1">
        <v>1</v>
      </c>
    </row>
    <row r="31" spans="1:6" x14ac:dyDescent="0.2">
      <c r="A31" s="1" t="s">
        <v>138</v>
      </c>
      <c r="B31" s="1" t="s">
        <v>885</v>
      </c>
      <c r="C31" s="1" t="s">
        <v>1090</v>
      </c>
      <c r="D31" s="1" t="s">
        <v>1090</v>
      </c>
      <c r="E31" s="98" t="s">
        <v>1037</v>
      </c>
      <c r="F31" s="1">
        <v>1</v>
      </c>
    </row>
    <row r="32" spans="1:6" x14ac:dyDescent="0.2">
      <c r="A32" s="5" t="s">
        <v>141</v>
      </c>
      <c r="B32" s="5" t="s">
        <v>886</v>
      </c>
      <c r="C32" s="5" t="s">
        <v>1090</v>
      </c>
      <c r="D32" s="5" t="s">
        <v>1090</v>
      </c>
      <c r="E32" s="99" t="s">
        <v>1037</v>
      </c>
      <c r="F32" s="1">
        <v>1</v>
      </c>
    </row>
    <row r="33" spans="1:6" x14ac:dyDescent="0.2">
      <c r="A33" s="1" t="s">
        <v>151</v>
      </c>
      <c r="B33" s="1" t="s">
        <v>891</v>
      </c>
      <c r="C33" s="1" t="s">
        <v>1090</v>
      </c>
      <c r="D33" s="1" t="s">
        <v>1090</v>
      </c>
      <c r="E33" s="98" t="s">
        <v>1037</v>
      </c>
      <c r="F33" s="1">
        <v>1</v>
      </c>
    </row>
    <row r="34" spans="1:6" x14ac:dyDescent="0.2">
      <c r="A34" s="5" t="s">
        <v>165</v>
      </c>
      <c r="B34" s="5" t="s">
        <v>132</v>
      </c>
      <c r="C34" s="5" t="s">
        <v>888</v>
      </c>
      <c r="D34" s="99" t="s">
        <v>286</v>
      </c>
      <c r="E34" s="99" t="s">
        <v>1039</v>
      </c>
      <c r="F34" s="1">
        <v>0</v>
      </c>
    </row>
    <row r="35" spans="1:6" x14ac:dyDescent="0.2">
      <c r="A35" s="1" t="s">
        <v>186</v>
      </c>
      <c r="B35" s="1" t="s">
        <v>901</v>
      </c>
      <c r="C35" s="1" t="s">
        <v>1090</v>
      </c>
      <c r="D35" s="1" t="s">
        <v>1090</v>
      </c>
      <c r="E35" s="98" t="s">
        <v>644</v>
      </c>
      <c r="F35" s="1">
        <v>1</v>
      </c>
    </row>
    <row r="36" spans="1:6" x14ac:dyDescent="0.2">
      <c r="A36" s="5" t="s">
        <v>187</v>
      </c>
      <c r="B36" s="5" t="s">
        <v>902</v>
      </c>
      <c r="C36" s="5" t="s">
        <v>1090</v>
      </c>
      <c r="D36" s="5" t="s">
        <v>1090</v>
      </c>
      <c r="E36" s="99" t="s">
        <v>644</v>
      </c>
      <c r="F36" s="1">
        <v>1</v>
      </c>
    </row>
    <row r="37" spans="1:6" x14ac:dyDescent="0.2">
      <c r="A37" s="1" t="s">
        <v>188</v>
      </c>
      <c r="B37" s="1" t="s">
        <v>907</v>
      </c>
      <c r="C37" s="1" t="s">
        <v>1090</v>
      </c>
      <c r="D37" s="1" t="s">
        <v>1090</v>
      </c>
      <c r="E37" s="98" t="s">
        <v>644</v>
      </c>
      <c r="F37" s="1">
        <v>1</v>
      </c>
    </row>
    <row r="38" spans="1:6" x14ac:dyDescent="0.2">
      <c r="A38" s="5" t="s">
        <v>189</v>
      </c>
      <c r="B38" s="5" t="s">
        <v>908</v>
      </c>
      <c r="C38" s="5" t="s">
        <v>1090</v>
      </c>
      <c r="D38" s="5" t="s">
        <v>1090</v>
      </c>
      <c r="E38" s="99" t="s">
        <v>644</v>
      </c>
      <c r="F38" s="1">
        <v>1</v>
      </c>
    </row>
    <row r="39" spans="1:6" x14ac:dyDescent="0.2">
      <c r="A39" s="1" t="s">
        <v>190</v>
      </c>
      <c r="B39" s="1" t="s">
        <v>903</v>
      </c>
      <c r="C39" s="1" t="s">
        <v>1090</v>
      </c>
      <c r="D39" s="1" t="s">
        <v>1090</v>
      </c>
      <c r="E39" s="98" t="s">
        <v>644</v>
      </c>
      <c r="F39" s="1">
        <v>1</v>
      </c>
    </row>
    <row r="40" spans="1:6" x14ac:dyDescent="0.2">
      <c r="A40" s="5" t="s">
        <v>191</v>
      </c>
      <c r="B40" s="5" t="s">
        <v>904</v>
      </c>
      <c r="C40" s="5" t="s">
        <v>1090</v>
      </c>
      <c r="D40" s="5" t="s">
        <v>1090</v>
      </c>
      <c r="E40" s="99" t="s">
        <v>644</v>
      </c>
      <c r="F40" s="1">
        <v>1</v>
      </c>
    </row>
    <row r="41" spans="1:6" x14ac:dyDescent="0.2">
      <c r="A41" s="1" t="s">
        <v>192</v>
      </c>
      <c r="B41" s="1" t="s">
        <v>905</v>
      </c>
      <c r="C41" s="1" t="s">
        <v>1090</v>
      </c>
      <c r="D41" s="1" t="s">
        <v>1090</v>
      </c>
      <c r="E41" s="98" t="s">
        <v>644</v>
      </c>
      <c r="F41" s="1">
        <v>1</v>
      </c>
    </row>
    <row r="42" spans="1:6" x14ac:dyDescent="0.2">
      <c r="A42" s="5" t="s">
        <v>193</v>
      </c>
      <c r="B42" s="5" t="s">
        <v>916</v>
      </c>
      <c r="C42" s="5" t="s">
        <v>1090</v>
      </c>
      <c r="D42" s="5" t="s">
        <v>1090</v>
      </c>
      <c r="E42" s="99" t="s">
        <v>644</v>
      </c>
      <c r="F42" s="1">
        <v>1</v>
      </c>
    </row>
    <row r="43" spans="1:6" x14ac:dyDescent="0.2">
      <c r="A43" s="1" t="s">
        <v>209</v>
      </c>
      <c r="B43" s="1" t="s">
        <v>883</v>
      </c>
      <c r="C43" s="1" t="s">
        <v>1090</v>
      </c>
      <c r="D43" s="1" t="s">
        <v>1090</v>
      </c>
      <c r="E43" s="98" t="s">
        <v>1037</v>
      </c>
      <c r="F43" s="1">
        <v>1</v>
      </c>
    </row>
    <row r="44" spans="1:6" x14ac:dyDescent="0.2">
      <c r="A44" s="5" t="s">
        <v>210</v>
      </c>
      <c r="B44" s="5" t="s">
        <v>892</v>
      </c>
      <c r="C44" s="5" t="s">
        <v>1090</v>
      </c>
      <c r="D44" s="5" t="s">
        <v>1090</v>
      </c>
      <c r="E44" s="99" t="s">
        <v>1037</v>
      </c>
      <c r="F44" s="1">
        <v>1</v>
      </c>
    </row>
    <row r="45" spans="1:6" x14ac:dyDescent="0.2">
      <c r="A45" s="1" t="s">
        <v>212</v>
      </c>
      <c r="B45" s="1" t="s">
        <v>884</v>
      </c>
      <c r="C45" s="1" t="s">
        <v>1090</v>
      </c>
      <c r="D45" s="1" t="s">
        <v>1090</v>
      </c>
      <c r="E45" s="98" t="s">
        <v>1037</v>
      </c>
      <c r="F45" s="1">
        <v>1</v>
      </c>
    </row>
    <row r="46" spans="1:6" x14ac:dyDescent="0.2">
      <c r="A46" s="5" t="s">
        <v>213</v>
      </c>
      <c r="B46" s="5" t="s">
        <v>886</v>
      </c>
      <c r="C46" s="5" t="s">
        <v>137</v>
      </c>
      <c r="D46" s="5" t="s">
        <v>1090</v>
      </c>
      <c r="E46" s="99" t="s">
        <v>1037</v>
      </c>
      <c r="F46" s="1">
        <v>1</v>
      </c>
    </row>
    <row r="47" spans="1:6" x14ac:dyDescent="0.2">
      <c r="A47" s="1" t="s">
        <v>222</v>
      </c>
      <c r="B47" s="1" t="s">
        <v>893</v>
      </c>
      <c r="C47" s="1" t="s">
        <v>1090</v>
      </c>
      <c r="D47" s="1" t="s">
        <v>1090</v>
      </c>
      <c r="E47" s="98" t="s">
        <v>1037</v>
      </c>
      <c r="F47" s="1">
        <v>1</v>
      </c>
    </row>
    <row r="48" spans="1:6" x14ac:dyDescent="0.2">
      <c r="A48" s="5" t="s">
        <v>224</v>
      </c>
      <c r="B48" s="5" t="s">
        <v>894</v>
      </c>
      <c r="C48" s="5" t="s">
        <v>1090</v>
      </c>
      <c r="D48" s="5" t="s">
        <v>1090</v>
      </c>
      <c r="E48" s="99" t="s">
        <v>0</v>
      </c>
      <c r="F48" s="1">
        <v>1</v>
      </c>
    </row>
    <row r="49" spans="1:8" x14ac:dyDescent="0.2">
      <c r="A49" s="1" t="s">
        <v>280</v>
      </c>
      <c r="B49" s="1" t="s">
        <v>875</v>
      </c>
      <c r="C49" s="1" t="s">
        <v>1090</v>
      </c>
      <c r="D49" s="1" t="s">
        <v>1090</v>
      </c>
      <c r="E49" s="98" t="s">
        <v>0</v>
      </c>
      <c r="F49" s="1">
        <v>1</v>
      </c>
    </row>
    <row r="50" spans="1:8" x14ac:dyDescent="0.2">
      <c r="A50" s="5" t="s">
        <v>312</v>
      </c>
      <c r="B50" s="5" t="s">
        <v>894</v>
      </c>
      <c r="C50" s="5" t="s">
        <v>1090</v>
      </c>
      <c r="D50" s="5" t="s">
        <v>1090</v>
      </c>
      <c r="E50" s="99" t="s">
        <v>0</v>
      </c>
      <c r="F50" s="1">
        <v>1</v>
      </c>
    </row>
    <row r="51" spans="1:8" x14ac:dyDescent="0.2">
      <c r="A51" s="1" t="s">
        <v>287</v>
      </c>
      <c r="B51" s="1" t="s">
        <v>895</v>
      </c>
      <c r="C51" s="1" t="s">
        <v>1090</v>
      </c>
      <c r="D51" s="1" t="s">
        <v>1090</v>
      </c>
      <c r="E51" s="98" t="s">
        <v>1039</v>
      </c>
      <c r="F51" s="1">
        <v>1</v>
      </c>
    </row>
    <row r="52" spans="1:8" x14ac:dyDescent="0.2">
      <c r="A52" s="5" t="s">
        <v>292</v>
      </c>
      <c r="B52" s="5" t="s">
        <v>919</v>
      </c>
      <c r="C52" s="5" t="s">
        <v>1090</v>
      </c>
      <c r="D52" s="5" t="s">
        <v>1090</v>
      </c>
      <c r="E52" s="99" t="s">
        <v>644</v>
      </c>
      <c r="F52" s="1">
        <v>1</v>
      </c>
    </row>
    <row r="53" spans="1:8" x14ac:dyDescent="0.2">
      <c r="A53" s="1" t="s">
        <v>293</v>
      </c>
      <c r="B53" s="1" t="s">
        <v>293</v>
      </c>
      <c r="C53" s="1" t="s">
        <v>1090</v>
      </c>
      <c r="D53" s="1" t="s">
        <v>1090</v>
      </c>
      <c r="E53" s="98" t="s">
        <v>644</v>
      </c>
      <c r="F53" s="1">
        <v>1</v>
      </c>
    </row>
    <row r="54" spans="1:8" x14ac:dyDescent="0.2">
      <c r="A54" s="5" t="s">
        <v>294</v>
      </c>
      <c r="B54" s="5" t="s">
        <v>294</v>
      </c>
      <c r="C54" s="5" t="s">
        <v>1090</v>
      </c>
      <c r="D54" s="5" t="s">
        <v>1090</v>
      </c>
      <c r="E54" s="99" t="s">
        <v>644</v>
      </c>
      <c r="F54" s="1">
        <v>1</v>
      </c>
    </row>
    <row r="55" spans="1:8" x14ac:dyDescent="0.2">
      <c r="A55" s="1" t="s">
        <v>295</v>
      </c>
      <c r="B55" s="1" t="s">
        <v>295</v>
      </c>
      <c r="C55" s="1" t="s">
        <v>1090</v>
      </c>
      <c r="D55" s="1" t="s">
        <v>1090</v>
      </c>
      <c r="E55" s="98" t="s">
        <v>644</v>
      </c>
      <c r="F55" s="1">
        <v>1</v>
      </c>
    </row>
    <row r="56" spans="1:8" x14ac:dyDescent="0.2">
      <c r="A56" s="5" t="s">
        <v>296</v>
      </c>
      <c r="B56" s="5" t="s">
        <v>296</v>
      </c>
      <c r="C56" s="5" t="s">
        <v>1090</v>
      </c>
      <c r="D56" s="5" t="s">
        <v>1090</v>
      </c>
      <c r="E56" s="99" t="s">
        <v>644</v>
      </c>
      <c r="F56" s="1">
        <v>1</v>
      </c>
    </row>
    <row r="57" spans="1:8" x14ac:dyDescent="0.2">
      <c r="A57" s="1" t="s">
        <v>297</v>
      </c>
      <c r="B57" s="1" t="s">
        <v>297</v>
      </c>
      <c r="C57" s="1" t="s">
        <v>1090</v>
      </c>
      <c r="D57" s="1" t="s">
        <v>1090</v>
      </c>
      <c r="E57" s="98" t="s">
        <v>644</v>
      </c>
      <c r="F57" s="1">
        <v>1</v>
      </c>
    </row>
    <row r="58" spans="1:8" x14ac:dyDescent="0.2">
      <c r="A58" s="5" t="s">
        <v>298</v>
      </c>
      <c r="B58" s="5" t="s">
        <v>298</v>
      </c>
      <c r="C58" s="5" t="s">
        <v>1090</v>
      </c>
      <c r="D58" s="5" t="s">
        <v>1090</v>
      </c>
      <c r="E58" s="99" t="s">
        <v>644</v>
      </c>
      <c r="F58" s="1">
        <v>1</v>
      </c>
    </row>
    <row r="59" spans="1:8" x14ac:dyDescent="0.2">
      <c r="A59" s="1" t="s">
        <v>299</v>
      </c>
      <c r="B59" s="1" t="s">
        <v>920</v>
      </c>
      <c r="C59" s="1" t="s">
        <v>1090</v>
      </c>
      <c r="D59" s="1" t="s">
        <v>1090</v>
      </c>
      <c r="E59" s="98" t="s">
        <v>644</v>
      </c>
      <c r="F59" s="1">
        <v>1</v>
      </c>
    </row>
    <row r="60" spans="1:8" x14ac:dyDescent="0.2">
      <c r="A60" s="5" t="s">
        <v>300</v>
      </c>
      <c r="B60" s="5" t="s">
        <v>300</v>
      </c>
      <c r="C60" s="5" t="s">
        <v>1090</v>
      </c>
      <c r="D60" s="5" t="s">
        <v>1090</v>
      </c>
      <c r="E60" s="99" t="s">
        <v>644</v>
      </c>
      <c r="F60" s="1">
        <v>1</v>
      </c>
    </row>
    <row r="61" spans="1:8" x14ac:dyDescent="0.2">
      <c r="A61" s="1" t="s">
        <v>328</v>
      </c>
      <c r="B61" s="1" t="s">
        <v>29</v>
      </c>
      <c r="C61" s="1" t="s">
        <v>41</v>
      </c>
      <c r="D61" s="1" t="s">
        <v>1090</v>
      </c>
      <c r="E61" s="98" t="s">
        <v>0</v>
      </c>
      <c r="F61" s="1">
        <v>0</v>
      </c>
    </row>
    <row r="62" spans="1:8" x14ac:dyDescent="0.2">
      <c r="A62" s="5" t="s">
        <v>365</v>
      </c>
      <c r="B62" s="5" t="s">
        <v>884</v>
      </c>
      <c r="C62" s="5" t="s">
        <v>1090</v>
      </c>
      <c r="D62" s="5" t="s">
        <v>1090</v>
      </c>
      <c r="E62" s="99" t="s">
        <v>1037</v>
      </c>
      <c r="F62" s="1">
        <v>1</v>
      </c>
    </row>
    <row r="63" spans="1:8" ht="15" x14ac:dyDescent="0.25">
      <c r="A63" s="1" t="s">
        <v>373</v>
      </c>
      <c r="B63" s="1" t="s">
        <v>896</v>
      </c>
      <c r="C63" s="1" t="s">
        <v>1090</v>
      </c>
      <c r="D63" s="1" t="s">
        <v>1090</v>
      </c>
      <c r="E63" s="98" t="s">
        <v>0</v>
      </c>
      <c r="F63" s="1">
        <v>1</v>
      </c>
      <c r="H63"/>
    </row>
    <row r="64" spans="1:8" ht="15" x14ac:dyDescent="0.25">
      <c r="A64" s="5" t="s">
        <v>376</v>
      </c>
      <c r="B64" s="5" t="s">
        <v>881</v>
      </c>
      <c r="C64" s="5" t="s">
        <v>1090</v>
      </c>
      <c r="D64" s="5" t="s">
        <v>1090</v>
      </c>
      <c r="E64" s="99" t="s">
        <v>1037</v>
      </c>
      <c r="F64" s="1">
        <v>1</v>
      </c>
      <c r="H64"/>
    </row>
    <row r="65" spans="1:8" ht="15" x14ac:dyDescent="0.25">
      <c r="A65" s="1" t="s">
        <v>377</v>
      </c>
      <c r="B65" s="1" t="s">
        <v>897</v>
      </c>
      <c r="C65" s="1" t="s">
        <v>1090</v>
      </c>
      <c r="D65" s="1" t="s">
        <v>1090</v>
      </c>
      <c r="E65" s="98" t="s">
        <v>1037</v>
      </c>
      <c r="F65" s="1">
        <v>1</v>
      </c>
      <c r="H65"/>
    </row>
    <row r="66" spans="1:8" ht="15" x14ac:dyDescent="0.25">
      <c r="A66" s="5" t="s">
        <v>392</v>
      </c>
      <c r="B66" s="5" t="s">
        <v>883</v>
      </c>
      <c r="C66" s="5" t="s">
        <v>1090</v>
      </c>
      <c r="D66" s="5" t="s">
        <v>1090</v>
      </c>
      <c r="E66" s="99" t="s">
        <v>1037</v>
      </c>
      <c r="F66" s="1">
        <v>1</v>
      </c>
      <c r="H66"/>
    </row>
    <row r="67" spans="1:8" ht="15" x14ac:dyDescent="0.25">
      <c r="A67" s="1" t="s">
        <v>401</v>
      </c>
      <c r="B67" s="1" t="s">
        <v>401</v>
      </c>
      <c r="C67" s="1" t="s">
        <v>1090</v>
      </c>
      <c r="D67" s="1" t="s">
        <v>1090</v>
      </c>
      <c r="E67" s="98" t="s">
        <v>644</v>
      </c>
      <c r="F67" s="1">
        <v>1</v>
      </c>
      <c r="H67"/>
    </row>
    <row r="68" spans="1:8" ht="15" x14ac:dyDescent="0.25">
      <c r="A68" s="5" t="s">
        <v>406</v>
      </c>
      <c r="B68" s="5" t="s">
        <v>881</v>
      </c>
      <c r="C68" s="5" t="s">
        <v>1090</v>
      </c>
      <c r="D68" s="5" t="s">
        <v>1090</v>
      </c>
      <c r="E68" s="99" t="s">
        <v>1037</v>
      </c>
      <c r="F68" s="1">
        <v>1</v>
      </c>
      <c r="H68"/>
    </row>
    <row r="69" spans="1:8" ht="15" x14ac:dyDescent="0.25">
      <c r="A69" s="1" t="s">
        <v>412</v>
      </c>
      <c r="B69" s="1" t="s">
        <v>54</v>
      </c>
      <c r="C69" s="1" t="s">
        <v>41</v>
      </c>
      <c r="D69" s="1" t="s">
        <v>1090</v>
      </c>
      <c r="E69" s="98" t="s">
        <v>0</v>
      </c>
      <c r="F69" s="1">
        <v>0</v>
      </c>
      <c r="H69"/>
    </row>
    <row r="70" spans="1:8" ht="15" x14ac:dyDescent="0.25">
      <c r="A70" s="5" t="s">
        <v>411</v>
      </c>
      <c r="B70" s="5" t="s">
        <v>880</v>
      </c>
      <c r="C70" s="5" t="s">
        <v>906</v>
      </c>
      <c r="D70" s="5" t="s">
        <v>1090</v>
      </c>
      <c r="E70" s="99" t="s">
        <v>0</v>
      </c>
      <c r="F70" s="1">
        <v>0</v>
      </c>
      <c r="H70"/>
    </row>
    <row r="71" spans="1:8" ht="15" x14ac:dyDescent="0.25">
      <c r="A71" s="1" t="s">
        <v>1015</v>
      </c>
      <c r="B71" s="1" t="s">
        <v>882</v>
      </c>
      <c r="C71" s="1" t="s">
        <v>1090</v>
      </c>
      <c r="D71" s="1" t="s">
        <v>1090</v>
      </c>
      <c r="E71" s="98" t="s">
        <v>0</v>
      </c>
      <c r="F71" s="1">
        <v>1</v>
      </c>
      <c r="H71"/>
    </row>
    <row r="72" spans="1:8" ht="15" x14ac:dyDescent="0.25">
      <c r="A72" s="5" t="s">
        <v>535</v>
      </c>
      <c r="B72" s="5" t="s">
        <v>535</v>
      </c>
      <c r="C72" s="5" t="s">
        <v>1090</v>
      </c>
      <c r="D72" s="5" t="s">
        <v>1090</v>
      </c>
      <c r="E72" s="99" t="s">
        <v>1037</v>
      </c>
      <c r="F72" s="1">
        <v>1</v>
      </c>
      <c r="H72"/>
    </row>
    <row r="73" spans="1:8" ht="15" x14ac:dyDescent="0.25">
      <c r="A73" s="1" t="s">
        <v>536</v>
      </c>
      <c r="B73" s="1" t="s">
        <v>883</v>
      </c>
      <c r="C73" s="1" t="s">
        <v>884</v>
      </c>
      <c r="D73" s="1" t="s">
        <v>1090</v>
      </c>
      <c r="E73" s="98" t="s">
        <v>1037</v>
      </c>
      <c r="F73" s="1">
        <v>0</v>
      </c>
      <c r="H73"/>
    </row>
    <row r="74" spans="1:8" ht="15" x14ac:dyDescent="0.25">
      <c r="A74" s="5" t="s">
        <v>537</v>
      </c>
      <c r="B74" s="5" t="s">
        <v>909</v>
      </c>
      <c r="C74" s="5" t="s">
        <v>1090</v>
      </c>
      <c r="D74" s="5" t="s">
        <v>1090</v>
      </c>
      <c r="E74" s="99" t="s">
        <v>1037</v>
      </c>
      <c r="F74" s="1">
        <v>1</v>
      </c>
      <c r="H74"/>
    </row>
    <row r="75" spans="1:8" ht="15" x14ac:dyDescent="0.25">
      <c r="A75" s="1" t="s">
        <v>542</v>
      </c>
      <c r="B75" s="1" t="s">
        <v>542</v>
      </c>
      <c r="C75" s="1" t="s">
        <v>1090</v>
      </c>
      <c r="D75" s="1" t="s">
        <v>1090</v>
      </c>
      <c r="E75" s="98" t="s">
        <v>1037</v>
      </c>
      <c r="F75" s="1">
        <v>1</v>
      </c>
      <c r="H75"/>
    </row>
    <row r="76" spans="1:8" ht="15" x14ac:dyDescent="0.25">
      <c r="A76" s="5" t="s">
        <v>569</v>
      </c>
      <c r="B76" s="5" t="s">
        <v>913</v>
      </c>
      <c r="C76" s="5" t="s">
        <v>1090</v>
      </c>
      <c r="D76" s="5" t="s">
        <v>1090</v>
      </c>
      <c r="E76" s="99" t="s">
        <v>0</v>
      </c>
      <c r="F76" s="1">
        <v>1</v>
      </c>
      <c r="H76"/>
    </row>
    <row r="77" spans="1:8" ht="15" x14ac:dyDescent="0.25">
      <c r="A77" s="1" t="s">
        <v>570</v>
      </c>
      <c r="B77" s="1" t="s">
        <v>875</v>
      </c>
      <c r="C77" s="1" t="s">
        <v>910</v>
      </c>
      <c r="D77" s="98" t="s">
        <v>911</v>
      </c>
      <c r="E77" s="98" t="s">
        <v>0</v>
      </c>
      <c r="F77" s="1">
        <v>1</v>
      </c>
      <c r="H77"/>
    </row>
    <row r="78" spans="1:8" ht="15" x14ac:dyDescent="0.25">
      <c r="A78" s="5" t="s">
        <v>650</v>
      </c>
      <c r="B78" s="5" t="s">
        <v>883</v>
      </c>
      <c r="C78" s="5" t="s">
        <v>1090</v>
      </c>
      <c r="D78" s="5" t="s">
        <v>1090</v>
      </c>
      <c r="E78" s="99" t="s">
        <v>1037</v>
      </c>
      <c r="F78" s="1">
        <v>1</v>
      </c>
      <c r="H78"/>
    </row>
    <row r="79" spans="1:8" ht="15" x14ac:dyDescent="0.25">
      <c r="A79" s="1" t="s">
        <v>649</v>
      </c>
      <c r="B79" s="1" t="s">
        <v>649</v>
      </c>
      <c r="C79" s="1" t="s">
        <v>1090</v>
      </c>
      <c r="D79" s="1" t="s">
        <v>1090</v>
      </c>
      <c r="E79" s="98" t="s">
        <v>0</v>
      </c>
      <c r="F79" s="1">
        <v>1</v>
      </c>
      <c r="H79"/>
    </row>
    <row r="80" spans="1:8" ht="15" x14ac:dyDescent="0.25">
      <c r="A80" s="5" t="s">
        <v>746</v>
      </c>
      <c r="B80" s="5" t="s">
        <v>912</v>
      </c>
      <c r="C80" s="5" t="s">
        <v>1090</v>
      </c>
      <c r="D80" s="5" t="s">
        <v>1090</v>
      </c>
      <c r="E80" s="99" t="s">
        <v>1037</v>
      </c>
      <c r="F80" s="1">
        <v>1</v>
      </c>
      <c r="H80"/>
    </row>
    <row r="81" spans="1:8" ht="15" x14ac:dyDescent="0.25">
      <c r="A81" s="1" t="s">
        <v>747</v>
      </c>
      <c r="B81" s="1" t="s">
        <v>913</v>
      </c>
      <c r="C81" s="1" t="s">
        <v>1090</v>
      </c>
      <c r="D81" s="1" t="s">
        <v>1090</v>
      </c>
      <c r="E81" s="98" t="s">
        <v>0</v>
      </c>
      <c r="F81" s="1">
        <v>1</v>
      </c>
      <c r="H81"/>
    </row>
    <row r="82" spans="1:8" ht="15" x14ac:dyDescent="0.25">
      <c r="A82" s="5" t="s">
        <v>758</v>
      </c>
      <c r="B82" s="5" t="s">
        <v>916</v>
      </c>
      <c r="C82" s="5" t="s">
        <v>1090</v>
      </c>
      <c r="D82" s="5" t="s">
        <v>1090</v>
      </c>
      <c r="E82" s="99" t="s">
        <v>644</v>
      </c>
      <c r="F82" s="1">
        <v>1</v>
      </c>
      <c r="H82"/>
    </row>
    <row r="83" spans="1:8" ht="15" x14ac:dyDescent="0.25">
      <c r="A83" s="1" t="s">
        <v>761</v>
      </c>
      <c r="B83" s="1" t="s">
        <v>917</v>
      </c>
      <c r="C83" s="1" t="s">
        <v>1090</v>
      </c>
      <c r="D83" s="1" t="s">
        <v>1090</v>
      </c>
      <c r="E83" s="98" t="s">
        <v>644</v>
      </c>
      <c r="F83" s="1">
        <v>1</v>
      </c>
      <c r="H83"/>
    </row>
    <row r="84" spans="1:8" ht="15" x14ac:dyDescent="0.25">
      <c r="A84" s="5" t="s">
        <v>765</v>
      </c>
      <c r="B84" s="5" t="s">
        <v>788</v>
      </c>
      <c r="C84" s="5" t="s">
        <v>1090</v>
      </c>
      <c r="D84" s="5" t="s">
        <v>1090</v>
      </c>
      <c r="E84" s="99" t="s">
        <v>1037</v>
      </c>
      <c r="F84" s="1">
        <v>1</v>
      </c>
      <c r="H84"/>
    </row>
    <row r="85" spans="1:8" ht="15" x14ac:dyDescent="0.25">
      <c r="A85" s="1" t="s">
        <v>767</v>
      </c>
      <c r="B85" s="1" t="s">
        <v>915</v>
      </c>
      <c r="C85" s="1" t="s">
        <v>1090</v>
      </c>
      <c r="D85" s="1" t="s">
        <v>1090</v>
      </c>
      <c r="E85" s="98" t="s">
        <v>1040</v>
      </c>
      <c r="F85" s="1">
        <v>1</v>
      </c>
      <c r="H85"/>
    </row>
    <row r="86" spans="1:8" ht="15" x14ac:dyDescent="0.25">
      <c r="A86" s="5" t="s">
        <v>788</v>
      </c>
      <c r="B86" s="5" t="s">
        <v>788</v>
      </c>
      <c r="C86" s="5" t="s">
        <v>1090</v>
      </c>
      <c r="D86" s="5" t="s">
        <v>1090</v>
      </c>
      <c r="E86" s="99" t="s">
        <v>1037</v>
      </c>
      <c r="F86" s="1">
        <v>1</v>
      </c>
      <c r="H86"/>
    </row>
    <row r="87" spans="1:8" ht="15" x14ac:dyDescent="0.25">
      <c r="A87" s="1" t="s">
        <v>789</v>
      </c>
      <c r="B87" s="1" t="s">
        <v>912</v>
      </c>
      <c r="C87" s="1" t="s">
        <v>1090</v>
      </c>
      <c r="D87" s="1" t="s">
        <v>1090</v>
      </c>
      <c r="E87" s="98" t="s">
        <v>1037</v>
      </c>
      <c r="F87" s="1">
        <v>1</v>
      </c>
      <c r="H87"/>
    </row>
    <row r="88" spans="1:8" ht="15" x14ac:dyDescent="0.25">
      <c r="A88" s="5" t="s">
        <v>811</v>
      </c>
      <c r="B88" s="5" t="s">
        <v>881</v>
      </c>
      <c r="C88" s="5" t="s">
        <v>1090</v>
      </c>
      <c r="D88" s="5" t="s">
        <v>1090</v>
      </c>
      <c r="E88" s="99" t="s">
        <v>1037</v>
      </c>
      <c r="F88" s="1">
        <v>1</v>
      </c>
      <c r="H88"/>
    </row>
    <row r="89" spans="1:8" ht="15" x14ac:dyDescent="0.25">
      <c r="A89" s="1" t="s">
        <v>813</v>
      </c>
      <c r="B89" s="1" t="s">
        <v>880</v>
      </c>
      <c r="C89" s="1" t="s">
        <v>1090</v>
      </c>
      <c r="D89" s="1" t="s">
        <v>1090</v>
      </c>
      <c r="E89" s="98" t="s">
        <v>0</v>
      </c>
      <c r="F89" s="1">
        <v>1</v>
      </c>
      <c r="H89"/>
    </row>
    <row r="90" spans="1:8" ht="15" x14ac:dyDescent="0.25">
      <c r="A90" s="5" t="s">
        <v>818</v>
      </c>
      <c r="B90" s="5" t="s">
        <v>818</v>
      </c>
      <c r="C90" s="5" t="s">
        <v>1090</v>
      </c>
      <c r="D90" s="5" t="s">
        <v>1090</v>
      </c>
      <c r="E90" s="99" t="s">
        <v>1040</v>
      </c>
      <c r="F90" s="1">
        <v>1</v>
      </c>
      <c r="H90"/>
    </row>
    <row r="91" spans="1:8" ht="15" x14ac:dyDescent="0.25">
      <c r="A91" s="1" t="s">
        <v>819</v>
      </c>
      <c r="B91" s="1" t="s">
        <v>819</v>
      </c>
      <c r="C91" s="1" t="s">
        <v>1090</v>
      </c>
      <c r="D91" s="1" t="s">
        <v>1090</v>
      </c>
      <c r="E91" s="98" t="s">
        <v>1040</v>
      </c>
      <c r="F91" s="1">
        <v>1</v>
      </c>
      <c r="H91"/>
    </row>
    <row r="92" spans="1:8" ht="15" x14ac:dyDescent="0.25">
      <c r="A92" s="5" t="s">
        <v>862</v>
      </c>
      <c r="B92" s="5" t="s">
        <v>885</v>
      </c>
      <c r="C92" s="5" t="s">
        <v>1090</v>
      </c>
      <c r="D92" s="5" t="s">
        <v>1090</v>
      </c>
      <c r="E92" s="99" t="s">
        <v>1037</v>
      </c>
      <c r="F92" s="1">
        <v>1</v>
      </c>
      <c r="H92"/>
    </row>
    <row r="93" spans="1:8" ht="15" x14ac:dyDescent="0.25">
      <c r="A93" s="1" t="s">
        <v>867</v>
      </c>
      <c r="B93" s="1" t="s">
        <v>914</v>
      </c>
      <c r="C93" s="1" t="s">
        <v>1090</v>
      </c>
      <c r="D93" s="1" t="s">
        <v>1090</v>
      </c>
      <c r="E93" s="98" t="s">
        <v>1039</v>
      </c>
      <c r="F93" s="1">
        <v>1</v>
      </c>
      <c r="H93"/>
    </row>
    <row r="94" spans="1:8" ht="15" x14ac:dyDescent="0.25">
      <c r="A94" s="5" t="s">
        <v>868</v>
      </c>
      <c r="B94" s="5" t="s">
        <v>918</v>
      </c>
      <c r="C94" s="5" t="s">
        <v>1090</v>
      </c>
      <c r="D94" s="5" t="s">
        <v>1090</v>
      </c>
      <c r="E94" s="99" t="s">
        <v>1037</v>
      </c>
      <c r="F94" s="1">
        <v>1</v>
      </c>
      <c r="H94"/>
    </row>
    <row r="95" spans="1:8" ht="15" x14ac:dyDescent="0.25">
      <c r="A95" s="1" t="s">
        <v>869</v>
      </c>
      <c r="B95" s="1" t="s">
        <v>869</v>
      </c>
      <c r="C95" s="1" t="s">
        <v>1090</v>
      </c>
      <c r="D95" s="1" t="s">
        <v>1090</v>
      </c>
      <c r="E95" s="98" t="s">
        <v>1037</v>
      </c>
      <c r="F95" s="1">
        <v>1</v>
      </c>
      <c r="H95"/>
    </row>
    <row r="96" spans="1:8" ht="15" x14ac:dyDescent="0.25">
      <c r="A96" s="5" t="s">
        <v>933</v>
      </c>
      <c r="B96" s="5" t="s">
        <v>916</v>
      </c>
      <c r="C96" s="5" t="s">
        <v>1090</v>
      </c>
      <c r="D96" s="5" t="s">
        <v>1090</v>
      </c>
      <c r="E96" s="99" t="s">
        <v>644</v>
      </c>
      <c r="F96" s="1">
        <v>1</v>
      </c>
      <c r="H96"/>
    </row>
    <row r="97" spans="1:8" ht="15" x14ac:dyDescent="0.25">
      <c r="A97" s="1" t="s">
        <v>934</v>
      </c>
      <c r="B97" s="1" t="s">
        <v>916</v>
      </c>
      <c r="C97" s="1" t="s">
        <v>1090</v>
      </c>
      <c r="D97" s="1" t="s">
        <v>1090</v>
      </c>
      <c r="E97" s="98" t="s">
        <v>644</v>
      </c>
      <c r="F97" s="1">
        <v>1</v>
      </c>
      <c r="H97"/>
    </row>
    <row r="98" spans="1:8" ht="15" x14ac:dyDescent="0.25">
      <c r="A98" s="5" t="s">
        <v>959</v>
      </c>
      <c r="B98" s="5" t="s">
        <v>29</v>
      </c>
      <c r="C98" s="5" t="s">
        <v>1090</v>
      </c>
      <c r="D98" s="5" t="s">
        <v>1090</v>
      </c>
      <c r="E98" s="99" t="s">
        <v>0</v>
      </c>
      <c r="F98" s="1">
        <v>1</v>
      </c>
      <c r="H98"/>
    </row>
    <row r="99" spans="1:8" x14ac:dyDescent="0.2">
      <c r="A99" s="100" t="s">
        <v>960</v>
      </c>
      <c r="B99" s="100" t="s">
        <v>29</v>
      </c>
      <c r="C99" s="100" t="s">
        <v>1090</v>
      </c>
      <c r="D99" s="100" t="s">
        <v>1090</v>
      </c>
      <c r="E99" s="101" t="s">
        <v>0</v>
      </c>
      <c r="F99" s="1">
        <v>1</v>
      </c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63F1-401B-46BF-A015-515234F513D3}">
  <dimension ref="A1:F99"/>
  <sheetViews>
    <sheetView workbookViewId="0">
      <selection activeCell="C25" sqref="C25"/>
    </sheetView>
  </sheetViews>
  <sheetFormatPr baseColWidth="10" defaultColWidth="11.42578125" defaultRowHeight="12.75" x14ac:dyDescent="0.2"/>
  <cols>
    <col min="1" max="1" width="51.7109375" style="1" bestFit="1" customWidth="1"/>
    <col min="2" max="2" width="39.42578125" style="1" customWidth="1"/>
    <col min="3" max="3" width="27.7109375" style="1" bestFit="1" customWidth="1"/>
    <col min="4" max="4" width="33.28515625" style="1" bestFit="1" customWidth="1"/>
    <col min="5" max="5" width="18.28515625" style="1" bestFit="1" customWidth="1"/>
    <col min="6" max="6" width="28.85546875" style="1" bestFit="1" customWidth="1"/>
    <col min="7" max="16384" width="11.42578125" style="1"/>
  </cols>
  <sheetData>
    <row r="1" spans="1:6" x14ac:dyDescent="0.2">
      <c r="A1" s="1" t="s">
        <v>874</v>
      </c>
      <c r="B1" s="1" t="s">
        <v>898</v>
      </c>
      <c r="C1" s="1" t="s">
        <v>899</v>
      </c>
      <c r="D1" s="1" t="s">
        <v>900</v>
      </c>
      <c r="E1" s="1" t="s">
        <v>1038</v>
      </c>
      <c r="F1" s="1" t="s">
        <v>1091</v>
      </c>
    </row>
    <row r="2" spans="1:6" x14ac:dyDescent="0.2">
      <c r="A2" s="83" t="s">
        <v>29</v>
      </c>
      <c r="B2" s="83" t="s">
        <v>29</v>
      </c>
      <c r="C2" s="83" t="s">
        <v>1090</v>
      </c>
      <c r="D2" s="83" t="s">
        <v>1090</v>
      </c>
      <c r="E2" s="90" t="s">
        <v>0</v>
      </c>
      <c r="F2" s="90">
        <v>1</v>
      </c>
    </row>
    <row r="3" spans="1:6" x14ac:dyDescent="0.2">
      <c r="A3" s="83" t="s">
        <v>53</v>
      </c>
      <c r="B3" s="83" t="s">
        <v>41</v>
      </c>
      <c r="C3" s="83" t="s">
        <v>1090</v>
      </c>
      <c r="D3" s="83" t="s">
        <v>1090</v>
      </c>
      <c r="E3" s="90" t="s">
        <v>0</v>
      </c>
      <c r="F3" s="90">
        <v>1</v>
      </c>
    </row>
    <row r="4" spans="1:6" x14ac:dyDescent="0.2">
      <c r="A4" s="83" t="s">
        <v>54</v>
      </c>
      <c r="B4" s="83" t="s">
        <v>54</v>
      </c>
      <c r="C4" s="83" t="s">
        <v>1090</v>
      </c>
      <c r="D4" s="83" t="s">
        <v>1090</v>
      </c>
      <c r="E4" s="90" t="s">
        <v>0</v>
      </c>
      <c r="F4" s="90">
        <v>1</v>
      </c>
    </row>
    <row r="5" spans="1:6" x14ac:dyDescent="0.2">
      <c r="A5" s="83" t="s">
        <v>72</v>
      </c>
      <c r="B5" s="83" t="s">
        <v>875</v>
      </c>
      <c r="C5" s="83" t="s">
        <v>1090</v>
      </c>
      <c r="D5" s="83" t="s">
        <v>1090</v>
      </c>
      <c r="E5" s="90" t="s">
        <v>0</v>
      </c>
      <c r="F5" s="90">
        <v>1</v>
      </c>
    </row>
    <row r="6" spans="1:6" x14ac:dyDescent="0.2">
      <c r="A6" s="83" t="s">
        <v>76</v>
      </c>
      <c r="B6" s="83" t="s">
        <v>875</v>
      </c>
      <c r="C6" s="83" t="s">
        <v>1090</v>
      </c>
      <c r="D6" s="83" t="s">
        <v>1090</v>
      </c>
      <c r="E6" s="90" t="s">
        <v>0</v>
      </c>
      <c r="F6" s="90">
        <v>1</v>
      </c>
    </row>
    <row r="7" spans="1:6" x14ac:dyDescent="0.2">
      <c r="A7" s="83" t="s">
        <v>77</v>
      </c>
      <c r="B7" s="83" t="s">
        <v>907</v>
      </c>
      <c r="C7" s="83" t="s">
        <v>1090</v>
      </c>
      <c r="D7" s="83" t="s">
        <v>1090</v>
      </c>
      <c r="E7" s="90" t="s">
        <v>0</v>
      </c>
      <c r="F7" s="90">
        <v>1</v>
      </c>
    </row>
    <row r="8" spans="1:6" x14ac:dyDescent="0.2">
      <c r="A8" s="83" t="s">
        <v>80</v>
      </c>
      <c r="B8" s="83" t="s">
        <v>907</v>
      </c>
      <c r="C8" s="83" t="s">
        <v>1090</v>
      </c>
      <c r="D8" s="83" t="s">
        <v>1090</v>
      </c>
      <c r="E8" s="90" t="s">
        <v>0</v>
      </c>
      <c r="F8" s="90">
        <v>1</v>
      </c>
    </row>
    <row r="9" spans="1:6" x14ac:dyDescent="0.2">
      <c r="A9" s="83" t="s">
        <v>81</v>
      </c>
      <c r="B9" s="83" t="s">
        <v>907</v>
      </c>
      <c r="C9" s="83" t="s">
        <v>1090</v>
      </c>
      <c r="D9" s="83" t="s">
        <v>1090</v>
      </c>
      <c r="E9" s="90" t="s">
        <v>0</v>
      </c>
      <c r="F9" s="90">
        <v>1</v>
      </c>
    </row>
    <row r="10" spans="1:6" x14ac:dyDescent="0.2">
      <c r="A10" s="83" t="s">
        <v>82</v>
      </c>
      <c r="B10" s="83" t="s">
        <v>907</v>
      </c>
      <c r="C10" s="83" t="s">
        <v>1090</v>
      </c>
      <c r="D10" s="83" t="s">
        <v>1090</v>
      </c>
      <c r="E10" s="90" t="s">
        <v>0</v>
      </c>
      <c r="F10" s="90">
        <v>1</v>
      </c>
    </row>
    <row r="11" spans="1:6" x14ac:dyDescent="0.2">
      <c r="A11" s="83" t="s">
        <v>84</v>
      </c>
      <c r="B11" s="83" t="s">
        <v>879</v>
      </c>
      <c r="C11" s="83" t="s">
        <v>1090</v>
      </c>
      <c r="D11" s="83" t="s">
        <v>1090</v>
      </c>
      <c r="E11" s="90" t="s">
        <v>0</v>
      </c>
      <c r="F11" s="90">
        <v>1</v>
      </c>
    </row>
    <row r="12" spans="1:6" x14ac:dyDescent="0.2">
      <c r="A12" s="83" t="s">
        <v>880</v>
      </c>
      <c r="B12" s="83" t="s">
        <v>880</v>
      </c>
      <c r="C12" s="83" t="s">
        <v>1090</v>
      </c>
      <c r="D12" s="83" t="s">
        <v>1090</v>
      </c>
      <c r="E12" s="90" t="s">
        <v>0</v>
      </c>
      <c r="F12" s="90">
        <v>1</v>
      </c>
    </row>
    <row r="13" spans="1:6" x14ac:dyDescent="0.2">
      <c r="A13" s="83" t="s">
        <v>91</v>
      </c>
      <c r="B13" s="83" t="s">
        <v>883</v>
      </c>
      <c r="C13" s="83" t="s">
        <v>1090</v>
      </c>
      <c r="D13" s="83" t="s">
        <v>1090</v>
      </c>
      <c r="E13" s="90" t="s">
        <v>1037</v>
      </c>
      <c r="F13" s="90">
        <v>1</v>
      </c>
    </row>
    <row r="14" spans="1:6" x14ac:dyDescent="0.2">
      <c r="A14" s="83" t="s">
        <v>211</v>
      </c>
      <c r="B14" s="83" t="s">
        <v>882</v>
      </c>
      <c r="C14" s="83" t="s">
        <v>1090</v>
      </c>
      <c r="D14" s="83" t="s">
        <v>1090</v>
      </c>
      <c r="E14" s="90" t="s">
        <v>1037</v>
      </c>
      <c r="F14" s="90">
        <v>1</v>
      </c>
    </row>
    <row r="15" spans="1:6" x14ac:dyDescent="0.2">
      <c r="A15" s="83" t="s">
        <v>100</v>
      </c>
      <c r="B15" s="83" t="s">
        <v>883</v>
      </c>
      <c r="C15" s="83" t="s">
        <v>1090</v>
      </c>
      <c r="D15" s="83" t="s">
        <v>1090</v>
      </c>
      <c r="E15" s="90" t="s">
        <v>1037</v>
      </c>
      <c r="F15" s="90">
        <v>1</v>
      </c>
    </row>
    <row r="16" spans="1:6" x14ac:dyDescent="0.2">
      <c r="A16" s="83" t="s">
        <v>1087</v>
      </c>
      <c r="B16" s="83" t="s">
        <v>883</v>
      </c>
      <c r="C16" s="83" t="s">
        <v>1090</v>
      </c>
      <c r="D16" s="83" t="s">
        <v>1090</v>
      </c>
      <c r="E16" s="90" t="s">
        <v>1037</v>
      </c>
      <c r="F16" s="90">
        <v>1</v>
      </c>
    </row>
    <row r="17" spans="1:6" x14ac:dyDescent="0.2">
      <c r="A17" s="83" t="s">
        <v>102</v>
      </c>
      <c r="B17" s="83" t="s">
        <v>883</v>
      </c>
      <c r="C17" s="83" t="s">
        <v>1090</v>
      </c>
      <c r="D17" s="83" t="s">
        <v>1090</v>
      </c>
      <c r="E17" s="90" t="s">
        <v>1037</v>
      </c>
      <c r="F17" s="90">
        <v>1</v>
      </c>
    </row>
    <row r="18" spans="1:6" x14ac:dyDescent="0.2">
      <c r="A18" s="83" t="s">
        <v>103</v>
      </c>
      <c r="B18" s="83" t="s">
        <v>884</v>
      </c>
      <c r="C18" s="83" t="s">
        <v>1090</v>
      </c>
      <c r="D18" s="83" t="s">
        <v>1090</v>
      </c>
      <c r="E18" s="90" t="s">
        <v>1037</v>
      </c>
      <c r="F18" s="90">
        <v>1</v>
      </c>
    </row>
    <row r="19" spans="1:6" x14ac:dyDescent="0.2">
      <c r="A19" s="83" t="s">
        <v>104</v>
      </c>
      <c r="B19" s="83" t="s">
        <v>884</v>
      </c>
      <c r="C19" s="83" t="s">
        <v>1090</v>
      </c>
      <c r="D19" s="83" t="s">
        <v>1090</v>
      </c>
      <c r="E19" s="90" t="s">
        <v>1037</v>
      </c>
      <c r="F19" s="90">
        <v>1</v>
      </c>
    </row>
    <row r="20" spans="1:6" x14ac:dyDescent="0.2">
      <c r="A20" s="83" t="s">
        <v>105</v>
      </c>
      <c r="B20" s="83" t="s">
        <v>884</v>
      </c>
      <c r="C20" s="83" t="s">
        <v>1090</v>
      </c>
      <c r="D20" s="83" t="s">
        <v>1090</v>
      </c>
      <c r="E20" s="90" t="s">
        <v>1037</v>
      </c>
      <c r="F20" s="90">
        <v>1</v>
      </c>
    </row>
    <row r="21" spans="1:6" x14ac:dyDescent="0.2">
      <c r="A21" s="83" t="s">
        <v>106</v>
      </c>
      <c r="B21" s="83" t="s">
        <v>884</v>
      </c>
      <c r="C21" s="83" t="s">
        <v>1090</v>
      </c>
      <c r="D21" s="83" t="s">
        <v>1090</v>
      </c>
      <c r="E21" s="90" t="s">
        <v>1037</v>
      </c>
      <c r="F21" s="90">
        <v>1</v>
      </c>
    </row>
    <row r="22" spans="1:6" x14ac:dyDescent="0.2">
      <c r="A22" s="83" t="s">
        <v>139</v>
      </c>
      <c r="B22" s="83" t="s">
        <v>885</v>
      </c>
      <c r="C22" s="83" t="s">
        <v>1090</v>
      </c>
      <c r="D22" s="83" t="s">
        <v>1090</v>
      </c>
      <c r="E22" s="90" t="s">
        <v>1037</v>
      </c>
      <c r="F22" s="90">
        <v>1</v>
      </c>
    </row>
    <row r="23" spans="1:6" x14ac:dyDescent="0.2">
      <c r="A23" s="83" t="s">
        <v>140</v>
      </c>
      <c r="B23" s="83" t="s">
        <v>886</v>
      </c>
      <c r="C23" s="83" t="s">
        <v>1090</v>
      </c>
      <c r="D23" s="83" t="s">
        <v>1090</v>
      </c>
      <c r="E23" s="90" t="s">
        <v>1037</v>
      </c>
      <c r="F23" s="90">
        <v>1</v>
      </c>
    </row>
    <row r="24" spans="1:6" x14ac:dyDescent="0.2">
      <c r="A24" s="83" t="s">
        <v>127</v>
      </c>
      <c r="B24" s="83" t="s">
        <v>887</v>
      </c>
      <c r="C24" s="83" t="s">
        <v>1090</v>
      </c>
      <c r="D24" s="83" t="s">
        <v>1090</v>
      </c>
      <c r="E24" s="90" t="s">
        <v>1037</v>
      </c>
      <c r="F24" s="90">
        <v>1</v>
      </c>
    </row>
    <row r="25" spans="1:6" x14ac:dyDescent="0.2">
      <c r="A25" s="83" t="s">
        <v>132</v>
      </c>
      <c r="B25" s="83" t="s">
        <v>132</v>
      </c>
      <c r="C25" s="83" t="s">
        <v>1090</v>
      </c>
      <c r="D25" s="83" t="s">
        <v>1090</v>
      </c>
      <c r="E25" s="90" t="s">
        <v>1039</v>
      </c>
      <c r="F25" s="90">
        <v>1</v>
      </c>
    </row>
    <row r="26" spans="1:6" x14ac:dyDescent="0.2">
      <c r="A26" s="83" t="s">
        <v>133</v>
      </c>
      <c r="B26" s="83" t="s">
        <v>888</v>
      </c>
      <c r="C26" s="83" t="s">
        <v>1090</v>
      </c>
      <c r="D26" s="83" t="s">
        <v>1090</v>
      </c>
      <c r="E26" s="90" t="s">
        <v>1039</v>
      </c>
      <c r="F26" s="90">
        <v>1</v>
      </c>
    </row>
    <row r="27" spans="1:6" x14ac:dyDescent="0.2">
      <c r="A27" s="83" t="s">
        <v>286</v>
      </c>
      <c r="B27" s="83" t="s">
        <v>286</v>
      </c>
      <c r="C27" s="83" t="s">
        <v>1090</v>
      </c>
      <c r="D27" s="83" t="s">
        <v>1090</v>
      </c>
      <c r="E27" s="90" t="s">
        <v>1039</v>
      </c>
      <c r="F27" s="90">
        <v>1</v>
      </c>
    </row>
    <row r="28" spans="1:6" x14ac:dyDescent="0.2">
      <c r="A28" s="83" t="s">
        <v>135</v>
      </c>
      <c r="B28" s="83" t="s">
        <v>392</v>
      </c>
      <c r="C28" s="83" t="s">
        <v>1090</v>
      </c>
      <c r="D28" s="83" t="s">
        <v>1090</v>
      </c>
      <c r="E28" s="90" t="s">
        <v>1039</v>
      </c>
      <c r="F28" s="90">
        <v>1</v>
      </c>
    </row>
    <row r="29" spans="1:6" x14ac:dyDescent="0.2">
      <c r="A29" s="83" t="s">
        <v>136</v>
      </c>
      <c r="B29" s="83" t="s">
        <v>392</v>
      </c>
      <c r="C29" s="83" t="s">
        <v>1090</v>
      </c>
      <c r="D29" s="83" t="s">
        <v>1090</v>
      </c>
      <c r="E29" s="90" t="s">
        <v>1039</v>
      </c>
      <c r="F29" s="90">
        <v>1</v>
      </c>
    </row>
    <row r="30" spans="1:6" x14ac:dyDescent="0.2">
      <c r="A30" s="83" t="s">
        <v>137</v>
      </c>
      <c r="B30" s="83" t="s">
        <v>137</v>
      </c>
      <c r="C30" s="83" t="s">
        <v>1090</v>
      </c>
      <c r="D30" s="83" t="s">
        <v>1090</v>
      </c>
      <c r="E30" s="90" t="s">
        <v>1037</v>
      </c>
      <c r="F30" s="90">
        <v>1</v>
      </c>
    </row>
    <row r="31" spans="1:6" x14ac:dyDescent="0.2">
      <c r="A31" s="83" t="s">
        <v>138</v>
      </c>
      <c r="B31" s="83" t="s">
        <v>885</v>
      </c>
      <c r="C31" s="83" t="s">
        <v>1090</v>
      </c>
      <c r="D31" s="83" t="s">
        <v>1090</v>
      </c>
      <c r="E31" s="90" t="s">
        <v>1037</v>
      </c>
      <c r="F31" s="90">
        <v>1</v>
      </c>
    </row>
    <row r="32" spans="1:6" x14ac:dyDescent="0.2">
      <c r="A32" s="83" t="s">
        <v>141</v>
      </c>
      <c r="B32" s="83" t="s">
        <v>886</v>
      </c>
      <c r="C32" s="83" t="s">
        <v>1090</v>
      </c>
      <c r="D32" s="83" t="s">
        <v>1090</v>
      </c>
      <c r="E32" s="90" t="s">
        <v>1037</v>
      </c>
      <c r="F32" s="90">
        <v>1</v>
      </c>
    </row>
    <row r="33" spans="1:6" x14ac:dyDescent="0.2">
      <c r="A33" s="83" t="s">
        <v>151</v>
      </c>
      <c r="B33" s="83" t="s">
        <v>891</v>
      </c>
      <c r="C33" s="83" t="s">
        <v>1090</v>
      </c>
      <c r="D33" s="83" t="s">
        <v>1090</v>
      </c>
      <c r="E33" s="90" t="s">
        <v>1037</v>
      </c>
      <c r="F33" s="90">
        <v>1</v>
      </c>
    </row>
    <row r="34" spans="1:6" x14ac:dyDescent="0.2">
      <c r="A34" s="83" t="s">
        <v>165</v>
      </c>
      <c r="B34" s="83" t="s">
        <v>132</v>
      </c>
      <c r="C34" s="83" t="s">
        <v>888</v>
      </c>
      <c r="D34" s="90" t="s">
        <v>286</v>
      </c>
      <c r="E34" s="90" t="s">
        <v>1039</v>
      </c>
      <c r="F34" s="90">
        <v>0</v>
      </c>
    </row>
    <row r="35" spans="1:6" x14ac:dyDescent="0.2">
      <c r="A35" s="83" t="s">
        <v>186</v>
      </c>
      <c r="B35" s="83" t="s">
        <v>901</v>
      </c>
      <c r="C35" s="83" t="s">
        <v>1090</v>
      </c>
      <c r="D35" s="83" t="s">
        <v>1090</v>
      </c>
      <c r="E35" s="90" t="s">
        <v>644</v>
      </c>
      <c r="F35" s="90">
        <v>1</v>
      </c>
    </row>
    <row r="36" spans="1:6" x14ac:dyDescent="0.2">
      <c r="A36" s="83" t="s">
        <v>187</v>
      </c>
      <c r="B36" s="83" t="s">
        <v>902</v>
      </c>
      <c r="C36" s="83" t="s">
        <v>1090</v>
      </c>
      <c r="D36" s="83" t="s">
        <v>1090</v>
      </c>
      <c r="E36" s="90" t="s">
        <v>644</v>
      </c>
      <c r="F36" s="90">
        <v>1</v>
      </c>
    </row>
    <row r="37" spans="1:6" x14ac:dyDescent="0.2">
      <c r="A37" s="83" t="s">
        <v>188</v>
      </c>
      <c r="B37" s="83" t="s">
        <v>907</v>
      </c>
      <c r="C37" s="83" t="s">
        <v>1090</v>
      </c>
      <c r="D37" s="83" t="s">
        <v>1090</v>
      </c>
      <c r="E37" s="90" t="s">
        <v>644</v>
      </c>
      <c r="F37" s="90">
        <v>1</v>
      </c>
    </row>
    <row r="38" spans="1:6" x14ac:dyDescent="0.2">
      <c r="A38" s="83" t="s">
        <v>189</v>
      </c>
      <c r="B38" s="83" t="s">
        <v>908</v>
      </c>
      <c r="C38" s="83" t="s">
        <v>1090</v>
      </c>
      <c r="D38" s="83" t="s">
        <v>1090</v>
      </c>
      <c r="E38" s="90" t="s">
        <v>644</v>
      </c>
      <c r="F38" s="90">
        <v>1</v>
      </c>
    </row>
    <row r="39" spans="1:6" x14ac:dyDescent="0.2">
      <c r="A39" s="83" t="s">
        <v>190</v>
      </c>
      <c r="B39" s="83" t="s">
        <v>903</v>
      </c>
      <c r="C39" s="83" t="s">
        <v>1090</v>
      </c>
      <c r="D39" s="83" t="s">
        <v>1090</v>
      </c>
      <c r="E39" s="90" t="s">
        <v>644</v>
      </c>
      <c r="F39" s="90">
        <v>1</v>
      </c>
    </row>
    <row r="40" spans="1:6" x14ac:dyDescent="0.2">
      <c r="A40" s="83" t="s">
        <v>191</v>
      </c>
      <c r="B40" s="83" t="s">
        <v>904</v>
      </c>
      <c r="C40" s="83" t="s">
        <v>1090</v>
      </c>
      <c r="D40" s="83" t="s">
        <v>1090</v>
      </c>
      <c r="E40" s="90" t="s">
        <v>644</v>
      </c>
      <c r="F40" s="90">
        <v>1</v>
      </c>
    </row>
    <row r="41" spans="1:6" x14ac:dyDescent="0.2">
      <c r="A41" s="83" t="s">
        <v>192</v>
      </c>
      <c r="B41" s="83" t="s">
        <v>905</v>
      </c>
      <c r="C41" s="83" t="s">
        <v>1090</v>
      </c>
      <c r="D41" s="83" t="s">
        <v>1090</v>
      </c>
      <c r="E41" s="90" t="s">
        <v>644</v>
      </c>
      <c r="F41" s="90">
        <v>1</v>
      </c>
    </row>
    <row r="42" spans="1:6" x14ac:dyDescent="0.2">
      <c r="A42" s="83" t="s">
        <v>193</v>
      </c>
      <c r="B42" s="83" t="s">
        <v>916</v>
      </c>
      <c r="C42" s="83" t="s">
        <v>1090</v>
      </c>
      <c r="D42" s="83" t="s">
        <v>1090</v>
      </c>
      <c r="E42" s="90" t="s">
        <v>644</v>
      </c>
      <c r="F42" s="90">
        <v>1</v>
      </c>
    </row>
    <row r="43" spans="1:6" x14ac:dyDescent="0.2">
      <c r="A43" s="83" t="s">
        <v>209</v>
      </c>
      <c r="B43" s="83" t="s">
        <v>883</v>
      </c>
      <c r="C43" s="83" t="s">
        <v>1090</v>
      </c>
      <c r="D43" s="83" t="s">
        <v>1090</v>
      </c>
      <c r="E43" s="90" t="s">
        <v>1037</v>
      </c>
      <c r="F43" s="90">
        <v>1</v>
      </c>
    </row>
    <row r="44" spans="1:6" x14ac:dyDescent="0.2">
      <c r="A44" s="83" t="s">
        <v>210</v>
      </c>
      <c r="B44" s="83" t="s">
        <v>892</v>
      </c>
      <c r="C44" s="83" t="s">
        <v>1090</v>
      </c>
      <c r="D44" s="83" t="s">
        <v>1090</v>
      </c>
      <c r="E44" s="90" t="s">
        <v>1037</v>
      </c>
      <c r="F44" s="90">
        <v>1</v>
      </c>
    </row>
    <row r="45" spans="1:6" x14ac:dyDescent="0.2">
      <c r="A45" s="83" t="s">
        <v>212</v>
      </c>
      <c r="B45" s="83" t="s">
        <v>884</v>
      </c>
      <c r="C45" s="83" t="s">
        <v>1090</v>
      </c>
      <c r="D45" s="83" t="s">
        <v>1090</v>
      </c>
      <c r="E45" s="90" t="s">
        <v>1037</v>
      </c>
      <c r="F45" s="90">
        <v>1</v>
      </c>
    </row>
    <row r="46" spans="1:6" x14ac:dyDescent="0.2">
      <c r="A46" s="83" t="s">
        <v>213</v>
      </c>
      <c r="B46" s="83" t="s">
        <v>886</v>
      </c>
      <c r="C46" s="83" t="s">
        <v>137</v>
      </c>
      <c r="D46" s="83" t="s">
        <v>1090</v>
      </c>
      <c r="E46" s="90" t="s">
        <v>1037</v>
      </c>
      <c r="F46" s="90">
        <v>1</v>
      </c>
    </row>
    <row r="47" spans="1:6" x14ac:dyDescent="0.2">
      <c r="A47" s="83" t="s">
        <v>222</v>
      </c>
      <c r="B47" s="83" t="s">
        <v>893</v>
      </c>
      <c r="C47" s="83" t="s">
        <v>1090</v>
      </c>
      <c r="D47" s="83" t="s">
        <v>1090</v>
      </c>
      <c r="E47" s="90" t="s">
        <v>1037</v>
      </c>
      <c r="F47" s="90">
        <v>1</v>
      </c>
    </row>
    <row r="48" spans="1:6" x14ac:dyDescent="0.2">
      <c r="A48" s="83" t="s">
        <v>224</v>
      </c>
      <c r="B48" s="83" t="s">
        <v>894</v>
      </c>
      <c r="C48" s="83" t="s">
        <v>1090</v>
      </c>
      <c r="D48" s="83" t="s">
        <v>1090</v>
      </c>
      <c r="E48" s="90" t="s">
        <v>0</v>
      </c>
      <c r="F48" s="90">
        <v>1</v>
      </c>
    </row>
    <row r="49" spans="1:6" x14ac:dyDescent="0.2">
      <c r="A49" s="83" t="s">
        <v>280</v>
      </c>
      <c r="B49" s="83" t="s">
        <v>875</v>
      </c>
      <c r="C49" s="83" t="s">
        <v>1090</v>
      </c>
      <c r="D49" s="83" t="s">
        <v>1090</v>
      </c>
      <c r="E49" s="90" t="s">
        <v>0</v>
      </c>
      <c r="F49" s="90">
        <v>1</v>
      </c>
    </row>
    <row r="50" spans="1:6" x14ac:dyDescent="0.2">
      <c r="A50" s="83" t="s">
        <v>312</v>
      </c>
      <c r="B50" s="83" t="s">
        <v>894</v>
      </c>
      <c r="C50" s="83" t="s">
        <v>1090</v>
      </c>
      <c r="D50" s="83" t="s">
        <v>1090</v>
      </c>
      <c r="E50" s="90" t="s">
        <v>0</v>
      </c>
      <c r="F50" s="90">
        <v>1</v>
      </c>
    </row>
    <row r="51" spans="1:6" x14ac:dyDescent="0.2">
      <c r="A51" s="83" t="s">
        <v>287</v>
      </c>
      <c r="B51" s="83" t="s">
        <v>392</v>
      </c>
      <c r="C51" s="83" t="s">
        <v>1090</v>
      </c>
      <c r="D51" s="83" t="s">
        <v>1090</v>
      </c>
      <c r="E51" s="90" t="s">
        <v>1039</v>
      </c>
      <c r="F51" s="90">
        <v>1</v>
      </c>
    </row>
    <row r="52" spans="1:6" x14ac:dyDescent="0.2">
      <c r="A52" s="83" t="s">
        <v>292</v>
      </c>
      <c r="B52" s="83" t="s">
        <v>919</v>
      </c>
      <c r="C52" s="83" t="s">
        <v>1090</v>
      </c>
      <c r="D52" s="83" t="s">
        <v>1090</v>
      </c>
      <c r="E52" s="90" t="s">
        <v>644</v>
      </c>
      <c r="F52" s="90">
        <v>1</v>
      </c>
    </row>
    <row r="53" spans="1:6" x14ac:dyDescent="0.2">
      <c r="A53" s="83" t="s">
        <v>293</v>
      </c>
      <c r="B53" s="83" t="s">
        <v>293</v>
      </c>
      <c r="C53" s="83" t="s">
        <v>1090</v>
      </c>
      <c r="D53" s="83" t="s">
        <v>1090</v>
      </c>
      <c r="E53" s="90" t="s">
        <v>644</v>
      </c>
      <c r="F53" s="90">
        <v>1</v>
      </c>
    </row>
    <row r="54" spans="1:6" x14ac:dyDescent="0.2">
      <c r="A54" s="83" t="s">
        <v>294</v>
      </c>
      <c r="B54" s="83" t="s">
        <v>294</v>
      </c>
      <c r="C54" s="83" t="s">
        <v>1090</v>
      </c>
      <c r="D54" s="83" t="s">
        <v>1090</v>
      </c>
      <c r="E54" s="90" t="s">
        <v>644</v>
      </c>
      <c r="F54" s="90">
        <v>1</v>
      </c>
    </row>
    <row r="55" spans="1:6" x14ac:dyDescent="0.2">
      <c r="A55" s="83" t="s">
        <v>295</v>
      </c>
      <c r="B55" s="83" t="s">
        <v>295</v>
      </c>
      <c r="C55" s="83" t="s">
        <v>1090</v>
      </c>
      <c r="D55" s="83" t="s">
        <v>1090</v>
      </c>
      <c r="E55" s="90" t="s">
        <v>644</v>
      </c>
      <c r="F55" s="90">
        <v>1</v>
      </c>
    </row>
    <row r="56" spans="1:6" x14ac:dyDescent="0.2">
      <c r="A56" s="83" t="s">
        <v>296</v>
      </c>
      <c r="B56" s="83" t="s">
        <v>296</v>
      </c>
      <c r="C56" s="83" t="s">
        <v>1090</v>
      </c>
      <c r="D56" s="83" t="s">
        <v>1090</v>
      </c>
      <c r="E56" s="90" t="s">
        <v>644</v>
      </c>
      <c r="F56" s="90">
        <v>1</v>
      </c>
    </row>
    <row r="57" spans="1:6" x14ac:dyDescent="0.2">
      <c r="A57" s="83" t="s">
        <v>297</v>
      </c>
      <c r="B57" s="83" t="s">
        <v>297</v>
      </c>
      <c r="C57" s="83" t="s">
        <v>1090</v>
      </c>
      <c r="D57" s="83" t="s">
        <v>1090</v>
      </c>
      <c r="E57" s="90" t="s">
        <v>644</v>
      </c>
      <c r="F57" s="90">
        <v>1</v>
      </c>
    </row>
    <row r="58" spans="1:6" x14ac:dyDescent="0.2">
      <c r="A58" s="83" t="s">
        <v>298</v>
      </c>
      <c r="B58" s="83" t="s">
        <v>298</v>
      </c>
      <c r="C58" s="83" t="s">
        <v>1090</v>
      </c>
      <c r="D58" s="83" t="s">
        <v>1090</v>
      </c>
      <c r="E58" s="90" t="s">
        <v>644</v>
      </c>
      <c r="F58" s="90">
        <v>1</v>
      </c>
    </row>
    <row r="59" spans="1:6" x14ac:dyDescent="0.2">
      <c r="A59" s="83" t="s">
        <v>299</v>
      </c>
      <c r="B59" s="83" t="s">
        <v>920</v>
      </c>
      <c r="C59" s="83" t="s">
        <v>1090</v>
      </c>
      <c r="D59" s="83" t="s">
        <v>1090</v>
      </c>
      <c r="E59" s="90" t="s">
        <v>644</v>
      </c>
      <c r="F59" s="90">
        <v>1</v>
      </c>
    </row>
    <row r="60" spans="1:6" x14ac:dyDescent="0.2">
      <c r="A60" s="83" t="s">
        <v>300</v>
      </c>
      <c r="B60" s="83" t="s">
        <v>300</v>
      </c>
      <c r="C60" s="83" t="s">
        <v>1090</v>
      </c>
      <c r="D60" s="83" t="s">
        <v>1090</v>
      </c>
      <c r="E60" s="90" t="s">
        <v>644</v>
      </c>
      <c r="F60" s="90">
        <v>1</v>
      </c>
    </row>
    <row r="61" spans="1:6" x14ac:dyDescent="0.2">
      <c r="A61" s="83" t="s">
        <v>328</v>
      </c>
      <c r="B61" s="83" t="s">
        <v>29</v>
      </c>
      <c r="C61" s="83" t="s">
        <v>41</v>
      </c>
      <c r="D61" s="83" t="s">
        <v>1090</v>
      </c>
      <c r="E61" s="90" t="s">
        <v>0</v>
      </c>
      <c r="F61" s="90">
        <v>0</v>
      </c>
    </row>
    <row r="62" spans="1:6" x14ac:dyDescent="0.2">
      <c r="A62" s="83" t="s">
        <v>365</v>
      </c>
      <c r="B62" s="83" t="s">
        <v>884</v>
      </c>
      <c r="C62" s="83" t="s">
        <v>1090</v>
      </c>
      <c r="D62" s="83" t="s">
        <v>1090</v>
      </c>
      <c r="E62" s="90" t="s">
        <v>1037</v>
      </c>
      <c r="F62" s="90">
        <v>1</v>
      </c>
    </row>
    <row r="63" spans="1:6" x14ac:dyDescent="0.2">
      <c r="A63" s="83" t="s">
        <v>373</v>
      </c>
      <c r="B63" s="83" t="s">
        <v>896</v>
      </c>
      <c r="C63" s="83" t="s">
        <v>1090</v>
      </c>
      <c r="D63" s="83" t="s">
        <v>1090</v>
      </c>
      <c r="E63" s="90" t="s">
        <v>0</v>
      </c>
      <c r="F63" s="90">
        <v>1</v>
      </c>
    </row>
    <row r="64" spans="1:6" x14ac:dyDescent="0.2">
      <c r="A64" s="83" t="s">
        <v>376</v>
      </c>
      <c r="B64" s="83" t="s">
        <v>883</v>
      </c>
      <c r="C64" s="83" t="s">
        <v>1090</v>
      </c>
      <c r="D64" s="83" t="s">
        <v>1090</v>
      </c>
      <c r="E64" s="90" t="s">
        <v>1037</v>
      </c>
      <c r="F64" s="90">
        <v>1</v>
      </c>
    </row>
    <row r="65" spans="1:6" x14ac:dyDescent="0.2">
      <c r="A65" s="83" t="s">
        <v>377</v>
      </c>
      <c r="B65" s="83" t="s">
        <v>897</v>
      </c>
      <c r="C65" s="83" t="s">
        <v>1090</v>
      </c>
      <c r="D65" s="83" t="s">
        <v>1090</v>
      </c>
      <c r="E65" s="90" t="s">
        <v>1037</v>
      </c>
      <c r="F65" s="90">
        <v>1</v>
      </c>
    </row>
    <row r="66" spans="1:6" x14ac:dyDescent="0.2">
      <c r="A66" s="83" t="s">
        <v>392</v>
      </c>
      <c r="B66" s="83" t="s">
        <v>392</v>
      </c>
      <c r="C66" s="83" t="s">
        <v>1090</v>
      </c>
      <c r="D66" s="83" t="s">
        <v>1090</v>
      </c>
      <c r="E66" s="90" t="s">
        <v>1037</v>
      </c>
      <c r="F66" s="90">
        <v>1</v>
      </c>
    </row>
    <row r="67" spans="1:6" x14ac:dyDescent="0.2">
      <c r="A67" s="83" t="s">
        <v>401</v>
      </c>
      <c r="B67" s="83" t="s">
        <v>401</v>
      </c>
      <c r="C67" s="83" t="s">
        <v>1090</v>
      </c>
      <c r="D67" s="83" t="s">
        <v>1090</v>
      </c>
      <c r="E67" s="90" t="s">
        <v>644</v>
      </c>
      <c r="F67" s="90">
        <v>1</v>
      </c>
    </row>
    <row r="68" spans="1:6" x14ac:dyDescent="0.2">
      <c r="A68" s="83" t="s">
        <v>406</v>
      </c>
      <c r="B68" s="83" t="s">
        <v>883</v>
      </c>
      <c r="C68" s="83" t="s">
        <v>1090</v>
      </c>
      <c r="D68" s="83" t="s">
        <v>1090</v>
      </c>
      <c r="E68" s="90" t="s">
        <v>1037</v>
      </c>
      <c r="F68" s="90">
        <v>1</v>
      </c>
    </row>
    <row r="69" spans="1:6" x14ac:dyDescent="0.2">
      <c r="A69" s="83" t="s">
        <v>412</v>
      </c>
      <c r="B69" s="83" t="s">
        <v>54</v>
      </c>
      <c r="C69" s="83" t="s">
        <v>41</v>
      </c>
      <c r="D69" s="83" t="s">
        <v>1090</v>
      </c>
      <c r="E69" s="90" t="s">
        <v>0</v>
      </c>
      <c r="F69" s="90">
        <v>0</v>
      </c>
    </row>
    <row r="70" spans="1:6" x14ac:dyDescent="0.2">
      <c r="A70" s="83" t="s">
        <v>411</v>
      </c>
      <c r="B70" s="83" t="s">
        <v>880</v>
      </c>
      <c r="C70" s="83" t="s">
        <v>906</v>
      </c>
      <c r="D70" s="83" t="s">
        <v>1090</v>
      </c>
      <c r="E70" s="90" t="s">
        <v>0</v>
      </c>
      <c r="F70" s="90">
        <v>0</v>
      </c>
    </row>
    <row r="71" spans="1:6" x14ac:dyDescent="0.2">
      <c r="A71" s="83" t="s">
        <v>1015</v>
      </c>
      <c r="B71" s="83" t="s">
        <v>882</v>
      </c>
      <c r="C71" s="83" t="s">
        <v>1090</v>
      </c>
      <c r="D71" s="83" t="s">
        <v>1090</v>
      </c>
      <c r="E71" s="90" t="s">
        <v>0</v>
      </c>
      <c r="F71" s="90">
        <v>1</v>
      </c>
    </row>
    <row r="72" spans="1:6" x14ac:dyDescent="0.2">
      <c r="A72" s="83" t="s">
        <v>535</v>
      </c>
      <c r="B72" s="83" t="s">
        <v>535</v>
      </c>
      <c r="C72" s="83" t="s">
        <v>1090</v>
      </c>
      <c r="D72" s="83" t="s">
        <v>1090</v>
      </c>
      <c r="E72" s="90" t="s">
        <v>1037</v>
      </c>
      <c r="F72" s="90">
        <v>1</v>
      </c>
    </row>
    <row r="73" spans="1:6" x14ac:dyDescent="0.2">
      <c r="A73" s="83" t="s">
        <v>536</v>
      </c>
      <c r="B73" s="83" t="s">
        <v>883</v>
      </c>
      <c r="C73" s="83" t="s">
        <v>884</v>
      </c>
      <c r="D73" s="83" t="s">
        <v>1090</v>
      </c>
      <c r="E73" s="90" t="s">
        <v>1037</v>
      </c>
      <c r="F73" s="90">
        <v>0</v>
      </c>
    </row>
    <row r="74" spans="1:6" x14ac:dyDescent="0.2">
      <c r="A74" s="83" t="s">
        <v>537</v>
      </c>
      <c r="B74" s="83" t="s">
        <v>909</v>
      </c>
      <c r="C74" s="83" t="s">
        <v>1090</v>
      </c>
      <c r="D74" s="83" t="s">
        <v>1090</v>
      </c>
      <c r="E74" s="90" t="s">
        <v>1037</v>
      </c>
      <c r="F74" s="90">
        <v>1</v>
      </c>
    </row>
    <row r="75" spans="1:6" x14ac:dyDescent="0.2">
      <c r="A75" s="83" t="s">
        <v>542</v>
      </c>
      <c r="B75" s="83" t="s">
        <v>542</v>
      </c>
      <c r="C75" s="83" t="s">
        <v>1090</v>
      </c>
      <c r="D75" s="83" t="s">
        <v>1090</v>
      </c>
      <c r="E75" s="90" t="s">
        <v>1037</v>
      </c>
      <c r="F75" s="90">
        <v>1</v>
      </c>
    </row>
    <row r="76" spans="1:6" x14ac:dyDescent="0.2">
      <c r="A76" s="83" t="s">
        <v>569</v>
      </c>
      <c r="B76" s="83" t="s">
        <v>913</v>
      </c>
      <c r="C76" s="83" t="s">
        <v>1090</v>
      </c>
      <c r="D76" s="83" t="s">
        <v>1090</v>
      </c>
      <c r="E76" s="90" t="s">
        <v>0</v>
      </c>
      <c r="F76" s="90">
        <v>1</v>
      </c>
    </row>
    <row r="77" spans="1:6" x14ac:dyDescent="0.2">
      <c r="A77" s="83" t="s">
        <v>570</v>
      </c>
      <c r="B77" s="83" t="s">
        <v>875</v>
      </c>
      <c r="C77" s="83" t="s">
        <v>910</v>
      </c>
      <c r="D77" s="90" t="s">
        <v>911</v>
      </c>
      <c r="E77" s="90" t="s">
        <v>0</v>
      </c>
      <c r="F77" s="90">
        <v>1</v>
      </c>
    </row>
    <row r="78" spans="1:6" x14ac:dyDescent="0.2">
      <c r="A78" s="83" t="s">
        <v>650</v>
      </c>
      <c r="B78" s="83" t="s">
        <v>883</v>
      </c>
      <c r="C78" s="83" t="s">
        <v>1090</v>
      </c>
      <c r="D78" s="83" t="s">
        <v>1090</v>
      </c>
      <c r="E78" s="90" t="s">
        <v>1037</v>
      </c>
      <c r="F78" s="90">
        <v>1</v>
      </c>
    </row>
    <row r="79" spans="1:6" x14ac:dyDescent="0.2">
      <c r="A79" s="83" t="s">
        <v>649</v>
      </c>
      <c r="B79" s="83" t="s">
        <v>649</v>
      </c>
      <c r="C79" s="83" t="s">
        <v>1090</v>
      </c>
      <c r="D79" s="83" t="s">
        <v>1090</v>
      </c>
      <c r="E79" s="90" t="s">
        <v>0</v>
      </c>
      <c r="F79" s="90">
        <v>1</v>
      </c>
    </row>
    <row r="80" spans="1:6" x14ac:dyDescent="0.2">
      <c r="A80" s="83" t="s">
        <v>746</v>
      </c>
      <c r="B80" s="83" t="s">
        <v>912</v>
      </c>
      <c r="C80" s="83" t="s">
        <v>1090</v>
      </c>
      <c r="D80" s="83" t="s">
        <v>1090</v>
      </c>
      <c r="E80" s="90" t="s">
        <v>1037</v>
      </c>
      <c r="F80" s="90">
        <v>1</v>
      </c>
    </row>
    <row r="81" spans="1:6" x14ac:dyDescent="0.2">
      <c r="A81" s="91" t="s">
        <v>747</v>
      </c>
      <c r="B81" s="83" t="s">
        <v>913</v>
      </c>
      <c r="C81" s="83" t="s">
        <v>1090</v>
      </c>
      <c r="D81" s="83" t="s">
        <v>1090</v>
      </c>
      <c r="E81" s="90" t="s">
        <v>0</v>
      </c>
      <c r="F81" s="90">
        <v>1</v>
      </c>
    </row>
    <row r="82" spans="1:6" x14ac:dyDescent="0.2">
      <c r="A82" s="83" t="s">
        <v>758</v>
      </c>
      <c r="B82" s="83" t="s">
        <v>916</v>
      </c>
      <c r="C82" s="83" t="s">
        <v>1090</v>
      </c>
      <c r="D82" s="83" t="s">
        <v>1090</v>
      </c>
      <c r="E82" s="90" t="s">
        <v>644</v>
      </c>
      <c r="F82" s="90">
        <v>1</v>
      </c>
    </row>
    <row r="83" spans="1:6" x14ac:dyDescent="0.2">
      <c r="A83" s="91" t="s">
        <v>761</v>
      </c>
      <c r="B83" s="83" t="s">
        <v>917</v>
      </c>
      <c r="C83" s="83" t="s">
        <v>1090</v>
      </c>
      <c r="D83" s="83" t="s">
        <v>1090</v>
      </c>
      <c r="E83" s="90" t="s">
        <v>644</v>
      </c>
      <c r="F83" s="90">
        <v>1</v>
      </c>
    </row>
    <row r="84" spans="1:6" x14ac:dyDescent="0.2">
      <c r="A84" s="83" t="s">
        <v>765</v>
      </c>
      <c r="B84" s="83" t="s">
        <v>788</v>
      </c>
      <c r="C84" s="83" t="s">
        <v>1090</v>
      </c>
      <c r="D84" s="83" t="s">
        <v>1090</v>
      </c>
      <c r="E84" s="90" t="s">
        <v>1037</v>
      </c>
      <c r="F84" s="90">
        <v>1</v>
      </c>
    </row>
    <row r="85" spans="1:6" x14ac:dyDescent="0.2">
      <c r="A85" s="91" t="s">
        <v>767</v>
      </c>
      <c r="B85" s="83" t="s">
        <v>915</v>
      </c>
      <c r="C85" s="83" t="s">
        <v>1090</v>
      </c>
      <c r="D85" s="83" t="s">
        <v>1090</v>
      </c>
      <c r="E85" s="90" t="s">
        <v>1040</v>
      </c>
      <c r="F85" s="90">
        <v>1</v>
      </c>
    </row>
    <row r="86" spans="1:6" x14ac:dyDescent="0.2">
      <c r="A86" s="83" t="s">
        <v>788</v>
      </c>
      <c r="B86" s="83" t="s">
        <v>788</v>
      </c>
      <c r="C86" s="83" t="s">
        <v>1090</v>
      </c>
      <c r="D86" s="83" t="s">
        <v>1090</v>
      </c>
      <c r="E86" s="90" t="s">
        <v>1037</v>
      </c>
      <c r="F86" s="90">
        <v>1</v>
      </c>
    </row>
    <row r="87" spans="1:6" x14ac:dyDescent="0.2">
      <c r="A87" s="91" t="s">
        <v>789</v>
      </c>
      <c r="B87" s="83" t="s">
        <v>912</v>
      </c>
      <c r="C87" s="83" t="s">
        <v>1090</v>
      </c>
      <c r="D87" s="83" t="s">
        <v>1090</v>
      </c>
      <c r="E87" s="90" t="s">
        <v>1037</v>
      </c>
      <c r="F87" s="90">
        <v>1</v>
      </c>
    </row>
    <row r="88" spans="1:6" x14ac:dyDescent="0.2">
      <c r="A88" s="83" t="s">
        <v>811</v>
      </c>
      <c r="B88" s="83" t="s">
        <v>881</v>
      </c>
      <c r="C88" s="83" t="s">
        <v>1090</v>
      </c>
      <c r="D88" s="83" t="s">
        <v>1090</v>
      </c>
      <c r="E88" s="90" t="s">
        <v>1037</v>
      </c>
      <c r="F88" s="90">
        <v>1</v>
      </c>
    </row>
    <row r="89" spans="1:6" x14ac:dyDescent="0.2">
      <c r="A89" s="91" t="s">
        <v>813</v>
      </c>
      <c r="B89" s="83" t="s">
        <v>880</v>
      </c>
      <c r="C89" s="83" t="s">
        <v>1090</v>
      </c>
      <c r="D89" s="83" t="s">
        <v>1090</v>
      </c>
      <c r="E89" s="90" t="s">
        <v>0</v>
      </c>
      <c r="F89" s="90">
        <v>1</v>
      </c>
    </row>
    <row r="90" spans="1:6" x14ac:dyDescent="0.2">
      <c r="A90" s="83" t="s">
        <v>818</v>
      </c>
      <c r="B90" s="83" t="s">
        <v>818</v>
      </c>
      <c r="C90" s="83" t="s">
        <v>1090</v>
      </c>
      <c r="D90" s="83" t="s">
        <v>1090</v>
      </c>
      <c r="E90" s="90" t="s">
        <v>1040</v>
      </c>
      <c r="F90" s="90">
        <v>1</v>
      </c>
    </row>
    <row r="91" spans="1:6" x14ac:dyDescent="0.2">
      <c r="A91" s="91" t="s">
        <v>819</v>
      </c>
      <c r="B91" s="83" t="s">
        <v>819</v>
      </c>
      <c r="C91" s="83" t="s">
        <v>1090</v>
      </c>
      <c r="D91" s="83" t="s">
        <v>1090</v>
      </c>
      <c r="E91" s="90" t="s">
        <v>1040</v>
      </c>
      <c r="F91" s="90">
        <v>1</v>
      </c>
    </row>
    <row r="92" spans="1:6" x14ac:dyDescent="0.2">
      <c r="A92" s="83" t="s">
        <v>862</v>
      </c>
      <c r="B92" s="83" t="s">
        <v>885</v>
      </c>
      <c r="C92" s="83" t="s">
        <v>1090</v>
      </c>
      <c r="D92" s="83" t="s">
        <v>1090</v>
      </c>
      <c r="E92" s="90" t="s">
        <v>1037</v>
      </c>
      <c r="F92" s="90">
        <v>1</v>
      </c>
    </row>
    <row r="93" spans="1:6" x14ac:dyDescent="0.2">
      <c r="A93" s="83" t="s">
        <v>867</v>
      </c>
      <c r="B93" s="83" t="s">
        <v>914</v>
      </c>
      <c r="C93" s="83" t="s">
        <v>1090</v>
      </c>
      <c r="D93" s="83" t="s">
        <v>1090</v>
      </c>
      <c r="E93" s="90" t="s">
        <v>1039</v>
      </c>
      <c r="F93" s="90">
        <v>1</v>
      </c>
    </row>
    <row r="94" spans="1:6" x14ac:dyDescent="0.2">
      <c r="A94" s="83" t="s">
        <v>868</v>
      </c>
      <c r="B94" s="83" t="s">
        <v>918</v>
      </c>
      <c r="C94" s="83" t="s">
        <v>1090</v>
      </c>
      <c r="D94" s="83" t="s">
        <v>1090</v>
      </c>
      <c r="E94" s="90" t="s">
        <v>1037</v>
      </c>
      <c r="F94" s="90">
        <v>1</v>
      </c>
    </row>
    <row r="95" spans="1:6" x14ac:dyDescent="0.2">
      <c r="A95" s="83" t="s">
        <v>869</v>
      </c>
      <c r="B95" s="83" t="s">
        <v>869</v>
      </c>
      <c r="C95" s="83" t="s">
        <v>1090</v>
      </c>
      <c r="D95" s="83" t="s">
        <v>1090</v>
      </c>
      <c r="E95" s="90" t="s">
        <v>1037</v>
      </c>
      <c r="F95" s="90">
        <v>1</v>
      </c>
    </row>
    <row r="96" spans="1:6" x14ac:dyDescent="0.2">
      <c r="A96" s="83" t="s">
        <v>933</v>
      </c>
      <c r="B96" s="83" t="s">
        <v>916</v>
      </c>
      <c r="C96" s="83" t="s">
        <v>1090</v>
      </c>
      <c r="D96" s="83" t="s">
        <v>1090</v>
      </c>
      <c r="E96" s="90" t="s">
        <v>644</v>
      </c>
      <c r="F96" s="90">
        <v>1</v>
      </c>
    </row>
    <row r="97" spans="1:6" x14ac:dyDescent="0.2">
      <c r="A97" s="83" t="s">
        <v>934</v>
      </c>
      <c r="B97" s="83" t="s">
        <v>916</v>
      </c>
      <c r="C97" s="83" t="s">
        <v>1090</v>
      </c>
      <c r="D97" s="83" t="s">
        <v>1090</v>
      </c>
      <c r="E97" s="90" t="s">
        <v>644</v>
      </c>
      <c r="F97" s="90">
        <v>1</v>
      </c>
    </row>
    <row r="98" spans="1:6" x14ac:dyDescent="0.2">
      <c r="A98" s="83" t="s">
        <v>959</v>
      </c>
      <c r="B98" s="83" t="s">
        <v>29</v>
      </c>
      <c r="C98" s="83" t="s">
        <v>1090</v>
      </c>
      <c r="D98" s="83" t="s">
        <v>1090</v>
      </c>
      <c r="E98" s="90" t="s">
        <v>0</v>
      </c>
      <c r="F98" s="90">
        <v>1</v>
      </c>
    </row>
    <row r="99" spans="1:6" x14ac:dyDescent="0.2">
      <c r="A99" s="83" t="s">
        <v>960</v>
      </c>
      <c r="B99" s="83" t="s">
        <v>29</v>
      </c>
      <c r="C99" s="83" t="s">
        <v>1090</v>
      </c>
      <c r="D99" s="83" t="s">
        <v>1090</v>
      </c>
      <c r="E99" s="90" t="s">
        <v>0</v>
      </c>
      <c r="F99" s="90">
        <v>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6683-7DC1-4C45-94ED-54DD7FFC6FB9}">
  <sheetPr codeName="Tabelle37"/>
  <dimension ref="A1:B99"/>
  <sheetViews>
    <sheetView workbookViewId="0">
      <selection activeCell="A15" sqref="A15"/>
    </sheetView>
  </sheetViews>
  <sheetFormatPr baseColWidth="10" defaultColWidth="11.42578125" defaultRowHeight="12.75" x14ac:dyDescent="0.2"/>
  <cols>
    <col min="1" max="1" width="51.7109375" style="1" bestFit="1" customWidth="1"/>
    <col min="2" max="2" width="26.28515625" style="1" bestFit="1" customWidth="1"/>
    <col min="3" max="16384" width="11.42578125" style="1"/>
  </cols>
  <sheetData>
    <row r="1" spans="1:2" x14ac:dyDescent="0.2">
      <c r="A1" s="1" t="s">
        <v>0</v>
      </c>
      <c r="B1" s="1" t="s">
        <v>961</v>
      </c>
    </row>
    <row r="2" spans="1:2" x14ac:dyDescent="0.2">
      <c r="A2" s="83" t="s">
        <v>29</v>
      </c>
      <c r="B2" s="83" t="s">
        <v>962</v>
      </c>
    </row>
    <row r="3" spans="1:2" x14ac:dyDescent="0.2">
      <c r="A3" s="83" t="s">
        <v>53</v>
      </c>
      <c r="B3" s="83" t="s">
        <v>963</v>
      </c>
    </row>
    <row r="4" spans="1:2" x14ac:dyDescent="0.2">
      <c r="A4" s="83" t="s">
        <v>54</v>
      </c>
      <c r="B4" s="83" t="s">
        <v>964</v>
      </c>
    </row>
    <row r="5" spans="1:2" x14ac:dyDescent="0.2">
      <c r="A5" s="83" t="s">
        <v>72</v>
      </c>
      <c r="B5" s="83" t="s">
        <v>965</v>
      </c>
    </row>
    <row r="6" spans="1:2" x14ac:dyDescent="0.2">
      <c r="A6" s="83" t="s">
        <v>76</v>
      </c>
      <c r="B6" s="83" t="s">
        <v>966</v>
      </c>
    </row>
    <row r="7" spans="1:2" x14ac:dyDescent="0.2">
      <c r="A7" s="83" t="s">
        <v>77</v>
      </c>
      <c r="B7" s="83" t="s">
        <v>967</v>
      </c>
    </row>
    <row r="8" spans="1:2" x14ac:dyDescent="0.2">
      <c r="A8" s="83" t="s">
        <v>80</v>
      </c>
      <c r="B8" s="83" t="s">
        <v>970</v>
      </c>
    </row>
    <row r="9" spans="1:2" x14ac:dyDescent="0.2">
      <c r="A9" s="83" t="s">
        <v>81</v>
      </c>
      <c r="B9" s="83" t="s">
        <v>969</v>
      </c>
    </row>
    <row r="10" spans="1:2" x14ac:dyDescent="0.2">
      <c r="A10" s="83" t="s">
        <v>82</v>
      </c>
      <c r="B10" s="83" t="s">
        <v>968</v>
      </c>
    </row>
    <row r="11" spans="1:2" x14ac:dyDescent="0.2">
      <c r="A11" s="83" t="s">
        <v>84</v>
      </c>
      <c r="B11" s="83" t="s">
        <v>971</v>
      </c>
    </row>
    <row r="12" spans="1:2" x14ac:dyDescent="0.2">
      <c r="A12" s="83" t="s">
        <v>880</v>
      </c>
      <c r="B12" s="83" t="s">
        <v>972</v>
      </c>
    </row>
    <row r="13" spans="1:2" x14ac:dyDescent="0.2">
      <c r="A13" s="83" t="s">
        <v>91</v>
      </c>
      <c r="B13" s="83" t="s">
        <v>973</v>
      </c>
    </row>
    <row r="14" spans="1:2" x14ac:dyDescent="0.2">
      <c r="A14" s="83" t="s">
        <v>211</v>
      </c>
      <c r="B14" s="83" t="s">
        <v>974</v>
      </c>
    </row>
    <row r="15" spans="1:2" x14ac:dyDescent="0.2">
      <c r="A15" s="83" t="s">
        <v>100</v>
      </c>
      <c r="B15" s="83" t="s">
        <v>975</v>
      </c>
    </row>
    <row r="16" spans="1:2" x14ac:dyDescent="0.2">
      <c r="A16" s="83" t="s">
        <v>1087</v>
      </c>
      <c r="B16" s="83" t="s">
        <v>976</v>
      </c>
    </row>
    <row r="17" spans="1:2" x14ac:dyDescent="0.2">
      <c r="A17" s="83" t="s">
        <v>102</v>
      </c>
      <c r="B17" s="83" t="s">
        <v>977</v>
      </c>
    </row>
    <row r="18" spans="1:2" x14ac:dyDescent="0.2">
      <c r="A18" s="83" t="s">
        <v>103</v>
      </c>
      <c r="B18" s="83" t="s">
        <v>978</v>
      </c>
    </row>
    <row r="19" spans="1:2" x14ac:dyDescent="0.2">
      <c r="A19" s="83" t="s">
        <v>104</v>
      </c>
      <c r="B19" s="83" t="s">
        <v>979</v>
      </c>
    </row>
    <row r="20" spans="1:2" x14ac:dyDescent="0.2">
      <c r="A20" s="83" t="s">
        <v>105</v>
      </c>
      <c r="B20" s="83" t="s">
        <v>980</v>
      </c>
    </row>
    <row r="21" spans="1:2" x14ac:dyDescent="0.2">
      <c r="A21" s="83" t="s">
        <v>106</v>
      </c>
      <c r="B21" s="83" t="s">
        <v>981</v>
      </c>
    </row>
    <row r="22" spans="1:2" x14ac:dyDescent="0.2">
      <c r="A22" s="83" t="s">
        <v>139</v>
      </c>
      <c r="B22" s="83" t="s">
        <v>982</v>
      </c>
    </row>
    <row r="23" spans="1:2" x14ac:dyDescent="0.2">
      <c r="A23" s="83" t="s">
        <v>140</v>
      </c>
      <c r="B23" s="83" t="s">
        <v>983</v>
      </c>
    </row>
    <row r="24" spans="1:2" x14ac:dyDescent="0.2">
      <c r="A24" s="83" t="s">
        <v>127</v>
      </c>
      <c r="B24" s="83" t="s">
        <v>984</v>
      </c>
    </row>
    <row r="25" spans="1:2" x14ac:dyDescent="0.2">
      <c r="A25" s="83" t="s">
        <v>132</v>
      </c>
      <c r="B25" s="83" t="s">
        <v>985</v>
      </c>
    </row>
    <row r="26" spans="1:2" x14ac:dyDescent="0.2">
      <c r="A26" s="83" t="s">
        <v>133</v>
      </c>
      <c r="B26" s="83" t="s">
        <v>989</v>
      </c>
    </row>
    <row r="27" spans="1:2" x14ac:dyDescent="0.2">
      <c r="A27" s="83" t="s">
        <v>135</v>
      </c>
      <c r="B27" s="83" t="s">
        <v>976</v>
      </c>
    </row>
    <row r="28" spans="1:2" x14ac:dyDescent="0.2">
      <c r="A28" s="83" t="s">
        <v>136</v>
      </c>
      <c r="B28" s="83" t="s">
        <v>977</v>
      </c>
    </row>
    <row r="29" spans="1:2" x14ac:dyDescent="0.2">
      <c r="A29" s="83" t="s">
        <v>137</v>
      </c>
      <c r="B29" s="83" t="s">
        <v>986</v>
      </c>
    </row>
    <row r="30" spans="1:2" x14ac:dyDescent="0.2">
      <c r="A30" s="83" t="s">
        <v>138</v>
      </c>
      <c r="B30" s="83" t="s">
        <v>982</v>
      </c>
    </row>
    <row r="31" spans="1:2" x14ac:dyDescent="0.2">
      <c r="A31" s="83" t="s">
        <v>141</v>
      </c>
      <c r="B31" s="83" t="s">
        <v>983</v>
      </c>
    </row>
    <row r="32" spans="1:2" x14ac:dyDescent="0.2">
      <c r="A32" s="83" t="s">
        <v>151</v>
      </c>
      <c r="B32" s="83" t="s">
        <v>987</v>
      </c>
    </row>
    <row r="33" spans="1:2" x14ac:dyDescent="0.2">
      <c r="A33" s="83" t="s">
        <v>165</v>
      </c>
      <c r="B33" s="83" t="s">
        <v>988</v>
      </c>
    </row>
    <row r="34" spans="1:2" x14ac:dyDescent="0.2">
      <c r="A34" s="83" t="s">
        <v>186</v>
      </c>
      <c r="B34" s="83" t="s">
        <v>990</v>
      </c>
    </row>
    <row r="35" spans="1:2" x14ac:dyDescent="0.2">
      <c r="A35" s="83" t="s">
        <v>187</v>
      </c>
      <c r="B35" s="83" t="s">
        <v>991</v>
      </c>
    </row>
    <row r="36" spans="1:2" x14ac:dyDescent="0.2">
      <c r="A36" s="83" t="s">
        <v>188</v>
      </c>
      <c r="B36" s="83" t="s">
        <v>992</v>
      </c>
    </row>
    <row r="37" spans="1:2" x14ac:dyDescent="0.2">
      <c r="A37" s="83" t="s">
        <v>189</v>
      </c>
      <c r="B37" s="83" t="s">
        <v>993</v>
      </c>
    </row>
    <row r="38" spans="1:2" x14ac:dyDescent="0.2">
      <c r="A38" s="83" t="s">
        <v>190</v>
      </c>
      <c r="B38" s="83" t="s">
        <v>994</v>
      </c>
    </row>
    <row r="39" spans="1:2" x14ac:dyDescent="0.2">
      <c r="A39" s="83" t="s">
        <v>191</v>
      </c>
      <c r="B39" s="83" t="s">
        <v>995</v>
      </c>
    </row>
    <row r="40" spans="1:2" x14ac:dyDescent="0.2">
      <c r="A40" s="83" t="s">
        <v>192</v>
      </c>
      <c r="B40" s="83" t="s">
        <v>996</v>
      </c>
    </row>
    <row r="41" spans="1:2" x14ac:dyDescent="0.2">
      <c r="A41" s="83" t="s">
        <v>193</v>
      </c>
      <c r="B41" s="83" t="s">
        <v>997</v>
      </c>
    </row>
    <row r="42" spans="1:2" x14ac:dyDescent="0.2">
      <c r="A42" s="83" t="s">
        <v>209</v>
      </c>
      <c r="B42" s="83" t="s">
        <v>977</v>
      </c>
    </row>
    <row r="43" spans="1:2" x14ac:dyDescent="0.2">
      <c r="A43" s="83" t="s">
        <v>210</v>
      </c>
      <c r="B43" s="83" t="s">
        <v>998</v>
      </c>
    </row>
    <row r="44" spans="1:2" x14ac:dyDescent="0.2">
      <c r="A44" s="83" t="s">
        <v>212</v>
      </c>
      <c r="B44" s="83" t="s">
        <v>999</v>
      </c>
    </row>
    <row r="45" spans="1:2" x14ac:dyDescent="0.2">
      <c r="A45" s="83" t="s">
        <v>213</v>
      </c>
      <c r="B45" s="83" t="s">
        <v>1000</v>
      </c>
    </row>
    <row r="46" spans="1:2" x14ac:dyDescent="0.2">
      <c r="A46" s="83" t="s">
        <v>222</v>
      </c>
      <c r="B46" s="83" t="s">
        <v>1001</v>
      </c>
    </row>
    <row r="47" spans="1:2" x14ac:dyDescent="0.2">
      <c r="A47" s="83" t="s">
        <v>224</v>
      </c>
      <c r="B47" s="83" t="s">
        <v>1002</v>
      </c>
    </row>
    <row r="48" spans="1:2" x14ac:dyDescent="0.2">
      <c r="A48" s="83" t="s">
        <v>280</v>
      </c>
      <c r="B48" s="83" t="s">
        <v>1003</v>
      </c>
    </row>
    <row r="49" spans="1:2" x14ac:dyDescent="0.2">
      <c r="A49" s="83" t="s">
        <v>312</v>
      </c>
      <c r="B49" s="83" t="s">
        <v>1017</v>
      </c>
    </row>
    <row r="50" spans="1:2" x14ac:dyDescent="0.2">
      <c r="A50" s="83" t="s">
        <v>286</v>
      </c>
      <c r="B50" s="83" t="s">
        <v>975</v>
      </c>
    </row>
    <row r="51" spans="1:2" x14ac:dyDescent="0.2">
      <c r="A51" s="83" t="s">
        <v>287</v>
      </c>
      <c r="B51" s="83" t="s">
        <v>973</v>
      </c>
    </row>
    <row r="52" spans="1:2" x14ac:dyDescent="0.2">
      <c r="A52" s="83" t="s">
        <v>292</v>
      </c>
      <c r="B52" s="83" t="s">
        <v>1004</v>
      </c>
    </row>
    <row r="53" spans="1:2" x14ac:dyDescent="0.2">
      <c r="A53" s="83" t="s">
        <v>293</v>
      </c>
      <c r="B53" s="83" t="s">
        <v>1005</v>
      </c>
    </row>
    <row r="54" spans="1:2" x14ac:dyDescent="0.2">
      <c r="A54" s="83" t="s">
        <v>294</v>
      </c>
      <c r="B54" s="83" t="s">
        <v>1006</v>
      </c>
    </row>
    <row r="55" spans="1:2" x14ac:dyDescent="0.2">
      <c r="A55" s="83" t="s">
        <v>295</v>
      </c>
      <c r="B55" s="83" t="s">
        <v>1007</v>
      </c>
    </row>
    <row r="56" spans="1:2" x14ac:dyDescent="0.2">
      <c r="A56" s="83" t="s">
        <v>296</v>
      </c>
      <c r="B56" s="83" t="s">
        <v>1008</v>
      </c>
    </row>
    <row r="57" spans="1:2" x14ac:dyDescent="0.2">
      <c r="A57" s="83" t="s">
        <v>297</v>
      </c>
      <c r="B57" s="83" t="s">
        <v>1001</v>
      </c>
    </row>
    <row r="58" spans="1:2" x14ac:dyDescent="0.2">
      <c r="A58" s="83" t="s">
        <v>298</v>
      </c>
      <c r="B58" s="83" t="s">
        <v>1009</v>
      </c>
    </row>
    <row r="59" spans="1:2" x14ac:dyDescent="0.2">
      <c r="A59" s="83" t="s">
        <v>299</v>
      </c>
      <c r="B59" s="83" t="s">
        <v>1034</v>
      </c>
    </row>
    <row r="60" spans="1:2" x14ac:dyDescent="0.2">
      <c r="A60" s="83" t="s">
        <v>300</v>
      </c>
      <c r="B60" s="83" t="s">
        <v>1010</v>
      </c>
    </row>
    <row r="61" spans="1:2" x14ac:dyDescent="0.2">
      <c r="A61" s="83" t="s">
        <v>328</v>
      </c>
      <c r="B61" s="83" t="s">
        <v>1011</v>
      </c>
    </row>
    <row r="62" spans="1:2" x14ac:dyDescent="0.2">
      <c r="A62" s="83" t="s">
        <v>365</v>
      </c>
      <c r="B62" s="83" t="s">
        <v>1013</v>
      </c>
    </row>
    <row r="63" spans="1:2" x14ac:dyDescent="0.2">
      <c r="A63" s="83" t="s">
        <v>373</v>
      </c>
      <c r="B63" s="83" t="s">
        <v>1014</v>
      </c>
    </row>
    <row r="64" spans="1:2" x14ac:dyDescent="0.2">
      <c r="A64" s="83" t="s">
        <v>376</v>
      </c>
      <c r="B64" s="83" t="s">
        <v>1016</v>
      </c>
    </row>
    <row r="65" spans="1:2" x14ac:dyDescent="0.2">
      <c r="A65" s="83" t="s">
        <v>377</v>
      </c>
      <c r="B65" s="83" t="s">
        <v>1086</v>
      </c>
    </row>
    <row r="66" spans="1:2" x14ac:dyDescent="0.2">
      <c r="A66" s="83" t="s">
        <v>392</v>
      </c>
      <c r="B66" s="83" t="s">
        <v>974</v>
      </c>
    </row>
    <row r="67" spans="1:2" x14ac:dyDescent="0.2">
      <c r="A67" s="83" t="s">
        <v>401</v>
      </c>
      <c r="B67" s="83" t="s">
        <v>1002</v>
      </c>
    </row>
    <row r="68" spans="1:2" x14ac:dyDescent="0.2">
      <c r="A68" s="83" t="s">
        <v>406</v>
      </c>
      <c r="B68" s="83" t="s">
        <v>1018</v>
      </c>
    </row>
    <row r="69" spans="1:2" x14ac:dyDescent="0.2">
      <c r="A69" s="83" t="s">
        <v>412</v>
      </c>
      <c r="B69" s="83" t="s">
        <v>1008</v>
      </c>
    </row>
    <row r="70" spans="1:2" x14ac:dyDescent="0.2">
      <c r="A70" s="83" t="s">
        <v>411</v>
      </c>
      <c r="B70" s="83" t="s">
        <v>992</v>
      </c>
    </row>
    <row r="71" spans="1:2" x14ac:dyDescent="0.2">
      <c r="A71" s="83" t="s">
        <v>1015</v>
      </c>
      <c r="B71" s="83" t="s">
        <v>1019</v>
      </c>
    </row>
    <row r="72" spans="1:2" x14ac:dyDescent="0.2">
      <c r="A72" s="83" t="s">
        <v>535</v>
      </c>
      <c r="B72" s="83" t="s">
        <v>1020</v>
      </c>
    </row>
    <row r="73" spans="1:2" x14ac:dyDescent="0.2">
      <c r="A73" s="83" t="s">
        <v>536</v>
      </c>
      <c r="B73" s="83" t="s">
        <v>1021</v>
      </c>
    </row>
    <row r="74" spans="1:2" x14ac:dyDescent="0.2">
      <c r="A74" s="83" t="s">
        <v>537</v>
      </c>
      <c r="B74" s="83" t="s">
        <v>990</v>
      </c>
    </row>
    <row r="75" spans="1:2" x14ac:dyDescent="0.2">
      <c r="A75" s="83" t="s">
        <v>542</v>
      </c>
      <c r="B75" s="83" t="s">
        <v>1022</v>
      </c>
    </row>
    <row r="76" spans="1:2" x14ac:dyDescent="0.2">
      <c r="A76" s="83" t="s">
        <v>569</v>
      </c>
      <c r="B76" s="83" t="s">
        <v>1000</v>
      </c>
    </row>
    <row r="77" spans="1:2" x14ac:dyDescent="0.2">
      <c r="A77" s="83" t="s">
        <v>570</v>
      </c>
      <c r="B77" s="83" t="s">
        <v>1023</v>
      </c>
    </row>
    <row r="78" spans="1:2" x14ac:dyDescent="0.2">
      <c r="A78" s="83" t="s">
        <v>650</v>
      </c>
      <c r="B78" s="83" t="s">
        <v>1024</v>
      </c>
    </row>
    <row r="79" spans="1:2" x14ac:dyDescent="0.2">
      <c r="A79" s="83" t="s">
        <v>649</v>
      </c>
      <c r="B79" s="83" t="s">
        <v>1025</v>
      </c>
    </row>
    <row r="80" spans="1:2" x14ac:dyDescent="0.2">
      <c r="A80" s="83" t="s">
        <v>746</v>
      </c>
      <c r="B80" s="83" t="s">
        <v>1026</v>
      </c>
    </row>
    <row r="81" spans="1:2" x14ac:dyDescent="0.2">
      <c r="A81" s="91" t="s">
        <v>747</v>
      </c>
      <c r="B81" s="83" t="s">
        <v>1027</v>
      </c>
    </row>
    <row r="82" spans="1:2" x14ac:dyDescent="0.2">
      <c r="A82" s="83" t="s">
        <v>758</v>
      </c>
      <c r="B82" s="83" t="s">
        <v>1002</v>
      </c>
    </row>
    <row r="83" spans="1:2" x14ac:dyDescent="0.2">
      <c r="A83" s="91" t="s">
        <v>761</v>
      </c>
      <c r="B83" s="83" t="s">
        <v>1002</v>
      </c>
    </row>
    <row r="84" spans="1:2" x14ac:dyDescent="0.2">
      <c r="A84" s="83" t="s">
        <v>765</v>
      </c>
      <c r="B84" s="83" t="s">
        <v>1028</v>
      </c>
    </row>
    <row r="85" spans="1:2" x14ac:dyDescent="0.2">
      <c r="A85" s="91" t="s">
        <v>767</v>
      </c>
      <c r="B85" s="83" t="s">
        <v>1029</v>
      </c>
    </row>
    <row r="86" spans="1:2" x14ac:dyDescent="0.2">
      <c r="A86" s="83" t="s">
        <v>788</v>
      </c>
      <c r="B86" s="83" t="s">
        <v>1030</v>
      </c>
    </row>
    <row r="87" spans="1:2" x14ac:dyDescent="0.2">
      <c r="A87" s="91" t="s">
        <v>789</v>
      </c>
      <c r="B87" s="83" t="s">
        <v>994</v>
      </c>
    </row>
    <row r="88" spans="1:2" x14ac:dyDescent="0.2">
      <c r="A88" s="83" t="s">
        <v>811</v>
      </c>
      <c r="B88" s="83" t="s">
        <v>974</v>
      </c>
    </row>
    <row r="89" spans="1:2" x14ac:dyDescent="0.2">
      <c r="A89" s="91" t="s">
        <v>813</v>
      </c>
      <c r="B89" s="83" t="s">
        <v>1035</v>
      </c>
    </row>
    <row r="90" spans="1:2" x14ac:dyDescent="0.2">
      <c r="A90" s="83" t="s">
        <v>818</v>
      </c>
      <c r="B90" s="83" t="s">
        <v>1031</v>
      </c>
    </row>
    <row r="91" spans="1:2" x14ac:dyDescent="0.2">
      <c r="A91" s="91" t="s">
        <v>819</v>
      </c>
      <c r="B91" s="83" t="s">
        <v>989</v>
      </c>
    </row>
    <row r="92" spans="1:2" x14ac:dyDescent="0.2">
      <c r="A92" s="83" t="s">
        <v>862</v>
      </c>
      <c r="B92" s="83" t="s">
        <v>1032</v>
      </c>
    </row>
    <row r="93" spans="1:2" x14ac:dyDescent="0.2">
      <c r="A93" s="83" t="s">
        <v>867</v>
      </c>
      <c r="B93" s="83" t="s">
        <v>1010</v>
      </c>
    </row>
    <row r="94" spans="1:2" x14ac:dyDescent="0.2">
      <c r="A94" s="83" t="s">
        <v>868</v>
      </c>
      <c r="B94" s="83" t="s">
        <v>987</v>
      </c>
    </row>
    <row r="95" spans="1:2" x14ac:dyDescent="0.2">
      <c r="A95" s="83" t="s">
        <v>869</v>
      </c>
      <c r="B95" s="83" t="s">
        <v>1033</v>
      </c>
    </row>
    <row r="96" spans="1:2" x14ac:dyDescent="0.2">
      <c r="A96" s="83" t="s">
        <v>933</v>
      </c>
      <c r="B96" s="83" t="s">
        <v>1034</v>
      </c>
    </row>
    <row r="97" spans="1:2" x14ac:dyDescent="0.2">
      <c r="A97" s="83" t="s">
        <v>934</v>
      </c>
      <c r="B97" s="83" t="s">
        <v>1012</v>
      </c>
    </row>
    <row r="98" spans="1:2" x14ac:dyDescent="0.2">
      <c r="A98" s="83" t="s">
        <v>959</v>
      </c>
      <c r="B98" s="83" t="s">
        <v>1011</v>
      </c>
    </row>
    <row r="99" spans="1:2" x14ac:dyDescent="0.2">
      <c r="A99" s="83" t="s">
        <v>960</v>
      </c>
      <c r="B99" s="83" t="s">
        <v>1036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41"/>
  <dimension ref="A1:B18"/>
  <sheetViews>
    <sheetView workbookViewId="0">
      <selection activeCell="I9" sqref="I9"/>
    </sheetView>
  </sheetViews>
  <sheetFormatPr baseColWidth="10" defaultColWidth="11.42578125" defaultRowHeight="12.75" x14ac:dyDescent="0.2"/>
  <cols>
    <col min="1" max="2" width="16.7109375" style="1" bestFit="1" customWidth="1"/>
    <col min="3" max="16384" width="11.42578125" style="1"/>
  </cols>
  <sheetData>
    <row r="1" spans="1:2" x14ac:dyDescent="0.2">
      <c r="A1" s="2" t="s">
        <v>13</v>
      </c>
      <c r="B1" s="2" t="s">
        <v>14</v>
      </c>
    </row>
    <row r="2" spans="1:2" x14ac:dyDescent="0.2">
      <c r="A2" s="1">
        <v>2005</v>
      </c>
      <c r="B2" s="1">
        <v>0.83044315992292872</v>
      </c>
    </row>
    <row r="3" spans="1:2" x14ac:dyDescent="0.2">
      <c r="A3" s="1">
        <v>2006</v>
      </c>
      <c r="B3" s="1">
        <v>0.84393063583815031</v>
      </c>
    </row>
    <row r="4" spans="1:2" x14ac:dyDescent="0.2">
      <c r="A4" s="1">
        <v>2007</v>
      </c>
      <c r="B4" s="1">
        <v>0.86319845857418109</v>
      </c>
    </row>
    <row r="5" spans="1:2" x14ac:dyDescent="0.2">
      <c r="A5" s="1">
        <v>2008</v>
      </c>
      <c r="B5" s="1">
        <v>0.88535645472061664</v>
      </c>
    </row>
    <row r="6" spans="1:2" x14ac:dyDescent="0.2">
      <c r="A6" s="1">
        <v>2009</v>
      </c>
      <c r="B6" s="1">
        <v>0.88824662813102129</v>
      </c>
    </row>
    <row r="7" spans="1:2" x14ac:dyDescent="0.2">
      <c r="A7" s="1">
        <v>2010</v>
      </c>
      <c r="B7" s="1">
        <v>0.89788053949903668</v>
      </c>
    </row>
    <row r="8" spans="1:2" x14ac:dyDescent="0.2">
      <c r="A8" s="1">
        <v>2011</v>
      </c>
      <c r="B8" s="1">
        <v>0.91714836223506746</v>
      </c>
    </row>
    <row r="9" spans="1:2" x14ac:dyDescent="0.2">
      <c r="A9" s="1">
        <v>2012</v>
      </c>
      <c r="B9" s="1">
        <v>0.93545279383429669</v>
      </c>
    </row>
    <row r="10" spans="1:2" x14ac:dyDescent="0.2">
      <c r="A10" s="1">
        <v>2013</v>
      </c>
      <c r="B10" s="1">
        <v>0.94894026974951828</v>
      </c>
    </row>
    <row r="11" spans="1:2" x14ac:dyDescent="0.2">
      <c r="A11" s="1">
        <v>2014</v>
      </c>
      <c r="B11" s="1">
        <v>0.95857418111753379</v>
      </c>
    </row>
    <row r="12" spans="1:2" x14ac:dyDescent="0.2">
      <c r="A12" s="1">
        <v>2015</v>
      </c>
      <c r="B12" s="1">
        <v>0.96339113680154143</v>
      </c>
    </row>
    <row r="13" spans="1:2" x14ac:dyDescent="0.2">
      <c r="A13" s="1">
        <v>2016</v>
      </c>
      <c r="B13" s="1">
        <v>0.96820809248554918</v>
      </c>
    </row>
    <row r="14" spans="1:2" x14ac:dyDescent="0.2">
      <c r="A14" s="1">
        <v>2017</v>
      </c>
      <c r="B14" s="1">
        <v>0.98265895953757232</v>
      </c>
    </row>
    <row r="15" spans="1:2" x14ac:dyDescent="0.2">
      <c r="A15" s="1">
        <v>2018</v>
      </c>
      <c r="B15" s="3">
        <v>1</v>
      </c>
    </row>
    <row r="16" spans="1:2" x14ac:dyDescent="0.2">
      <c r="A16" s="1">
        <v>2019</v>
      </c>
    </row>
    <row r="18" spans="1:2" x14ac:dyDescent="0.2">
      <c r="A18" s="1" t="s">
        <v>754</v>
      </c>
      <c r="B18" s="1" t="s">
        <v>873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42"/>
  <dimension ref="A1:B14"/>
  <sheetViews>
    <sheetView workbookViewId="0">
      <selection activeCell="B14" sqref="B14"/>
    </sheetView>
  </sheetViews>
  <sheetFormatPr baseColWidth="10" defaultColWidth="11.42578125" defaultRowHeight="12.75" x14ac:dyDescent="0.2"/>
  <cols>
    <col min="1" max="1" width="34" style="1" bestFit="1" customWidth="1"/>
    <col min="2" max="2" width="215.28515625" style="1" bestFit="1" customWidth="1"/>
    <col min="3" max="16384" width="11.42578125" style="1"/>
  </cols>
  <sheetData>
    <row r="1" spans="1:2" x14ac:dyDescent="0.2">
      <c r="A1" s="1" t="s">
        <v>320</v>
      </c>
      <c r="B1" s="1" t="s">
        <v>327</v>
      </c>
    </row>
    <row r="2" spans="1:2" x14ac:dyDescent="0.2">
      <c r="A2" s="1" t="s">
        <v>513</v>
      </c>
      <c r="B2" s="1" t="s">
        <v>512</v>
      </c>
    </row>
    <row r="3" spans="1:2" x14ac:dyDescent="0.2">
      <c r="A3" s="1" t="s">
        <v>321</v>
      </c>
      <c r="B3" s="1" t="s">
        <v>530</v>
      </c>
    </row>
    <row r="4" spans="1:2" x14ac:dyDescent="0.2">
      <c r="A4" s="1" t="s">
        <v>324</v>
      </c>
      <c r="B4" s="1" t="s">
        <v>325</v>
      </c>
    </row>
    <row r="5" spans="1:2" x14ac:dyDescent="0.2">
      <c r="A5" s="1" t="s">
        <v>322</v>
      </c>
      <c r="B5" s="1" t="s">
        <v>323</v>
      </c>
    </row>
    <row r="6" spans="1:2" ht="25.5" x14ac:dyDescent="0.2">
      <c r="A6" s="1" t="s">
        <v>326</v>
      </c>
      <c r="B6" s="94" t="s">
        <v>1059</v>
      </c>
    </row>
    <row r="7" spans="1:2" x14ac:dyDescent="0.2">
      <c r="A7" s="1" t="s">
        <v>366</v>
      </c>
      <c r="B7" s="1" t="s">
        <v>753</v>
      </c>
    </row>
    <row r="8" spans="1:2" x14ac:dyDescent="0.2">
      <c r="A8" s="1" t="s">
        <v>367</v>
      </c>
      <c r="B8" s="1" t="s">
        <v>368</v>
      </c>
    </row>
    <row r="9" spans="1:2" x14ac:dyDescent="0.2">
      <c r="A9" s="1" t="s">
        <v>369</v>
      </c>
      <c r="B9" s="1" t="s">
        <v>370</v>
      </c>
    </row>
    <row r="10" spans="1:2" x14ac:dyDescent="0.2">
      <c r="A10" s="1" t="s">
        <v>460</v>
      </c>
      <c r="B10" s="1" t="s">
        <v>461</v>
      </c>
    </row>
    <row r="11" spans="1:2" x14ac:dyDescent="0.2">
      <c r="A11" s="1" t="s">
        <v>462</v>
      </c>
      <c r="B11" s="1" t="s">
        <v>463</v>
      </c>
    </row>
    <row r="12" spans="1:2" x14ac:dyDescent="0.2">
      <c r="A12" s="1" t="s">
        <v>564</v>
      </c>
      <c r="B12" s="1" t="s">
        <v>565</v>
      </c>
    </row>
    <row r="13" spans="1:2" x14ac:dyDescent="0.2">
      <c r="A13" s="1" t="s">
        <v>566</v>
      </c>
      <c r="B13" s="1" t="s">
        <v>567</v>
      </c>
    </row>
    <row r="14" spans="1:2" ht="25.5" x14ac:dyDescent="0.2">
      <c r="A14" s="1" t="s">
        <v>568</v>
      </c>
      <c r="B14" s="94" t="s">
        <v>1060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4"/>
  <dimension ref="A1:BO11"/>
  <sheetViews>
    <sheetView zoomScale="85" zoomScaleNormal="85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E7" sqref="AE7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28.85546875" style="1" bestFit="1" customWidth="1"/>
    <col min="7" max="7" width="38.85546875" style="1" bestFit="1" customWidth="1"/>
    <col min="8" max="8" width="29.28515625" style="1" bestFit="1" customWidth="1"/>
    <col min="9" max="11" width="24.5703125" style="1" customWidth="1"/>
    <col min="12" max="12" width="24.42578125" style="1" bestFit="1" customWidth="1"/>
    <col min="13" max="17" width="24.42578125" style="1" customWidth="1"/>
    <col min="18" max="18" width="37.7109375" style="1" bestFit="1" customWidth="1"/>
    <col min="19" max="20" width="24.7109375" style="1" customWidth="1"/>
    <col min="21" max="21" width="28.42578125" style="1" customWidth="1"/>
    <col min="22" max="22" width="27.42578125" style="1" bestFit="1" customWidth="1"/>
    <col min="23" max="24" width="27.42578125" style="1" customWidth="1"/>
    <col min="25" max="25" width="20.7109375" style="1" bestFit="1" customWidth="1"/>
    <col min="26" max="30" width="20.7109375" style="1" customWidth="1"/>
    <col min="31" max="31" width="25.85546875" style="1" bestFit="1" customWidth="1"/>
    <col min="32" max="32" width="29.7109375" style="1" bestFit="1" customWidth="1"/>
    <col min="33" max="33" width="24" style="1" bestFit="1" customWidth="1"/>
    <col min="34" max="34" width="38.28515625" style="1" bestFit="1" customWidth="1"/>
    <col min="35" max="37" width="38.28515625" style="1" customWidth="1"/>
    <col min="38" max="38" width="38.28515625" style="1" bestFit="1" customWidth="1"/>
    <col min="39" max="40" width="38.28515625" style="1" customWidth="1"/>
    <col min="41" max="41" width="33.42578125" style="1" bestFit="1" customWidth="1"/>
    <col min="42" max="42" width="33.42578125" style="1" customWidth="1"/>
    <col min="43" max="43" width="25.7109375" style="1" bestFit="1" customWidth="1"/>
    <col min="44" max="44" width="25.7109375" style="1" customWidth="1"/>
    <col min="45" max="45" width="56.7109375" style="1" bestFit="1" customWidth="1"/>
    <col min="46" max="47" width="35.5703125" style="1" customWidth="1"/>
    <col min="48" max="48" width="31.7109375" style="1" bestFit="1" customWidth="1"/>
    <col min="49" max="49" width="31.5703125" style="1" bestFit="1" customWidth="1"/>
    <col min="50" max="54" width="31.5703125" style="1" customWidth="1"/>
    <col min="55" max="55" width="37.42578125" style="1" bestFit="1" customWidth="1"/>
    <col min="56" max="56" width="35.7109375" style="1" bestFit="1" customWidth="1"/>
    <col min="57" max="57" width="28.85546875" style="1" bestFit="1" customWidth="1"/>
    <col min="58" max="58" width="34" style="1" bestFit="1" customWidth="1"/>
    <col min="59" max="59" width="37.85546875" style="1" bestFit="1" customWidth="1"/>
    <col min="60" max="60" width="34.42578125" style="1" bestFit="1" customWidth="1"/>
    <col min="61" max="61" width="38.140625" style="1" bestFit="1" customWidth="1"/>
    <col min="62" max="62" width="22.85546875" style="1" bestFit="1" customWidth="1"/>
    <col min="63" max="63" width="28.5703125" style="1" bestFit="1" customWidth="1"/>
    <col min="64" max="64" width="28.28515625" style="1" bestFit="1" customWidth="1"/>
    <col min="65" max="65" width="28.28515625" style="1" customWidth="1"/>
    <col min="66" max="66" width="31" style="1" bestFit="1" customWidth="1"/>
    <col min="67" max="67" width="28.85546875" style="1" bestFit="1" customWidth="1"/>
    <col min="68" max="16384" width="11.42578125" style="1"/>
  </cols>
  <sheetData>
    <row r="1" spans="1:67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49</v>
      </c>
      <c r="G1" s="2" t="s">
        <v>149</v>
      </c>
      <c r="H1" s="2" t="s">
        <v>50</v>
      </c>
      <c r="I1" s="2" t="s">
        <v>97</v>
      </c>
      <c r="J1" s="2" t="s">
        <v>154</v>
      </c>
      <c r="K1" s="2" t="s">
        <v>156</v>
      </c>
      <c r="L1" s="2" t="s">
        <v>155</v>
      </c>
      <c r="M1" s="2" t="s">
        <v>56</v>
      </c>
      <c r="N1" s="2" t="s">
        <v>55</v>
      </c>
      <c r="O1" s="2" t="s">
        <v>87</v>
      </c>
      <c r="P1" s="2" t="s">
        <v>330</v>
      </c>
      <c r="Q1" s="2" t="s">
        <v>235</v>
      </c>
      <c r="R1" s="2" t="s">
        <v>116</v>
      </c>
      <c r="S1" s="2" t="s">
        <v>57</v>
      </c>
      <c r="T1" s="2" t="s">
        <v>123</v>
      </c>
      <c r="U1" s="2" t="s">
        <v>58</v>
      </c>
      <c r="V1" s="2" t="s">
        <v>9</v>
      </c>
      <c r="W1" s="2" t="s">
        <v>226</v>
      </c>
      <c r="X1" s="2" t="s">
        <v>225</v>
      </c>
      <c r="Y1" s="2" t="s">
        <v>157</v>
      </c>
      <c r="Z1" s="2" t="s">
        <v>227</v>
      </c>
      <c r="AA1" s="2" t="s">
        <v>228</v>
      </c>
      <c r="AB1" s="2" t="s">
        <v>158</v>
      </c>
      <c r="AC1" s="2" t="s">
        <v>214</v>
      </c>
      <c r="AD1" s="2" t="s">
        <v>215</v>
      </c>
      <c r="AE1" s="2" t="s">
        <v>3</v>
      </c>
      <c r="AF1" s="2" t="s">
        <v>10</v>
      </c>
      <c r="AG1" s="2" t="s">
        <v>16</v>
      </c>
      <c r="AH1" s="2" t="s">
        <v>4</v>
      </c>
      <c r="AI1" s="2" t="s">
        <v>99</v>
      </c>
      <c r="AJ1" s="2" t="s">
        <v>183</v>
      </c>
      <c r="AK1" s="2" t="s">
        <v>182</v>
      </c>
      <c r="AL1" s="2" t="s">
        <v>12</v>
      </c>
      <c r="AM1" s="2" t="s">
        <v>231</v>
      </c>
      <c r="AN1" s="2" t="s">
        <v>232</v>
      </c>
      <c r="AO1" s="2" t="s">
        <v>230</v>
      </c>
      <c r="AP1" s="2" t="s">
        <v>332</v>
      </c>
      <c r="AQ1" s="2" t="s">
        <v>333</v>
      </c>
      <c r="AR1" s="2" t="s">
        <v>147</v>
      </c>
      <c r="AS1" s="2" t="s">
        <v>22</v>
      </c>
      <c r="AT1" s="2" t="s">
        <v>162</v>
      </c>
      <c r="AU1" s="2" t="s">
        <v>163</v>
      </c>
      <c r="AV1" s="2" t="s">
        <v>1</v>
      </c>
      <c r="AW1" s="2" t="s">
        <v>2</v>
      </c>
      <c r="AX1" s="2" t="s">
        <v>59</v>
      </c>
      <c r="AY1" s="2" t="s">
        <v>107</v>
      </c>
      <c r="AZ1" s="2" t="s">
        <v>236</v>
      </c>
      <c r="BA1" s="2" t="s">
        <v>117</v>
      </c>
      <c r="BB1" s="2" t="s">
        <v>60</v>
      </c>
      <c r="BC1" s="2" t="s">
        <v>61</v>
      </c>
      <c r="BD1" s="2" t="s">
        <v>98</v>
      </c>
      <c r="BE1" s="2" t="s">
        <v>5</v>
      </c>
      <c r="BF1" s="2" t="s">
        <v>6</v>
      </c>
      <c r="BG1" s="2" t="s">
        <v>17</v>
      </c>
      <c r="BH1" s="2" t="s">
        <v>18</v>
      </c>
      <c r="BI1" s="2" t="s">
        <v>7</v>
      </c>
      <c r="BJ1" s="2" t="s">
        <v>19</v>
      </c>
      <c r="BK1" s="2" t="s">
        <v>20</v>
      </c>
      <c r="BL1" s="2" t="s">
        <v>21</v>
      </c>
      <c r="BM1" s="2" t="s">
        <v>148</v>
      </c>
      <c r="BN1" s="2" t="s">
        <v>23</v>
      </c>
      <c r="BO1" s="2" t="s">
        <v>51</v>
      </c>
    </row>
    <row r="2" spans="1:67" x14ac:dyDescent="0.2">
      <c r="A2" s="5" t="s">
        <v>54</v>
      </c>
      <c r="B2" s="1" t="s">
        <v>129</v>
      </c>
      <c r="F2" s="18"/>
      <c r="G2" s="18"/>
      <c r="H2" s="18"/>
      <c r="I2" s="18"/>
      <c r="J2" s="18"/>
      <c r="K2" s="18"/>
      <c r="L2" s="18"/>
      <c r="M2" s="18"/>
      <c r="N2" s="8"/>
      <c r="O2" s="8"/>
      <c r="P2" s="8"/>
      <c r="Q2" s="8"/>
      <c r="R2" s="19"/>
      <c r="S2" s="18"/>
      <c r="T2" s="8"/>
      <c r="U2" s="18"/>
      <c r="AJ2" s="18"/>
      <c r="AK2" s="18"/>
      <c r="AL2" s="18"/>
      <c r="AM2" s="7"/>
      <c r="AN2" s="7"/>
      <c r="AO2" s="18"/>
      <c r="AP2" s="7"/>
      <c r="AQ2" s="7"/>
      <c r="AV2" s="12"/>
      <c r="AX2" s="12"/>
      <c r="AY2" s="12"/>
      <c r="AZ2" s="12"/>
      <c r="BA2" s="12"/>
      <c r="BC2" s="12"/>
      <c r="BD2" s="12"/>
    </row>
    <row r="3" spans="1:67" x14ac:dyDescent="0.2">
      <c r="A3" s="1" t="s">
        <v>328</v>
      </c>
      <c r="B3" s="1" t="s">
        <v>129</v>
      </c>
      <c r="F3" s="18"/>
      <c r="G3" s="18"/>
      <c r="H3" s="18"/>
      <c r="I3" s="18"/>
      <c r="J3" s="18"/>
      <c r="K3" s="18"/>
      <c r="L3" s="18"/>
      <c r="M3" s="18"/>
      <c r="N3" s="19"/>
      <c r="O3" s="8"/>
      <c r="P3" s="8"/>
      <c r="Q3" s="8"/>
      <c r="R3" s="19"/>
      <c r="S3" s="18"/>
      <c r="T3" s="8"/>
      <c r="U3" s="18"/>
      <c r="AJ3" s="18"/>
      <c r="AK3" s="18"/>
      <c r="AL3" s="18"/>
      <c r="AM3" s="7"/>
      <c r="AN3" s="7"/>
      <c r="AO3" s="7"/>
      <c r="AP3" s="7"/>
      <c r="AQ3" s="7"/>
      <c r="AV3" s="12"/>
      <c r="AX3" s="12"/>
      <c r="AY3" s="12"/>
      <c r="AZ3" s="12"/>
      <c r="BA3" s="12"/>
      <c r="BC3" s="12"/>
      <c r="BD3" s="12"/>
    </row>
    <row r="4" spans="1:67" x14ac:dyDescent="0.2">
      <c r="A4" s="1" t="s">
        <v>329</v>
      </c>
      <c r="B4" s="1" t="s">
        <v>129</v>
      </c>
      <c r="F4" s="18"/>
      <c r="G4" s="18"/>
      <c r="H4" s="18"/>
      <c r="I4" s="18"/>
      <c r="J4" s="18"/>
      <c r="K4" s="18"/>
      <c r="L4" s="18"/>
      <c r="M4" s="18"/>
      <c r="N4" s="19"/>
      <c r="O4" s="8"/>
      <c r="P4" s="8"/>
      <c r="Q4" s="8"/>
      <c r="R4" s="19"/>
      <c r="S4" s="18"/>
      <c r="T4" s="8"/>
      <c r="U4" s="18"/>
      <c r="AJ4" s="18"/>
      <c r="AK4" s="18"/>
      <c r="AL4" s="18"/>
      <c r="AM4" s="7"/>
      <c r="AN4" s="7"/>
      <c r="AO4" s="7"/>
      <c r="AP4" s="7"/>
      <c r="AQ4" s="7"/>
      <c r="AV4" s="12"/>
      <c r="AX4" s="12"/>
      <c r="AY4" s="12"/>
      <c r="AZ4" s="12"/>
      <c r="BA4" s="12"/>
      <c r="BC4" s="12"/>
      <c r="BD4" s="12"/>
    </row>
    <row r="5" spans="1:67" x14ac:dyDescent="0.2">
      <c r="A5" s="1" t="s">
        <v>84</v>
      </c>
      <c r="B5" s="1" t="s">
        <v>129</v>
      </c>
      <c r="F5" s="18"/>
      <c r="G5" s="18"/>
      <c r="H5" s="18"/>
      <c r="I5" s="18"/>
      <c r="J5" s="18"/>
      <c r="K5" s="18"/>
      <c r="L5" s="18"/>
      <c r="M5" s="18"/>
      <c r="N5" s="19"/>
      <c r="O5" s="8"/>
      <c r="P5" s="8"/>
      <c r="Q5" s="8"/>
      <c r="R5" s="19"/>
      <c r="S5" s="18"/>
      <c r="T5" s="8"/>
      <c r="U5" s="18"/>
      <c r="AJ5" s="18"/>
      <c r="AK5" s="18"/>
      <c r="AL5" s="18"/>
      <c r="AM5" s="7"/>
      <c r="AN5" s="7"/>
      <c r="AO5" s="7"/>
      <c r="AP5" s="7"/>
      <c r="AQ5" s="7"/>
      <c r="AV5" s="12"/>
      <c r="AX5" s="12"/>
      <c r="AY5" s="12"/>
      <c r="AZ5" s="12"/>
      <c r="BA5" s="12"/>
      <c r="BC5" s="12"/>
      <c r="BD5" s="12"/>
    </row>
    <row r="6" spans="1:67" x14ac:dyDescent="0.2">
      <c r="A6" s="1" t="s">
        <v>188</v>
      </c>
      <c r="B6" s="1" t="s">
        <v>129</v>
      </c>
      <c r="F6" s="18"/>
      <c r="G6" s="18"/>
      <c r="H6" s="18"/>
      <c r="I6" s="18"/>
      <c r="J6" s="18"/>
      <c r="K6" s="18"/>
      <c r="L6" s="18"/>
      <c r="M6" s="18"/>
      <c r="N6" s="19"/>
      <c r="O6" s="8"/>
      <c r="P6" s="8"/>
      <c r="Q6" s="8"/>
      <c r="R6" s="19"/>
      <c r="S6" s="18"/>
      <c r="T6" s="8"/>
      <c r="U6" s="18"/>
      <c r="AJ6" s="18"/>
      <c r="AK6" s="18"/>
      <c r="AL6" s="18"/>
      <c r="AM6" s="7"/>
      <c r="AN6" s="7"/>
      <c r="AO6" s="7"/>
      <c r="AP6" s="7"/>
      <c r="AQ6" s="7"/>
      <c r="AV6" s="12"/>
      <c r="AX6" s="12"/>
      <c r="AY6" s="12"/>
      <c r="AZ6" s="12"/>
      <c r="BA6" s="12"/>
      <c r="BC6" s="12"/>
      <c r="BD6" s="12"/>
    </row>
    <row r="7" spans="1:67" x14ac:dyDescent="0.2">
      <c r="A7" s="1" t="s">
        <v>132</v>
      </c>
      <c r="B7" s="32" t="s">
        <v>142</v>
      </c>
      <c r="C7" s="32">
        <v>2015</v>
      </c>
      <c r="D7" s="32"/>
      <c r="E7" s="32"/>
      <c r="F7" s="33">
        <v>625.83000000000004</v>
      </c>
      <c r="G7" s="33"/>
      <c r="H7" s="33">
        <v>1251.25</v>
      </c>
      <c r="I7" s="33"/>
      <c r="J7" s="33"/>
      <c r="K7" s="33"/>
      <c r="L7" s="33"/>
      <c r="M7" s="33"/>
      <c r="N7" s="34"/>
      <c r="O7" s="35"/>
      <c r="P7" s="35"/>
      <c r="Q7" s="35"/>
      <c r="R7" s="34"/>
      <c r="S7" s="33"/>
      <c r="T7" s="35"/>
      <c r="U7" s="33"/>
      <c r="V7" s="32"/>
      <c r="W7" s="32"/>
      <c r="X7" s="32"/>
      <c r="Y7" s="32"/>
      <c r="Z7" s="32"/>
      <c r="AA7" s="32"/>
      <c r="AB7" s="32"/>
      <c r="AC7" s="32">
        <v>2</v>
      </c>
      <c r="AD7" s="32">
        <v>24</v>
      </c>
      <c r="AE7" s="32">
        <f>AVERAGE(Tabelle5897111424[[#This Row],[Verschiebedauer min. (h)]:[Verschiebedauer max (h)]])</f>
        <v>13</v>
      </c>
      <c r="AF7" s="32"/>
      <c r="AG7" s="32"/>
      <c r="AH7" s="32"/>
      <c r="AI7" s="32"/>
      <c r="AJ7" s="33"/>
      <c r="AK7" s="33"/>
      <c r="AL7" s="33"/>
      <c r="AM7" s="36"/>
      <c r="AN7" s="36"/>
      <c r="AO7" s="36"/>
      <c r="AP7" s="36"/>
      <c r="AQ7" s="36"/>
      <c r="AR7" s="32"/>
      <c r="AS7" s="32"/>
      <c r="AT7" s="32"/>
      <c r="AU7" s="32"/>
      <c r="AV7" s="37"/>
      <c r="AW7" s="32"/>
      <c r="AX7" s="37"/>
      <c r="AY7" s="37"/>
      <c r="AZ7" s="37"/>
      <c r="BA7" s="37"/>
      <c r="BB7" s="32"/>
      <c r="BC7" s="37"/>
      <c r="BD7" s="37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1:67" x14ac:dyDescent="0.2">
      <c r="A8" s="1" t="s">
        <v>133</v>
      </c>
      <c r="B8" s="32" t="s">
        <v>142</v>
      </c>
      <c r="C8" s="32">
        <v>2015</v>
      </c>
      <c r="D8" s="32"/>
      <c r="E8" s="32"/>
      <c r="F8" s="33">
        <v>312.916</v>
      </c>
      <c r="G8" s="33"/>
      <c r="H8" s="33">
        <v>1575</v>
      </c>
      <c r="I8" s="33"/>
      <c r="J8" s="33"/>
      <c r="K8" s="33"/>
      <c r="L8" s="33"/>
      <c r="M8" s="33"/>
      <c r="N8" s="34"/>
      <c r="O8" s="35"/>
      <c r="P8" s="35"/>
      <c r="Q8" s="35"/>
      <c r="R8" s="34"/>
      <c r="S8" s="33"/>
      <c r="T8" s="35"/>
      <c r="U8" s="33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3"/>
      <c r="AK8" s="33"/>
      <c r="AL8" s="33"/>
      <c r="AM8" s="36"/>
      <c r="AN8" s="36"/>
      <c r="AO8" s="36"/>
      <c r="AP8" s="36"/>
      <c r="AQ8" s="36"/>
      <c r="AR8" s="32"/>
      <c r="AS8" s="32"/>
      <c r="AT8" s="32"/>
      <c r="AU8" s="32"/>
      <c r="AV8" s="37"/>
      <c r="AW8" s="32"/>
      <c r="AX8" s="37"/>
      <c r="AY8" s="37"/>
      <c r="AZ8" s="37"/>
      <c r="BA8" s="37"/>
      <c r="BB8" s="32"/>
      <c r="BC8" s="37"/>
      <c r="BD8" s="37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1:67" x14ac:dyDescent="0.2">
      <c r="A9" s="32" t="s">
        <v>134</v>
      </c>
      <c r="B9" s="32" t="s">
        <v>142</v>
      </c>
      <c r="C9" s="32">
        <v>2015</v>
      </c>
      <c r="D9" s="32"/>
      <c r="E9" s="32"/>
      <c r="F9" s="33">
        <v>625.83000000000004</v>
      </c>
      <c r="G9" s="33"/>
      <c r="H9" s="33">
        <v>1033.3</v>
      </c>
      <c r="I9" s="33"/>
      <c r="J9" s="33"/>
      <c r="K9" s="33"/>
      <c r="L9" s="33"/>
      <c r="M9" s="33"/>
      <c r="N9" s="34"/>
      <c r="O9" s="35"/>
      <c r="P9" s="35"/>
      <c r="Q9" s="35"/>
      <c r="R9" s="34"/>
      <c r="S9" s="33"/>
      <c r="T9" s="35"/>
      <c r="U9" s="33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3"/>
      <c r="AK9" s="33"/>
      <c r="AL9" s="33"/>
      <c r="AM9" s="36"/>
      <c r="AN9" s="36"/>
      <c r="AO9" s="36"/>
      <c r="AP9" s="36"/>
      <c r="AQ9" s="36"/>
      <c r="AR9" s="32"/>
      <c r="AS9" s="32"/>
      <c r="AT9" s="32"/>
      <c r="AU9" s="32"/>
      <c r="AV9" s="37"/>
      <c r="AW9" s="32"/>
      <c r="AX9" s="37"/>
      <c r="AY9" s="37"/>
      <c r="AZ9" s="37"/>
      <c r="BA9" s="37"/>
      <c r="BB9" s="32"/>
      <c r="BC9" s="37"/>
      <c r="BD9" s="37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1:67" x14ac:dyDescent="0.2">
      <c r="A10" s="1" t="s">
        <v>137</v>
      </c>
      <c r="B10" s="1" t="s">
        <v>142</v>
      </c>
      <c r="C10" s="1">
        <v>2015</v>
      </c>
      <c r="F10" s="18"/>
      <c r="G10" s="18"/>
      <c r="H10" s="18"/>
      <c r="I10" s="18"/>
      <c r="J10" s="18"/>
      <c r="K10" s="18"/>
      <c r="L10" s="18"/>
      <c r="M10" s="18"/>
      <c r="N10" s="19"/>
      <c r="O10" s="8"/>
      <c r="P10" s="8"/>
      <c r="Q10" s="8"/>
      <c r="R10" s="19"/>
      <c r="S10" s="18"/>
      <c r="T10" s="8"/>
      <c r="U10" s="18"/>
      <c r="W10" s="1">
        <f>5/60</f>
        <v>8.3333333333333329E-2</v>
      </c>
      <c r="X10" s="1">
        <f>10/60</f>
        <v>0.16666666666666666</v>
      </c>
      <c r="AE10" s="1">
        <v>0.25</v>
      </c>
      <c r="AJ10" s="18"/>
      <c r="AK10" s="18"/>
      <c r="AL10" s="18"/>
      <c r="AM10" s="7"/>
      <c r="AN10" s="7"/>
      <c r="AO10" s="7"/>
      <c r="AP10" s="7"/>
      <c r="AQ10" s="7"/>
      <c r="AV10" s="12"/>
      <c r="AX10" s="12"/>
      <c r="AY10" s="12"/>
      <c r="AZ10" s="12"/>
      <c r="BA10" s="12"/>
      <c r="BC10" s="12"/>
      <c r="BD10" s="12"/>
    </row>
    <row r="11" spans="1:67" x14ac:dyDescent="0.2">
      <c r="A11" s="1" t="s">
        <v>135</v>
      </c>
      <c r="B11" s="1" t="s">
        <v>142</v>
      </c>
      <c r="C11" s="1">
        <v>2015</v>
      </c>
      <c r="F11" s="18"/>
      <c r="G11" s="18"/>
      <c r="H11" s="18"/>
      <c r="I11" s="18"/>
      <c r="J11" s="18"/>
      <c r="K11" s="18"/>
      <c r="L11" s="18"/>
      <c r="M11" s="18"/>
      <c r="N11" s="19"/>
      <c r="O11" s="8"/>
      <c r="P11" s="8"/>
      <c r="Q11" s="8"/>
      <c r="R11" s="19"/>
      <c r="S11" s="18"/>
      <c r="T11" s="8"/>
      <c r="U11" s="18"/>
      <c r="W11" s="1">
        <f>5/60</f>
        <v>8.3333333333333329E-2</v>
      </c>
      <c r="X11" s="1">
        <f>10/60</f>
        <v>0.16666666666666666</v>
      </c>
      <c r="AE11" s="32">
        <v>1</v>
      </c>
      <c r="AJ11" s="18"/>
      <c r="AK11" s="18"/>
      <c r="AL11" s="18"/>
      <c r="AM11" s="7"/>
      <c r="AN11" s="7"/>
      <c r="AO11" s="7"/>
      <c r="AP11" s="7"/>
      <c r="AQ11" s="7"/>
      <c r="AV11" s="12"/>
      <c r="AX11" s="12"/>
      <c r="AY11" s="12"/>
      <c r="AZ11" s="12"/>
      <c r="BA11" s="12"/>
      <c r="BC11" s="12"/>
      <c r="BD11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Dropdown!$C$2:$C$4</xm:f>
          </x14:formula1>
          <xm:sqref>B2:B11</xm:sqref>
        </x14:dataValidation>
        <x14:dataValidation type="list" allowBlank="1" showInputMessage="1" showErrorMessage="1" xr:uid="{00000000-0002-0000-1300-000000000000}">
          <x14:formula1>
            <xm:f>Dropdown!$A$2:$A$54</xm:f>
          </x14:formula1>
          <xm:sqref>A2</xm:sqref>
        </x14:dataValidation>
        <x14:dataValidation type="list" allowBlank="1" showInputMessage="1" showErrorMessage="1" xr:uid="{00000000-0002-0000-1300-000002000000}">
          <x14:formula1>
            <xm:f>Dropdown!$A$2:$A$91</xm:f>
          </x14:formula1>
          <xm:sqref>A3:A8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/>
  <dimension ref="A1:BX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3" sqref="A13"/>
    </sheetView>
  </sheetViews>
  <sheetFormatPr baseColWidth="10" defaultColWidth="11.42578125" defaultRowHeight="12.75" x14ac:dyDescent="0.2"/>
  <cols>
    <col min="1" max="1" width="33.42578125" style="1" bestFit="1" customWidth="1"/>
    <col min="2" max="2" width="21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0.5703125" style="1" bestFit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3" width="24.42578125" style="1" customWidth="1"/>
    <col min="24" max="24" width="37.7109375" style="1" bestFit="1" customWidth="1"/>
    <col min="25" max="25" width="37.7109375" style="1" customWidth="1"/>
    <col min="26" max="28" width="24.7109375" style="1" customWidth="1"/>
    <col min="29" max="30" width="28.42578125" style="1" customWidth="1"/>
    <col min="31" max="31" width="27.42578125" style="1" bestFit="1" customWidth="1"/>
    <col min="32" max="33" width="27.42578125" style="1" customWidth="1"/>
    <col min="34" max="34" width="20.7109375" style="1" bestFit="1" customWidth="1"/>
    <col min="35" max="39" width="20.7109375" style="1" customWidth="1"/>
    <col min="40" max="40" width="25.85546875" style="1" bestFit="1" customWidth="1"/>
    <col min="41" max="41" width="29.7109375" style="1" bestFit="1" customWidth="1"/>
    <col min="42" max="42" width="24" style="1" bestFit="1" customWidth="1"/>
    <col min="43" max="43" width="38.28515625" style="1" bestFit="1" customWidth="1"/>
    <col min="44" max="46" width="38.28515625" style="1" customWidth="1"/>
    <col min="47" max="47" width="38.28515625" style="1" bestFit="1" customWidth="1"/>
    <col min="48" max="49" width="38.28515625" style="1" customWidth="1"/>
    <col min="50" max="50" width="33.42578125" style="1" bestFit="1" customWidth="1"/>
    <col min="51" max="51" width="33.42578125" style="1" customWidth="1"/>
    <col min="52" max="52" width="25.7109375" style="1" bestFit="1" customWidth="1"/>
    <col min="53" max="53" width="25.7109375" style="1" customWidth="1"/>
    <col min="54" max="54" width="56.7109375" style="1" bestFit="1" customWidth="1"/>
    <col min="55" max="56" width="35.5703125" style="1" customWidth="1"/>
    <col min="57" max="57" width="31.7109375" style="1" bestFit="1" customWidth="1"/>
    <col min="58" max="58" width="31.5703125" style="1" bestFit="1" customWidth="1"/>
    <col min="59" max="63" width="31.5703125" style="1" customWidth="1"/>
    <col min="64" max="64" width="37.42578125" style="1" bestFit="1" customWidth="1"/>
    <col min="65" max="65" width="35.7109375" style="1" bestFit="1" customWidth="1"/>
    <col min="66" max="66" width="28.85546875" style="1" bestFit="1" customWidth="1"/>
    <col min="67" max="67" width="34" style="1" bestFit="1" customWidth="1"/>
    <col min="68" max="68" width="37.85546875" style="1" bestFit="1" customWidth="1"/>
    <col min="69" max="69" width="34.42578125" style="1" bestFit="1" customWidth="1"/>
    <col min="70" max="70" width="38.140625" style="1" bestFit="1" customWidth="1"/>
    <col min="71" max="71" width="22.85546875" style="1" bestFit="1" customWidth="1"/>
    <col min="72" max="72" width="28.5703125" style="1" bestFit="1" customWidth="1"/>
    <col min="73" max="73" width="28.28515625" style="1" bestFit="1" customWidth="1"/>
    <col min="74" max="74" width="28.28515625" style="1" customWidth="1"/>
    <col min="75" max="75" width="31" style="1" bestFit="1" customWidth="1"/>
    <col min="76" max="76" width="28.85546875" style="1" bestFit="1" customWidth="1"/>
    <col min="77" max="16384" width="11.42578125" style="1"/>
  </cols>
  <sheetData>
    <row r="1" spans="1:76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771</v>
      </c>
      <c r="H1" s="2" t="s">
        <v>49</v>
      </c>
      <c r="I1" s="2" t="s">
        <v>149</v>
      </c>
      <c r="J1" s="2" t="s">
        <v>935</v>
      </c>
      <c r="K1" s="2" t="s">
        <v>1063</v>
      </c>
      <c r="L1" s="2" t="s">
        <v>97</v>
      </c>
      <c r="M1" s="2" t="s">
        <v>154</v>
      </c>
      <c r="N1" s="2" t="s">
        <v>156</v>
      </c>
      <c r="O1" s="2" t="s">
        <v>936</v>
      </c>
      <c r="P1" s="2" t="s">
        <v>1064</v>
      </c>
      <c r="Q1" s="2" t="s">
        <v>56</v>
      </c>
      <c r="R1" s="2" t="s">
        <v>55</v>
      </c>
      <c r="S1" s="2" t="s">
        <v>1080</v>
      </c>
      <c r="T1" s="2" t="s">
        <v>1081</v>
      </c>
      <c r="U1" s="2" t="s">
        <v>330</v>
      </c>
      <c r="V1" s="2" t="s">
        <v>937</v>
      </c>
      <c r="W1" s="2" t="s">
        <v>939</v>
      </c>
      <c r="X1" s="2" t="s">
        <v>938</v>
      </c>
      <c r="Y1" s="2" t="s">
        <v>940</v>
      </c>
      <c r="Z1" s="2" t="s">
        <v>941</v>
      </c>
      <c r="AA1" s="2" t="s">
        <v>942</v>
      </c>
      <c r="AB1" s="2" t="s">
        <v>123</v>
      </c>
      <c r="AC1" s="2" t="s">
        <v>943</v>
      </c>
      <c r="AD1" s="2" t="s">
        <v>944</v>
      </c>
      <c r="AE1" s="2" t="s">
        <v>9</v>
      </c>
      <c r="AF1" s="2" t="s">
        <v>423</v>
      </c>
      <c r="AG1" s="2" t="s">
        <v>225</v>
      </c>
      <c r="AH1" s="2" t="s">
        <v>157</v>
      </c>
      <c r="AI1" s="2" t="s">
        <v>227</v>
      </c>
      <c r="AJ1" s="2" t="s">
        <v>228</v>
      </c>
      <c r="AK1" s="2" t="s">
        <v>158</v>
      </c>
      <c r="AL1" s="2" t="s">
        <v>214</v>
      </c>
      <c r="AM1" s="2" t="s">
        <v>215</v>
      </c>
      <c r="AN1" s="2" t="s">
        <v>3</v>
      </c>
      <c r="AO1" s="2" t="s">
        <v>10</v>
      </c>
      <c r="AP1" s="2" t="s">
        <v>16</v>
      </c>
      <c r="AQ1" s="2" t="s">
        <v>4</v>
      </c>
      <c r="AR1" s="2" t="s">
        <v>99</v>
      </c>
      <c r="AS1" s="2" t="s">
        <v>183</v>
      </c>
      <c r="AT1" s="2" t="s">
        <v>182</v>
      </c>
      <c r="AU1" s="2" t="s">
        <v>12</v>
      </c>
      <c r="AV1" s="2" t="s">
        <v>231</v>
      </c>
      <c r="AW1" s="2" t="s">
        <v>232</v>
      </c>
      <c r="AX1" s="2" t="s">
        <v>230</v>
      </c>
      <c r="AY1" s="2" t="s">
        <v>332</v>
      </c>
      <c r="AZ1" s="2" t="s">
        <v>333</v>
      </c>
      <c r="BA1" s="2" t="s">
        <v>147</v>
      </c>
      <c r="BB1" s="2" t="s">
        <v>22</v>
      </c>
      <c r="BC1" s="2" t="s">
        <v>162</v>
      </c>
      <c r="BD1" s="2" t="s">
        <v>163</v>
      </c>
      <c r="BE1" s="2" t="s">
        <v>1</v>
      </c>
      <c r="BF1" s="2" t="s">
        <v>2</v>
      </c>
      <c r="BG1" s="2" t="s">
        <v>59</v>
      </c>
      <c r="BH1" s="2" t="s">
        <v>1089</v>
      </c>
      <c r="BI1" s="2" t="s">
        <v>236</v>
      </c>
      <c r="BJ1" s="2" t="s">
        <v>117</v>
      </c>
      <c r="BK1" s="2" t="s">
        <v>60</v>
      </c>
      <c r="BL1" s="2" t="s">
        <v>61</v>
      </c>
      <c r="BM1" s="2" t="s">
        <v>98</v>
      </c>
      <c r="BN1" s="2" t="s">
        <v>5</v>
      </c>
      <c r="BO1" s="2" t="s">
        <v>6</v>
      </c>
      <c r="BP1" s="2" t="s">
        <v>17</v>
      </c>
      <c r="BQ1" s="2" t="s">
        <v>18</v>
      </c>
      <c r="BR1" s="2" t="s">
        <v>7</v>
      </c>
      <c r="BS1" s="2" t="s">
        <v>19</v>
      </c>
      <c r="BT1" s="2" t="s">
        <v>20</v>
      </c>
      <c r="BU1" s="2" t="s">
        <v>21</v>
      </c>
      <c r="BV1" s="2" t="s">
        <v>148</v>
      </c>
      <c r="BW1" s="2" t="s">
        <v>23</v>
      </c>
      <c r="BX1" s="2" t="s">
        <v>51</v>
      </c>
    </row>
    <row r="2" spans="1:76" x14ac:dyDescent="0.2">
      <c r="A2" s="1" t="s">
        <v>880</v>
      </c>
      <c r="B2" s="1" t="s">
        <v>129</v>
      </c>
      <c r="C2" s="1">
        <v>2011</v>
      </c>
      <c r="D2" s="1">
        <v>1</v>
      </c>
      <c r="E2" s="1">
        <v>0</v>
      </c>
      <c r="F2" s="1">
        <v>0</v>
      </c>
      <c r="H2" s="18">
        <v>120</v>
      </c>
      <c r="I2" s="18"/>
      <c r="J2" s="18">
        <v>330</v>
      </c>
      <c r="K2" s="18"/>
      <c r="L2" s="18"/>
      <c r="M2" s="18">
        <v>120</v>
      </c>
      <c r="N2" s="18"/>
      <c r="O2" s="18">
        <v>330</v>
      </c>
      <c r="P2" s="18"/>
      <c r="Q2" s="18">
        <v>190</v>
      </c>
      <c r="R2" s="8">
        <f>Tabelle5897111426[[#This Row],[Mindestleistung MW]]/Tabelle5897111426[[#This Row],[Maximalleistung MW Literatur]]</f>
        <v>0.37254901960784315</v>
      </c>
      <c r="S2" s="8">
        <v>0.65</v>
      </c>
      <c r="T2" s="8"/>
      <c r="U2" s="8"/>
      <c r="V2" s="8">
        <f>Tabelle5897111426[[#This Row],[Durchschnittliche Leistung MW Literatur]]/Tabelle5897111426[[#This Row],[Maximalleistung MW Literatur]]</f>
        <v>0.76470588235294112</v>
      </c>
      <c r="W2" s="8"/>
      <c r="X2" s="19">
        <v>390</v>
      </c>
      <c r="Y2" s="19"/>
      <c r="Z2" s="18">
        <v>510</v>
      </c>
      <c r="AA2" s="18"/>
      <c r="AB2" s="8"/>
      <c r="AC2" s="18"/>
      <c r="AD2" s="18"/>
      <c r="AS2" s="18"/>
      <c r="AT2" s="18"/>
      <c r="AU2" s="18"/>
      <c r="AV2" s="7">
        <f>153*Umrechnungsfaktoren!$B$15/Umrechnungsfaktoren!$B$8</f>
        <v>166.82142857142856</v>
      </c>
      <c r="AW2" s="7">
        <f>500*Umrechnungsfaktoren!$B$15/Umrechnungsfaktoren!$B$8</f>
        <v>545.1680672268908</v>
      </c>
      <c r="AX2" s="7"/>
      <c r="AY2" s="7"/>
      <c r="AZ2" s="7"/>
      <c r="BE2" s="12">
        <v>38</v>
      </c>
      <c r="BF2" s="1">
        <v>38</v>
      </c>
      <c r="BG2" s="12">
        <v>38</v>
      </c>
      <c r="BH2" s="12">
        <v>38</v>
      </c>
      <c r="BI2" s="12">
        <v>38</v>
      </c>
      <c r="BJ2" s="12">
        <v>38</v>
      </c>
      <c r="BK2" s="1">
        <v>38</v>
      </c>
      <c r="BL2" s="12">
        <v>38</v>
      </c>
      <c r="BM2" s="12"/>
      <c r="BT2" s="1">
        <v>125</v>
      </c>
    </row>
    <row r="3" spans="1:76" x14ac:dyDescent="0.2">
      <c r="A3" s="1" t="s">
        <v>84</v>
      </c>
      <c r="B3" s="1" t="s">
        <v>129</v>
      </c>
      <c r="C3" s="1">
        <v>2011</v>
      </c>
      <c r="D3" s="1">
        <v>1</v>
      </c>
      <c r="E3" s="1">
        <v>0</v>
      </c>
      <c r="F3" s="1">
        <v>0</v>
      </c>
      <c r="G3" s="54"/>
      <c r="H3" s="18"/>
      <c r="I3" s="18">
        <v>400</v>
      </c>
      <c r="J3" s="18"/>
      <c r="K3" s="18"/>
      <c r="L3" s="18"/>
      <c r="M3" s="18"/>
      <c r="N3" s="18">
        <v>400</v>
      </c>
      <c r="O3" s="18"/>
      <c r="P3" s="18"/>
      <c r="Q3" s="18"/>
      <c r="R3" s="19"/>
      <c r="S3" s="8"/>
      <c r="T3" s="8"/>
      <c r="U3" s="8"/>
      <c r="V3" s="8">
        <f>Tabelle5897111426[[#This Row],[Durchschnittliche Leistung MW Literatur]]/Tabelle5897111426[[#This Row],[installierte Leistung MW Literatur]]</f>
        <v>0.4</v>
      </c>
      <c r="W3" s="8"/>
      <c r="X3" s="19">
        <v>800</v>
      </c>
      <c r="Y3" s="19"/>
      <c r="Z3" s="18"/>
      <c r="AA3" s="18"/>
      <c r="AB3" s="8"/>
      <c r="AC3" s="18">
        <v>2000</v>
      </c>
      <c r="AD3" s="18"/>
      <c r="AS3" s="18"/>
      <c r="AT3" s="18"/>
      <c r="AU3" s="18"/>
      <c r="AV3" s="7"/>
      <c r="AW3" s="7"/>
      <c r="AX3" s="7"/>
      <c r="AY3" s="7"/>
      <c r="AZ3" s="7"/>
      <c r="BE3" s="12">
        <v>33</v>
      </c>
      <c r="BF3" s="1">
        <v>33</v>
      </c>
      <c r="BG3" s="12"/>
      <c r="BH3" s="12"/>
      <c r="BI3" s="12">
        <v>32</v>
      </c>
      <c r="BJ3" s="12"/>
      <c r="BL3" s="12">
        <v>32</v>
      </c>
      <c r="BM3" s="12"/>
    </row>
    <row r="4" spans="1:76" x14ac:dyDescent="0.2">
      <c r="A4" s="1" t="s">
        <v>81</v>
      </c>
      <c r="B4" s="1" t="s">
        <v>129</v>
      </c>
      <c r="C4" s="1">
        <v>2011</v>
      </c>
      <c r="D4" s="1">
        <v>1</v>
      </c>
      <c r="E4" s="1">
        <v>0</v>
      </c>
      <c r="F4" s="1">
        <v>0</v>
      </c>
      <c r="G4" s="1">
        <v>22</v>
      </c>
      <c r="H4" s="18"/>
      <c r="I4" s="18">
        <v>110</v>
      </c>
      <c r="J4" s="18"/>
      <c r="K4" s="18"/>
      <c r="L4" s="18"/>
      <c r="M4" s="18"/>
      <c r="N4" s="18">
        <v>110</v>
      </c>
      <c r="O4" s="18"/>
      <c r="P4" s="18"/>
      <c r="Q4" s="18"/>
      <c r="R4" s="19"/>
      <c r="S4" s="8">
        <v>0.1</v>
      </c>
      <c r="T4" s="8"/>
      <c r="U4" s="8"/>
      <c r="V4" s="8">
        <v>0.85</v>
      </c>
      <c r="W4" s="8"/>
      <c r="X4" s="19">
        <v>2500</v>
      </c>
      <c r="Y4" s="19"/>
      <c r="Z4" s="18"/>
      <c r="AA4" s="18"/>
      <c r="AB4" s="8"/>
      <c r="AC4" s="18">
        <f>Tabelle5897111426[[#This Row],[Durchschnittliche Leistung MW Literatur]]/Tabelle5897111426[[#This Row],[Durchschnittsauslastung Literatur]]</f>
        <v>2941.1764705882356</v>
      </c>
      <c r="AD4" s="18"/>
      <c r="AS4" s="18"/>
      <c r="AT4" s="18"/>
      <c r="AU4" s="18"/>
      <c r="AV4" s="7">
        <f>160*Umrechnungsfaktoren!$B$15/Umrechnungsfaktoren!$B$8</f>
        <v>174.45378151260505</v>
      </c>
      <c r="AW4" s="7">
        <f>400*Umrechnungsfaktoren!$B$15/Umrechnungsfaktoren!$B$8</f>
        <v>436.1344537815126</v>
      </c>
      <c r="AX4" s="7"/>
      <c r="AY4" s="7"/>
      <c r="AZ4" s="7"/>
      <c r="BE4" s="12" t="s">
        <v>748</v>
      </c>
      <c r="BF4" s="12" t="s">
        <v>748</v>
      </c>
      <c r="BG4" s="12"/>
      <c r="BH4" s="12" t="s">
        <v>748</v>
      </c>
      <c r="BI4" s="12" t="s">
        <v>748</v>
      </c>
      <c r="BJ4" s="12" t="s">
        <v>748</v>
      </c>
      <c r="BK4" s="12"/>
      <c r="BL4" s="12"/>
      <c r="BM4" s="12"/>
      <c r="BT4" s="1">
        <v>125</v>
      </c>
    </row>
    <row r="5" spans="1:76" x14ac:dyDescent="0.2">
      <c r="A5" s="1" t="s">
        <v>77</v>
      </c>
      <c r="B5" s="1" t="s">
        <v>129</v>
      </c>
      <c r="C5" s="1">
        <v>2011</v>
      </c>
      <c r="D5" s="1">
        <v>1</v>
      </c>
      <c r="E5" s="1">
        <v>0</v>
      </c>
      <c r="F5" s="1">
        <v>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  <c r="S5" s="8"/>
      <c r="T5" s="8"/>
      <c r="U5" s="8"/>
      <c r="V5" s="57"/>
      <c r="W5" s="57"/>
      <c r="X5" s="19">
        <v>370</v>
      </c>
      <c r="Y5" s="19"/>
      <c r="Z5" s="18"/>
      <c r="AA5" s="18"/>
      <c r="AB5" s="8"/>
      <c r="AC5" s="18"/>
      <c r="AD5" s="18"/>
      <c r="AS5" s="18"/>
      <c r="AT5" s="18"/>
      <c r="AU5" s="18"/>
      <c r="AV5" s="7"/>
      <c r="AW5" s="7"/>
      <c r="AX5" s="7"/>
      <c r="AY5" s="7"/>
      <c r="AZ5" s="7"/>
      <c r="BE5" s="12"/>
      <c r="BG5" s="12"/>
      <c r="BH5" s="12"/>
      <c r="BI5" s="12"/>
      <c r="BJ5" s="12">
        <v>33</v>
      </c>
      <c r="BL5" s="12"/>
      <c r="BM5" s="12"/>
    </row>
    <row r="6" spans="1:76" x14ac:dyDescent="0.2">
      <c r="A6" s="1" t="s">
        <v>80</v>
      </c>
      <c r="B6" s="1" t="s">
        <v>129</v>
      </c>
      <c r="C6" s="1">
        <v>2011</v>
      </c>
      <c r="D6" s="1">
        <v>1</v>
      </c>
      <c r="E6" s="1">
        <v>0</v>
      </c>
      <c r="F6" s="1">
        <v>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S6" s="8"/>
      <c r="T6" s="8"/>
      <c r="U6" s="8"/>
      <c r="V6" s="57">
        <f>Tabelle5897111426[[#This Row],[Durchschnittliche Leistung MW Literatur]]/Tabelle5897111426[[#This Row],[Maximalleistung MW Literatur]]</f>
        <v>0.660377358490566</v>
      </c>
      <c r="W6" s="57"/>
      <c r="X6" s="19">
        <v>350</v>
      </c>
      <c r="Y6" s="19"/>
      <c r="Z6" s="18">
        <v>530</v>
      </c>
      <c r="AA6" s="18"/>
      <c r="AB6" s="8"/>
      <c r="AC6" s="18"/>
      <c r="AD6" s="18"/>
      <c r="AS6" s="18"/>
      <c r="AT6" s="18"/>
      <c r="AU6" s="18"/>
      <c r="AV6" s="7"/>
      <c r="AW6" s="7"/>
      <c r="AX6" s="7"/>
      <c r="AY6" s="7"/>
      <c r="AZ6" s="7"/>
      <c r="BE6" s="12"/>
      <c r="BG6" s="12"/>
      <c r="BH6" s="12"/>
      <c r="BI6" s="12"/>
      <c r="BJ6" s="12">
        <v>33</v>
      </c>
      <c r="BK6" s="1">
        <v>33</v>
      </c>
      <c r="BL6" s="1">
        <v>33</v>
      </c>
      <c r="BM6" s="12"/>
    </row>
    <row r="7" spans="1:76" x14ac:dyDescent="0.2">
      <c r="A7" s="1" t="s">
        <v>82</v>
      </c>
      <c r="B7" s="1" t="s">
        <v>129</v>
      </c>
      <c r="C7" s="1">
        <v>2011</v>
      </c>
      <c r="D7" s="1">
        <v>1</v>
      </c>
      <c r="E7" s="1">
        <v>0</v>
      </c>
      <c r="F7" s="1">
        <v>0</v>
      </c>
      <c r="H7" s="18"/>
      <c r="I7" s="18"/>
      <c r="J7" s="18">
        <v>60</v>
      </c>
      <c r="K7" s="18"/>
      <c r="L7" s="18"/>
      <c r="M7" s="18"/>
      <c r="N7" s="18"/>
      <c r="O7" s="18">
        <v>60</v>
      </c>
      <c r="P7" s="18"/>
      <c r="Q7" s="18"/>
      <c r="R7" s="19"/>
      <c r="S7" s="8"/>
      <c r="T7" s="8"/>
      <c r="U7" s="8"/>
      <c r="V7" s="8"/>
      <c r="W7" s="8"/>
      <c r="X7" s="19"/>
      <c r="Y7" s="19"/>
      <c r="Z7" s="18">
        <v>60</v>
      </c>
      <c r="AA7" s="18"/>
      <c r="AB7" s="8"/>
      <c r="AC7" s="18"/>
      <c r="AD7" s="18"/>
      <c r="AS7" s="18"/>
      <c r="AT7" s="18"/>
      <c r="AU7" s="18"/>
      <c r="AV7" s="7"/>
      <c r="AW7" s="7"/>
      <c r="AX7" s="7"/>
      <c r="AY7" s="7"/>
      <c r="AZ7" s="7"/>
      <c r="BB7" s="1" t="s">
        <v>1062</v>
      </c>
      <c r="BE7" s="12"/>
      <c r="BG7" s="12"/>
      <c r="BH7" s="12"/>
      <c r="BI7" s="12">
        <v>34</v>
      </c>
      <c r="BJ7" s="12">
        <v>34</v>
      </c>
      <c r="BK7" s="1">
        <v>34</v>
      </c>
      <c r="BL7" s="12">
        <v>34</v>
      </c>
      <c r="BM7" s="12"/>
    </row>
    <row r="8" spans="1:76" x14ac:dyDescent="0.2">
      <c r="A8" s="1" t="s">
        <v>649</v>
      </c>
      <c r="B8" s="1" t="s">
        <v>129</v>
      </c>
      <c r="C8" s="1">
        <v>2011</v>
      </c>
      <c r="D8" s="1">
        <v>1</v>
      </c>
      <c r="E8" s="1">
        <v>0</v>
      </c>
      <c r="F8" s="1">
        <v>0</v>
      </c>
      <c r="G8" s="1">
        <v>0.65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S8" s="8"/>
      <c r="T8" s="8"/>
      <c r="U8" s="8"/>
      <c r="V8" s="8"/>
      <c r="W8" s="8"/>
      <c r="X8" s="19"/>
      <c r="Y8" s="19"/>
      <c r="Z8" s="18">
        <v>150</v>
      </c>
      <c r="AA8" s="18"/>
      <c r="AB8" s="8"/>
      <c r="AC8" s="18"/>
      <c r="AD8" s="18"/>
      <c r="AP8" s="1" t="s">
        <v>752</v>
      </c>
      <c r="AS8" s="18"/>
      <c r="AT8" s="18"/>
      <c r="AU8" s="18"/>
      <c r="AV8" s="7">
        <f>850*Umrechnungsfaktoren!$B$15/Umrechnungsfaktoren!$B$8</f>
        <v>926.78571428571422</v>
      </c>
      <c r="AW8" s="7">
        <f>1300*Umrechnungsfaktoren!$B$15/Umrechnungsfaktoren!$B$8</f>
        <v>1417.4369747899159</v>
      </c>
      <c r="AX8" s="7"/>
      <c r="AY8" s="7"/>
      <c r="AZ8" s="7"/>
      <c r="BE8" s="12"/>
      <c r="BG8" s="12"/>
      <c r="BH8" s="12"/>
      <c r="BI8" s="12"/>
      <c r="BJ8" s="12"/>
      <c r="BK8" s="1">
        <v>41</v>
      </c>
      <c r="BL8" s="12">
        <v>41</v>
      </c>
      <c r="BM8" s="12"/>
      <c r="BQ8" s="1">
        <v>95</v>
      </c>
      <c r="BT8" s="1">
        <v>125</v>
      </c>
    </row>
    <row r="9" spans="1:76" x14ac:dyDescent="0.2">
      <c r="A9" s="1" t="s">
        <v>211</v>
      </c>
      <c r="B9" s="1" t="s">
        <v>129</v>
      </c>
      <c r="C9" s="1">
        <v>2011</v>
      </c>
      <c r="D9" s="1">
        <v>1</v>
      </c>
      <c r="E9" s="1">
        <v>0</v>
      </c>
      <c r="F9" s="1">
        <v>0</v>
      </c>
      <c r="G9" s="1">
        <v>20</v>
      </c>
      <c r="H9" s="18"/>
      <c r="I9" s="18">
        <v>325</v>
      </c>
      <c r="J9" s="18"/>
      <c r="K9" s="18"/>
      <c r="L9" s="18"/>
      <c r="M9" s="18"/>
      <c r="N9" s="18">
        <v>325</v>
      </c>
      <c r="O9" s="18"/>
      <c r="P9" s="18"/>
      <c r="Q9" s="18"/>
      <c r="R9" s="19"/>
      <c r="S9" s="8">
        <v>0.15</v>
      </c>
      <c r="T9" s="8">
        <v>0.3</v>
      </c>
      <c r="U9" s="8"/>
      <c r="V9" s="8"/>
      <c r="W9" s="8"/>
      <c r="X9" s="19"/>
      <c r="Y9" s="19"/>
      <c r="Z9" s="18"/>
      <c r="AA9" s="18"/>
      <c r="AB9" s="8"/>
      <c r="AC9" s="18"/>
      <c r="AD9" s="18"/>
      <c r="AS9" s="18"/>
      <c r="AT9" s="18"/>
      <c r="AU9" s="18"/>
      <c r="AV9" s="7"/>
      <c r="AW9" s="7"/>
      <c r="AX9" s="7"/>
      <c r="AY9" s="7"/>
      <c r="AZ9" s="7"/>
      <c r="BE9" s="12">
        <v>47</v>
      </c>
      <c r="BF9" s="1">
        <v>47</v>
      </c>
      <c r="BG9" s="12"/>
      <c r="BH9" s="12">
        <v>47</v>
      </c>
      <c r="BI9" s="12"/>
      <c r="BJ9" s="12"/>
      <c r="BL9" s="12"/>
      <c r="BM9" s="12"/>
    </row>
    <row r="10" spans="1:76" x14ac:dyDescent="0.2">
      <c r="A10" s="1" t="s">
        <v>406</v>
      </c>
      <c r="B10" s="1" t="s">
        <v>130</v>
      </c>
      <c r="C10" s="1">
        <v>2011</v>
      </c>
      <c r="D10" s="1">
        <v>1</v>
      </c>
      <c r="E10" s="1">
        <v>0</v>
      </c>
      <c r="F10" s="1">
        <v>0</v>
      </c>
      <c r="H10" s="18"/>
      <c r="I10" s="18"/>
      <c r="J10" s="18"/>
      <c r="K10" s="18"/>
      <c r="L10" s="18"/>
      <c r="M10" s="18"/>
      <c r="N10" s="18"/>
      <c r="O10" s="18">
        <v>80</v>
      </c>
      <c r="P10" s="18"/>
      <c r="Q10" s="18"/>
      <c r="R10" s="19"/>
      <c r="S10" s="8">
        <v>0.22</v>
      </c>
      <c r="T10" s="8">
        <v>0.49</v>
      </c>
      <c r="U10" s="8"/>
      <c r="V10" s="8"/>
      <c r="W10" s="8"/>
      <c r="X10" s="19"/>
      <c r="Y10" s="19"/>
      <c r="Z10" s="18">
        <v>146</v>
      </c>
      <c r="AA10" s="18"/>
      <c r="AB10" s="8"/>
      <c r="AC10" s="18">
        <v>146</v>
      </c>
      <c r="AD10" s="18"/>
      <c r="AS10" s="18"/>
      <c r="AT10" s="18"/>
      <c r="AU10" s="18"/>
      <c r="AV10" s="7"/>
      <c r="AW10" s="7"/>
      <c r="AX10" s="7"/>
      <c r="AY10" s="7"/>
      <c r="AZ10" s="7"/>
      <c r="BE10" s="12"/>
      <c r="BG10" s="12"/>
      <c r="BH10" s="12">
        <v>48</v>
      </c>
      <c r="BI10" s="12"/>
      <c r="BJ10" s="12"/>
      <c r="BK10" s="1">
        <v>48</v>
      </c>
      <c r="BL10" s="12"/>
      <c r="BM10" s="12"/>
    </row>
    <row r="11" spans="1:76" x14ac:dyDescent="0.2">
      <c r="A11" s="1" t="s">
        <v>212</v>
      </c>
      <c r="B11" s="1" t="s">
        <v>130</v>
      </c>
      <c r="C11" s="1">
        <v>2011</v>
      </c>
      <c r="D11" s="1">
        <v>1</v>
      </c>
      <c r="E11" s="1">
        <v>0</v>
      </c>
      <c r="F11" s="1">
        <v>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8"/>
      <c r="T11" s="8"/>
      <c r="U11" s="8"/>
      <c r="V11" s="8"/>
      <c r="W11" s="8"/>
      <c r="X11" s="19"/>
      <c r="Y11" s="19"/>
      <c r="Z11" s="18"/>
      <c r="AA11" s="18"/>
      <c r="AB11" s="8"/>
      <c r="AC11" s="18"/>
      <c r="AD11" s="18"/>
      <c r="AS11" s="18"/>
      <c r="AT11" s="18"/>
      <c r="AU11" s="18"/>
      <c r="AV11" s="7"/>
      <c r="AW11" s="7"/>
      <c r="AX11" s="7"/>
      <c r="AY11" s="7"/>
      <c r="AZ11" s="7"/>
      <c r="BE11" s="12"/>
      <c r="BG11" s="12"/>
      <c r="BH11" s="12"/>
      <c r="BI11" s="12"/>
      <c r="BJ11" s="12"/>
      <c r="BL11" s="12"/>
      <c r="BM11" s="12"/>
    </row>
    <row r="12" spans="1:76" x14ac:dyDescent="0.2">
      <c r="A12" s="1" t="s">
        <v>746</v>
      </c>
      <c r="B12" s="1" t="s">
        <v>129</v>
      </c>
      <c r="C12" s="1">
        <v>2011</v>
      </c>
      <c r="D12" s="1">
        <v>1</v>
      </c>
      <c r="E12" s="1">
        <v>0</v>
      </c>
      <c r="F12" s="1">
        <v>0</v>
      </c>
      <c r="H12" s="18">
        <v>30</v>
      </c>
      <c r="I12" s="18"/>
      <c r="J12" s="18">
        <v>40</v>
      </c>
      <c r="K12" s="18"/>
      <c r="L12" s="18"/>
      <c r="M12" s="18">
        <v>30</v>
      </c>
      <c r="N12" s="18"/>
      <c r="O12" s="18">
        <v>40</v>
      </c>
      <c r="P12" s="18"/>
      <c r="Q12" s="18"/>
      <c r="R12" s="19"/>
      <c r="S12" s="8"/>
      <c r="T12" s="8"/>
      <c r="U12" s="8"/>
      <c r="V12" s="57">
        <f>Tabelle5897111426[[#This Row],[Durchschnittliche Leistung MW Literatur]]/Tabelle5897111426[[#This Row],[Maximalleistung MW Literatur]]</f>
        <v>0.45</v>
      </c>
      <c r="W12" s="57"/>
      <c r="X12" s="19">
        <v>117</v>
      </c>
      <c r="Y12" s="19"/>
      <c r="Z12" s="18">
        <v>260</v>
      </c>
      <c r="AA12" s="18"/>
      <c r="AB12" s="8"/>
      <c r="AC12" s="18">
        <f>Tabelle5897111426[[#This Row],[Maximalleistung MW Literatur]]</f>
        <v>260</v>
      </c>
      <c r="AD12" s="18"/>
      <c r="AS12" s="18"/>
      <c r="AT12" s="18"/>
      <c r="AU12" s="18"/>
      <c r="AV12" s="7"/>
      <c r="AW12" s="7"/>
      <c r="AX12" s="7"/>
      <c r="AY12" s="7"/>
      <c r="AZ12" s="7"/>
      <c r="BE12" s="12">
        <v>27</v>
      </c>
      <c r="BF12" s="1">
        <v>27</v>
      </c>
      <c r="BG12" s="12"/>
      <c r="BH12" s="12"/>
      <c r="BI12" s="12">
        <v>27</v>
      </c>
      <c r="BJ12" s="12">
        <v>27</v>
      </c>
      <c r="BK12" s="1">
        <v>27</v>
      </c>
      <c r="BL12" s="1">
        <v>27</v>
      </c>
      <c r="BM12" s="12"/>
    </row>
    <row r="13" spans="1:76" x14ac:dyDescent="0.2">
      <c r="A13" s="1" t="s">
        <v>747</v>
      </c>
      <c r="B13" s="1" t="s">
        <v>129</v>
      </c>
      <c r="C13" s="1">
        <v>2011</v>
      </c>
      <c r="D13" s="1">
        <v>1</v>
      </c>
      <c r="E13" s="1">
        <v>0</v>
      </c>
      <c r="F13" s="1">
        <v>0</v>
      </c>
      <c r="G13" s="1">
        <v>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8"/>
      <c r="T13" s="8"/>
      <c r="U13" s="8"/>
      <c r="V13" s="57"/>
      <c r="W13" s="57"/>
      <c r="X13" s="19"/>
      <c r="Y13" s="19"/>
      <c r="Z13" s="18"/>
      <c r="AA13" s="18"/>
      <c r="AB13" s="8"/>
      <c r="AC13" s="18"/>
      <c r="AD13" s="18"/>
      <c r="AS13" s="18"/>
      <c r="AT13" s="18"/>
      <c r="AU13" s="18"/>
      <c r="AV13" s="7"/>
      <c r="AW13" s="7"/>
      <c r="AX13" s="7"/>
      <c r="AY13" s="7"/>
      <c r="AZ13" s="7"/>
      <c r="BE13" s="12"/>
      <c r="BG13" s="12"/>
      <c r="BH13" s="12"/>
      <c r="BI13" s="12"/>
      <c r="BJ13" s="12"/>
      <c r="BL13" s="12"/>
      <c r="BM13" s="12"/>
    </row>
    <row r="14" spans="1:76" x14ac:dyDescent="0.2">
      <c r="A14" s="1" t="s">
        <v>364</v>
      </c>
      <c r="B14" s="1" t="s">
        <v>130</v>
      </c>
      <c r="C14" s="1">
        <v>2011</v>
      </c>
      <c r="D14" s="1">
        <v>1</v>
      </c>
      <c r="E14" s="1">
        <v>0</v>
      </c>
      <c r="F14" s="1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8"/>
      <c r="T14" s="8"/>
      <c r="U14" s="8"/>
      <c r="V14" s="8"/>
      <c r="W14" s="8"/>
      <c r="X14" s="19"/>
      <c r="Y14" s="19"/>
      <c r="Z14" s="18"/>
      <c r="AA14" s="18"/>
      <c r="AB14" s="8"/>
      <c r="AC14" s="18"/>
      <c r="AD14" s="18"/>
      <c r="AS14" s="18"/>
      <c r="AT14" s="18"/>
      <c r="AU14" s="18"/>
      <c r="AV14" s="7"/>
      <c r="AW14" s="7"/>
      <c r="AX14" s="7"/>
      <c r="AY14" s="7"/>
      <c r="AZ14" s="7"/>
      <c r="BE14" s="12"/>
      <c r="BG14" s="12"/>
      <c r="BH14" s="12"/>
      <c r="BI14" s="12"/>
      <c r="BJ14" s="12"/>
      <c r="BL14" s="12"/>
      <c r="BM14" s="12"/>
    </row>
    <row r="15" spans="1:76" x14ac:dyDescent="0.2">
      <c r="A15" s="54" t="s">
        <v>377</v>
      </c>
      <c r="B15" s="54" t="s">
        <v>130</v>
      </c>
      <c r="C15" s="54">
        <v>2011</v>
      </c>
      <c r="D15" s="1">
        <v>1</v>
      </c>
      <c r="E15" s="1">
        <v>0</v>
      </c>
      <c r="F15" s="1">
        <v>0</v>
      </c>
      <c r="G15" s="54"/>
      <c r="H15" s="55"/>
      <c r="I15" s="55"/>
      <c r="J15" s="55"/>
      <c r="K15" s="55">
        <v>58</v>
      </c>
      <c r="L15" s="55"/>
      <c r="M15" s="55"/>
      <c r="N15" s="55"/>
      <c r="O15" s="55"/>
      <c r="P15" s="55">
        <v>62</v>
      </c>
      <c r="Q15" s="55"/>
      <c r="R15" s="56"/>
      <c r="S15" s="57">
        <v>0.25</v>
      </c>
      <c r="T15" s="57">
        <v>0.27</v>
      </c>
      <c r="U15" s="58"/>
      <c r="V15" s="57">
        <f>Tabelle5897111426[[#This Row],[Durchschnittliche Leistung MW Literatur]]/Tabelle5897111426[[#This Row],[Maximalleistung MW Literatur]]</f>
        <v>0.5</v>
      </c>
      <c r="W15" s="57">
        <f>Tabelle5897111426[[#This Row],[Durchschnittliche Leistung MW Hochrechnung]]/Tabelle5897111426[[#This Row],[Maximalleistung MW Hochrechnung]]</f>
        <v>0.5670995670995671</v>
      </c>
      <c r="X15" s="56">
        <v>167</v>
      </c>
      <c r="Y15" s="56">
        <v>131</v>
      </c>
      <c r="Z15" s="55">
        <f>Tabelle5897111426[[#This Row],[Durchschnittliche Leistung MW Literatur]]*2</f>
        <v>334</v>
      </c>
      <c r="AA15" s="55">
        <v>231</v>
      </c>
      <c r="AB15" s="58"/>
      <c r="AC15" s="55">
        <f>Tabelle5897111426[[#This Row],[Maximalleistung MW Literatur]]</f>
        <v>334</v>
      </c>
      <c r="AD15" s="55">
        <f>Tabelle5897111426[[#This Row],[Maximalleistung MW Hochrechnung]]</f>
        <v>231</v>
      </c>
      <c r="AE15" s="59"/>
      <c r="AF15" s="59"/>
      <c r="AG15" s="59"/>
      <c r="AH15" s="54"/>
      <c r="AI15" s="54"/>
      <c r="AJ15" s="54"/>
      <c r="AK15" s="54"/>
      <c r="AL15" s="54"/>
      <c r="AM15" s="54"/>
      <c r="AN15" s="54"/>
      <c r="AO15" s="54"/>
      <c r="AP15" s="54" t="s">
        <v>745</v>
      </c>
      <c r="AQ15" s="54"/>
      <c r="AR15" s="54"/>
      <c r="AS15" s="55"/>
      <c r="AT15" s="55"/>
      <c r="AU15" s="55"/>
      <c r="AV15" s="60">
        <f>690*Umrechnungsfaktoren!$B$15/Umrechnungsfaktoren!$B$8</f>
        <v>752.3319327731092</v>
      </c>
      <c r="AW15" s="60">
        <f>3150*Umrechnungsfaktoren!$B$15/Umrechnungsfaktoren!$B$8</f>
        <v>3434.5588235294117</v>
      </c>
      <c r="AX15" s="60"/>
      <c r="AY15" s="60"/>
      <c r="AZ15" s="60"/>
      <c r="BA15" s="54"/>
      <c r="BB15" s="1" t="s">
        <v>1061</v>
      </c>
      <c r="BC15" s="54"/>
      <c r="BD15" s="54"/>
      <c r="BE15" s="61">
        <v>67</v>
      </c>
      <c r="BF15" s="54">
        <v>67</v>
      </c>
      <c r="BG15" s="61"/>
      <c r="BH15" s="61">
        <v>67</v>
      </c>
      <c r="BI15" s="61">
        <v>10</v>
      </c>
      <c r="BJ15" s="12" t="s">
        <v>945</v>
      </c>
      <c r="BK15" s="12" t="s">
        <v>945</v>
      </c>
      <c r="BL15" s="54">
        <v>10</v>
      </c>
      <c r="BM15" s="61"/>
      <c r="BN15" s="54"/>
      <c r="BO15" s="54"/>
      <c r="BP15" s="54"/>
      <c r="BQ15" s="54">
        <v>10</v>
      </c>
      <c r="BR15" s="54"/>
      <c r="BS15" s="54"/>
      <c r="BT15" s="54">
        <v>125</v>
      </c>
      <c r="BU15" s="54"/>
      <c r="BV15" s="54"/>
      <c r="BW15" s="54">
        <v>9</v>
      </c>
      <c r="BX15" s="54"/>
    </row>
    <row r="16" spans="1:76" x14ac:dyDescent="0.2">
      <c r="A16" s="54" t="s">
        <v>296</v>
      </c>
      <c r="B16" s="54" t="s">
        <v>130</v>
      </c>
      <c r="C16" s="54">
        <v>2011</v>
      </c>
      <c r="D16" s="1">
        <v>1</v>
      </c>
      <c r="E16" s="1">
        <v>0</v>
      </c>
      <c r="F16" s="1">
        <v>0</v>
      </c>
      <c r="G16" s="54"/>
      <c r="H16" s="55">
        <v>20</v>
      </c>
      <c r="I16" s="55"/>
      <c r="J16" s="55">
        <v>30</v>
      </c>
      <c r="K16" s="55">
        <v>22</v>
      </c>
      <c r="L16" s="55"/>
      <c r="M16" s="55">
        <v>20</v>
      </c>
      <c r="N16" s="55"/>
      <c r="O16" s="55">
        <v>30</v>
      </c>
      <c r="P16" s="55">
        <v>17</v>
      </c>
      <c r="Q16" s="55"/>
      <c r="R16" s="56"/>
      <c r="S16" s="57">
        <v>0.21</v>
      </c>
      <c r="T16" s="57">
        <v>0.25</v>
      </c>
      <c r="U16" s="58"/>
      <c r="V16" s="57"/>
      <c r="W16" s="57">
        <f>Tabelle5897111426[[#This Row],[Durchschnittliche Leistung MW Hochrechnung]]/Tabelle5897111426[[#This Row],[Maximalleistung MW Hochrechnung]]</f>
        <v>0.32941176470588235</v>
      </c>
      <c r="X16" s="56"/>
      <c r="Y16" s="56">
        <v>28</v>
      </c>
      <c r="Z16" s="55"/>
      <c r="AA16" s="55">
        <v>85</v>
      </c>
      <c r="AB16" s="58"/>
      <c r="AC16" s="55"/>
      <c r="AD16" s="55">
        <v>85</v>
      </c>
      <c r="AE16" s="59"/>
      <c r="AF16" s="59"/>
      <c r="AG16" s="59"/>
      <c r="AH16" s="54"/>
      <c r="AI16" s="54"/>
      <c r="AJ16" s="54"/>
      <c r="AK16" s="54"/>
      <c r="AL16" s="54"/>
      <c r="AM16" s="54">
        <v>48</v>
      </c>
      <c r="AN16" s="54"/>
      <c r="AO16" s="54"/>
      <c r="AP16" s="62" t="s">
        <v>750</v>
      </c>
      <c r="AQ16" s="54">
        <v>3</v>
      </c>
      <c r="AR16" s="54"/>
      <c r="AS16" s="55"/>
      <c r="AT16" s="55"/>
      <c r="AU16" s="55"/>
      <c r="AV16" s="60"/>
      <c r="AW16" s="60"/>
      <c r="AX16" s="60"/>
      <c r="AY16" s="60"/>
      <c r="AZ16" s="60"/>
      <c r="BA16" s="54"/>
      <c r="BB16" s="54"/>
      <c r="BC16" s="54"/>
      <c r="BD16" s="54"/>
      <c r="BE16" s="12" t="s">
        <v>946</v>
      </c>
      <c r="BF16" s="12" t="s">
        <v>946</v>
      </c>
      <c r="BG16" s="61"/>
      <c r="BH16" s="61">
        <v>77</v>
      </c>
      <c r="BI16" s="61"/>
      <c r="BJ16" s="61">
        <v>77</v>
      </c>
      <c r="BK16" s="61">
        <v>77</v>
      </c>
      <c r="BL16" s="61"/>
      <c r="BM16" s="61"/>
      <c r="BN16" s="54"/>
      <c r="BO16" s="54" t="s">
        <v>749</v>
      </c>
      <c r="BP16" s="54">
        <v>68</v>
      </c>
      <c r="BQ16" s="54">
        <v>68</v>
      </c>
      <c r="BR16" s="54">
        <v>70</v>
      </c>
      <c r="BS16" s="54"/>
      <c r="BT16" s="54"/>
      <c r="BU16" s="54"/>
      <c r="BV16" s="54"/>
      <c r="BW16" s="54"/>
      <c r="BX16" s="54"/>
    </row>
    <row r="17" spans="1:76" x14ac:dyDescent="0.2">
      <c r="A17" s="54" t="s">
        <v>1087</v>
      </c>
      <c r="B17" s="54" t="s">
        <v>130</v>
      </c>
      <c r="C17" s="54">
        <v>2011</v>
      </c>
      <c r="D17" s="1">
        <v>1</v>
      </c>
      <c r="E17" s="1">
        <v>0</v>
      </c>
      <c r="F17" s="1">
        <v>0</v>
      </c>
      <c r="G17" s="54"/>
      <c r="H17" s="55"/>
      <c r="I17" s="55"/>
      <c r="J17" s="55"/>
      <c r="K17" s="55">
        <v>81</v>
      </c>
      <c r="L17" s="55"/>
      <c r="M17" s="55"/>
      <c r="N17" s="55"/>
      <c r="O17" s="55"/>
      <c r="P17" s="55">
        <v>99</v>
      </c>
      <c r="Q17" s="55"/>
      <c r="R17" s="56"/>
      <c r="S17" s="57">
        <v>0.3</v>
      </c>
      <c r="T17" s="57">
        <v>0.37</v>
      </c>
      <c r="U17" s="58"/>
      <c r="V17" s="57"/>
      <c r="W17" s="57">
        <f>Tabelle5897111426[[#This Row],[Durchschnittliche Leistung MW Hochrechnung]]/Tabelle5897111426[[#This Row],[Maximalleistung MW Hochrechnung]]</f>
        <v>0.47601476014760147</v>
      </c>
      <c r="X17" s="56"/>
      <c r="Y17" s="56">
        <v>129</v>
      </c>
      <c r="Z17" s="55">
        <v>169</v>
      </c>
      <c r="AA17" s="55">
        <v>271</v>
      </c>
      <c r="AB17" s="58"/>
      <c r="AC17" s="55">
        <f>Tabelle5897111426[[#This Row],[Maximalleistung MW Literatur]]</f>
        <v>169</v>
      </c>
      <c r="AD17" s="55">
        <f>Tabelle5897111426[[#This Row],[Maximalleistung MW Hochrechnung]]</f>
        <v>271</v>
      </c>
      <c r="AE17" s="59"/>
      <c r="AF17" s="59"/>
      <c r="AG17" s="59"/>
      <c r="AH17" s="54"/>
      <c r="AI17" s="54"/>
      <c r="AJ17" s="54"/>
      <c r="AK17" s="54"/>
      <c r="AL17" s="54">
        <v>3</v>
      </c>
      <c r="AM17" s="54"/>
      <c r="AN17" s="54"/>
      <c r="AO17" s="54"/>
      <c r="AP17" s="54" t="s">
        <v>751</v>
      </c>
      <c r="AQ17" s="54"/>
      <c r="AR17" s="54"/>
      <c r="AS17" s="55"/>
      <c r="AT17" s="55"/>
      <c r="AU17" s="55"/>
      <c r="AV17" s="60">
        <f>300*Umrechnungsfaktoren!$B$15/Umrechnungsfaktoren!$B$8</f>
        <v>327.10084033613447</v>
      </c>
      <c r="AW17" s="60">
        <f>600*Umrechnungsfaktoren!$B$15/Umrechnungsfaktoren!$B$8</f>
        <v>654.20168067226894</v>
      </c>
      <c r="AX17" s="60"/>
      <c r="AY17" s="60"/>
      <c r="AZ17" s="60"/>
      <c r="BA17" s="54"/>
      <c r="BB17" s="54"/>
      <c r="BC17" s="54"/>
      <c r="BD17" s="54"/>
      <c r="BE17" s="61">
        <v>88</v>
      </c>
      <c r="BF17" s="54">
        <v>88</v>
      </c>
      <c r="BG17" s="61"/>
      <c r="BH17" s="61">
        <v>88</v>
      </c>
      <c r="BI17" s="61"/>
      <c r="BJ17" s="61">
        <v>88</v>
      </c>
      <c r="BK17" s="1" t="s">
        <v>947</v>
      </c>
      <c r="BL17" s="54">
        <v>20</v>
      </c>
      <c r="BM17" s="61"/>
      <c r="BN17" s="54"/>
      <c r="BO17" s="54">
        <v>19</v>
      </c>
      <c r="BP17" s="54"/>
      <c r="BQ17" s="54">
        <v>78</v>
      </c>
      <c r="BR17" s="54"/>
      <c r="BS17" s="54"/>
      <c r="BT17" s="54">
        <v>125</v>
      </c>
      <c r="BU17" s="54"/>
      <c r="BV17" s="54"/>
      <c r="BW17" s="54"/>
      <c r="BX17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1000000}">
          <x14:formula1>
            <xm:f>Dropdown!$C$2:$C$4</xm:f>
          </x14:formula1>
          <xm:sqref>B2:B17</xm:sqref>
        </x14:dataValidation>
        <x14:dataValidation type="list" allowBlank="1" showInputMessage="1" showErrorMessage="1" xr:uid="{98606B16-B559-426F-A80B-80C4A6E40926}">
          <x14:formula1>
            <xm:f>Dropdown!$A$2:$A$92</xm:f>
          </x14:formula1>
          <xm:sqref>A2:A17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/>
  <dimension ref="A1:CI123"/>
  <sheetViews>
    <sheetView zoomScale="70" zoomScaleNormal="70" workbookViewId="0">
      <pane xSplit="4" ySplit="1" topLeftCell="E34" activePane="bottomRight" state="frozen"/>
      <selection pane="topRight" activeCell="D1" sqref="D1"/>
      <selection pane="bottomLeft" activeCell="A2" sqref="A2"/>
      <selection pane="bottomRight" activeCell="B45" sqref="B45"/>
    </sheetView>
  </sheetViews>
  <sheetFormatPr baseColWidth="10" defaultColWidth="11.42578125" defaultRowHeight="12.75" x14ac:dyDescent="0.2"/>
  <cols>
    <col min="1" max="1" width="33.42578125" style="1" bestFit="1" customWidth="1"/>
    <col min="2" max="3" width="33.42578125" style="1" customWidth="1"/>
    <col min="4" max="4" width="9.5703125" style="1" bestFit="1" customWidth="1"/>
    <col min="5" max="5" width="23.42578125" style="1" bestFit="1" customWidth="1"/>
    <col min="6" max="6" width="17.7109375" style="1" bestFit="1" customWidth="1"/>
    <col min="7" max="9" width="17.7109375" style="1" customWidth="1"/>
    <col min="10" max="10" width="32.5703125" style="1" bestFit="1" customWidth="1"/>
    <col min="11" max="12" width="32.5703125" style="1" customWidth="1"/>
    <col min="13" max="13" width="28.85546875" style="1" bestFit="1" customWidth="1"/>
    <col min="14" max="14" width="38.85546875" style="1" bestFit="1" customWidth="1"/>
    <col min="15" max="15" width="29.28515625" style="1" bestFit="1" customWidth="1"/>
    <col min="16" max="18" width="24.5703125" style="1" customWidth="1"/>
    <col min="19" max="27" width="24.42578125" style="1" customWidth="1"/>
    <col min="28" max="28" width="37.7109375" style="1" customWidth="1"/>
    <col min="29" max="30" width="24.7109375" style="1" customWidth="1"/>
    <col min="31" max="34" width="28.42578125" style="1" customWidth="1"/>
    <col min="35" max="35" width="27.42578125" style="1" bestFit="1" customWidth="1"/>
    <col min="36" max="37" width="27.42578125" style="1" customWidth="1"/>
    <col min="38" max="38" width="20.7109375" style="1" bestFit="1" customWidth="1"/>
    <col min="39" max="43" width="20.7109375" style="1" customWidth="1"/>
    <col min="44" max="44" width="25.85546875" style="1" bestFit="1" customWidth="1"/>
    <col min="45" max="45" width="29.7109375" style="1" bestFit="1" customWidth="1"/>
    <col min="46" max="46" width="24" style="1" bestFit="1" customWidth="1"/>
    <col min="47" max="47" width="24" style="1" customWidth="1"/>
    <col min="48" max="48" width="35" style="1" bestFit="1" customWidth="1"/>
    <col min="49" max="49" width="38.28515625" style="1" bestFit="1" customWidth="1"/>
    <col min="50" max="52" width="38.28515625" style="1" customWidth="1"/>
    <col min="53" max="53" width="38.28515625" style="1" bestFit="1" customWidth="1"/>
    <col min="54" max="54" width="38.28515625" style="1" customWidth="1"/>
    <col min="55" max="55" width="33.42578125" style="1" bestFit="1" customWidth="1"/>
    <col min="56" max="56" width="33.42578125" style="1" customWidth="1"/>
    <col min="57" max="57" width="25.7109375" style="1" bestFit="1" customWidth="1"/>
    <col min="58" max="59" width="25.7109375" style="1" customWidth="1"/>
    <col min="60" max="60" width="56.7109375" style="1" bestFit="1" customWidth="1"/>
    <col min="61" max="64" width="35.5703125" style="1" customWidth="1"/>
    <col min="65" max="65" width="31.7109375" style="1" bestFit="1" customWidth="1"/>
    <col min="66" max="66" width="31.5703125" style="1" bestFit="1" customWidth="1"/>
    <col min="67" max="72" width="31.5703125" style="1" customWidth="1"/>
    <col min="73" max="73" width="37.42578125" style="1" bestFit="1" customWidth="1"/>
    <col min="74" max="74" width="37.42578125" style="1" customWidth="1"/>
    <col min="75" max="75" width="35.7109375" style="1" bestFit="1" customWidth="1"/>
    <col min="76" max="76" width="28.85546875" style="1" bestFit="1" customWidth="1"/>
    <col min="77" max="77" width="34" style="1" bestFit="1" customWidth="1"/>
    <col min="78" max="78" width="37.85546875" style="1" bestFit="1" customWidth="1"/>
    <col min="79" max="79" width="34.42578125" style="1" bestFit="1" customWidth="1"/>
    <col min="80" max="80" width="38.140625" style="1" bestFit="1" customWidth="1"/>
    <col min="81" max="81" width="22.85546875" style="1" bestFit="1" customWidth="1"/>
    <col min="82" max="82" width="28.5703125" style="1" bestFit="1" customWidth="1"/>
    <col min="83" max="83" width="28.28515625" style="1" bestFit="1" customWidth="1"/>
    <col min="84" max="85" width="28.28515625" style="1" customWidth="1"/>
    <col min="86" max="86" width="31" style="1" bestFit="1" customWidth="1"/>
    <col min="87" max="87" width="28.85546875" style="1" bestFit="1" customWidth="1"/>
    <col min="88" max="16384" width="11.42578125" style="1"/>
  </cols>
  <sheetData>
    <row r="1" spans="1:87" x14ac:dyDescent="0.2">
      <c r="A1" s="2" t="s">
        <v>0</v>
      </c>
      <c r="B1" s="2" t="s">
        <v>131</v>
      </c>
      <c r="C1" s="2" t="s">
        <v>405</v>
      </c>
      <c r="D1" s="2" t="s">
        <v>8</v>
      </c>
      <c r="E1" s="2" t="s">
        <v>159</v>
      </c>
      <c r="F1" s="2" t="s">
        <v>160</v>
      </c>
      <c r="G1" s="2" t="s">
        <v>313</v>
      </c>
      <c r="H1" s="2" t="s">
        <v>378</v>
      </c>
      <c r="I1" s="2" t="s">
        <v>379</v>
      </c>
      <c r="J1" s="2" t="s">
        <v>771</v>
      </c>
      <c r="K1" s="2" t="s">
        <v>853</v>
      </c>
      <c r="L1" s="2" t="s">
        <v>824</v>
      </c>
      <c r="M1" s="2" t="s">
        <v>49</v>
      </c>
      <c r="N1" s="2" t="s">
        <v>149</v>
      </c>
      <c r="O1" s="2" t="s">
        <v>50</v>
      </c>
      <c r="P1" s="2" t="s">
        <v>97</v>
      </c>
      <c r="Q1" s="2" t="s">
        <v>154</v>
      </c>
      <c r="R1" s="2" t="s">
        <v>156</v>
      </c>
      <c r="S1" s="2" t="s">
        <v>155</v>
      </c>
      <c r="T1" s="2" t="s">
        <v>56</v>
      </c>
      <c r="U1" s="2" t="s">
        <v>55</v>
      </c>
      <c r="V1" s="2" t="s">
        <v>87</v>
      </c>
      <c r="W1" s="2" t="s">
        <v>390</v>
      </c>
      <c r="X1" s="2" t="s">
        <v>391</v>
      </c>
      <c r="Y1" s="2" t="s">
        <v>1078</v>
      </c>
      <c r="Z1" s="2" t="s">
        <v>235</v>
      </c>
      <c r="AA1" s="2" t="s">
        <v>1065</v>
      </c>
      <c r="AB1" s="2" t="s">
        <v>116</v>
      </c>
      <c r="AC1" s="2" t="s">
        <v>57</v>
      </c>
      <c r="AD1" s="2" t="s">
        <v>123</v>
      </c>
      <c r="AE1" s="2" t="s">
        <v>58</v>
      </c>
      <c r="AF1" s="2" t="s">
        <v>409</v>
      </c>
      <c r="AG1" s="2" t="s">
        <v>410</v>
      </c>
      <c r="AH1" s="2" t="s">
        <v>407</v>
      </c>
      <c r="AI1" s="2" t="s">
        <v>9</v>
      </c>
      <c r="AJ1" s="2" t="s">
        <v>423</v>
      </c>
      <c r="AK1" s="2" t="s">
        <v>225</v>
      </c>
      <c r="AL1" s="2" t="s">
        <v>157</v>
      </c>
      <c r="AM1" s="2" t="s">
        <v>227</v>
      </c>
      <c r="AN1" s="2" t="s">
        <v>228</v>
      </c>
      <c r="AO1" s="2" t="s">
        <v>158</v>
      </c>
      <c r="AP1" s="2" t="s">
        <v>214</v>
      </c>
      <c r="AQ1" s="2" t="s">
        <v>215</v>
      </c>
      <c r="AR1" s="2" t="s">
        <v>3</v>
      </c>
      <c r="AS1" s="2" t="s">
        <v>10</v>
      </c>
      <c r="AT1" s="2" t="s">
        <v>16</v>
      </c>
      <c r="AU1" s="2" t="s">
        <v>381</v>
      </c>
      <c r="AV1" s="2" t="s">
        <v>501</v>
      </c>
      <c r="AW1" s="2" t="s">
        <v>4</v>
      </c>
      <c r="AX1" s="2" t="s">
        <v>99</v>
      </c>
      <c r="AY1" s="2" t="s">
        <v>183</v>
      </c>
      <c r="AZ1" s="2" t="s">
        <v>182</v>
      </c>
      <c r="BA1" s="2" t="s">
        <v>12</v>
      </c>
      <c r="BB1" s="2" t="s">
        <v>231</v>
      </c>
      <c r="BC1" s="2" t="s">
        <v>230</v>
      </c>
      <c r="BD1" s="2" t="s">
        <v>332</v>
      </c>
      <c r="BE1" s="2" t="s">
        <v>333</v>
      </c>
      <c r="BF1" s="2" t="s">
        <v>147</v>
      </c>
      <c r="BG1" s="2" t="s">
        <v>497</v>
      </c>
      <c r="BH1" s="2" t="s">
        <v>22</v>
      </c>
      <c r="BI1" s="2" t="s">
        <v>162</v>
      </c>
      <c r="BJ1" s="2" t="s">
        <v>163</v>
      </c>
      <c r="BK1" s="2" t="s">
        <v>393</v>
      </c>
      <c r="BL1" s="2" t="s">
        <v>807</v>
      </c>
      <c r="BM1" s="2" t="s">
        <v>1</v>
      </c>
      <c r="BN1" s="2" t="s">
        <v>2</v>
      </c>
      <c r="BO1" s="2" t="s">
        <v>59</v>
      </c>
      <c r="BP1" s="2" t="s">
        <v>394</v>
      </c>
      <c r="BQ1" s="2" t="s">
        <v>1089</v>
      </c>
      <c r="BR1" s="2" t="s">
        <v>236</v>
      </c>
      <c r="BS1" s="2" t="s">
        <v>117</v>
      </c>
      <c r="BT1" s="2" t="s">
        <v>60</v>
      </c>
      <c r="BU1" s="2" t="s">
        <v>61</v>
      </c>
      <c r="BV1" s="2" t="s">
        <v>408</v>
      </c>
      <c r="BW1" s="2" t="s">
        <v>98</v>
      </c>
      <c r="BX1" s="2" t="s">
        <v>5</v>
      </c>
      <c r="BY1" s="2" t="s">
        <v>6</v>
      </c>
      <c r="BZ1" s="2" t="s">
        <v>17</v>
      </c>
      <c r="CA1" s="2" t="s">
        <v>18</v>
      </c>
      <c r="CB1" s="2" t="s">
        <v>7</v>
      </c>
      <c r="CC1" s="2" t="s">
        <v>19</v>
      </c>
      <c r="CD1" s="2" t="s">
        <v>20</v>
      </c>
      <c r="CE1" s="2" t="s">
        <v>21</v>
      </c>
      <c r="CF1" s="2" t="s">
        <v>148</v>
      </c>
      <c r="CG1" s="2" t="s">
        <v>498</v>
      </c>
      <c r="CH1" s="2" t="s">
        <v>23</v>
      </c>
      <c r="CI1" s="2" t="s">
        <v>51</v>
      </c>
    </row>
    <row r="2" spans="1:87" x14ac:dyDescent="0.2">
      <c r="A2" s="1" t="s">
        <v>54</v>
      </c>
      <c r="B2" s="1" t="s">
        <v>129</v>
      </c>
      <c r="C2" s="1" t="e">
        <f>VLOOKUP(Tabelle58971115[[#This Row],[Prozess]],#REF!,3,FALSE)</f>
        <v>#REF!</v>
      </c>
      <c r="D2" s="1">
        <v>2010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7">
        <v>53.2</v>
      </c>
      <c r="K2" s="7">
        <v>3800</v>
      </c>
      <c r="L2" s="7">
        <v>14000</v>
      </c>
      <c r="M2" s="18"/>
      <c r="N2" s="18">
        <v>211</v>
      </c>
      <c r="O2" s="18"/>
      <c r="P2" s="18"/>
      <c r="Q2" s="18"/>
      <c r="R2" s="18"/>
      <c r="S2" s="18"/>
      <c r="T2" s="18"/>
      <c r="U2" s="8">
        <v>0.75</v>
      </c>
      <c r="V2" s="8"/>
      <c r="W2" s="8">
        <v>0.25</v>
      </c>
      <c r="X2" s="8"/>
      <c r="Y2" s="8">
        <v>1</v>
      </c>
      <c r="Z2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2" s="8">
        <v>0.05</v>
      </c>
      <c r="AB2" s="19"/>
      <c r="AC2" s="18"/>
      <c r="AD2" s="8"/>
      <c r="AE2" s="18"/>
      <c r="AF2" s="41"/>
      <c r="AG2" s="41"/>
      <c r="AH2" s="41">
        <v>1</v>
      </c>
      <c r="AL2" s="1">
        <v>4</v>
      </c>
      <c r="AO2" s="1">
        <v>0</v>
      </c>
      <c r="AP2" s="1">
        <v>0</v>
      </c>
      <c r="AQ2" s="1">
        <v>0</v>
      </c>
      <c r="AR2" s="1">
        <v>0</v>
      </c>
      <c r="AS2" s="1">
        <v>24</v>
      </c>
      <c r="AT2" s="1" t="s">
        <v>371</v>
      </c>
      <c r="AU2" s="1" t="s">
        <v>277</v>
      </c>
      <c r="AV2" s="1">
        <f>24/4</f>
        <v>6</v>
      </c>
      <c r="AX2" s="1">
        <v>40</v>
      </c>
      <c r="AY2" s="18"/>
      <c r="AZ2" s="18"/>
      <c r="BA2" s="18">
        <v>0</v>
      </c>
      <c r="BB2" s="7"/>
      <c r="BC2" s="7">
        <f>1*10^3*Umrechnungsfaktoren!$B$15/Umrechnungsfaktoren!$B$11</f>
        <v>1043.21608040201</v>
      </c>
      <c r="BD2" s="7"/>
      <c r="BE2" s="7">
        <v>0</v>
      </c>
      <c r="BG2" s="6">
        <v>0.66</v>
      </c>
      <c r="BH2" s="1" t="s">
        <v>382</v>
      </c>
      <c r="BI2" s="1" t="s">
        <v>479</v>
      </c>
      <c r="BJ2" s="1" t="s">
        <v>479</v>
      </c>
      <c r="BK2" s="1" t="s">
        <v>479</v>
      </c>
      <c r="BL2" s="1" t="s">
        <v>1066</v>
      </c>
      <c r="BM2" s="12" t="s">
        <v>476</v>
      </c>
      <c r="BN2" s="12" t="s">
        <v>477</v>
      </c>
      <c r="BO2" s="12"/>
      <c r="BP2" s="12" t="s">
        <v>467</v>
      </c>
      <c r="BQ2" s="12" t="s">
        <v>467</v>
      </c>
      <c r="BR2" s="12" t="s">
        <v>467</v>
      </c>
      <c r="BS2" s="12"/>
      <c r="BU2" s="12"/>
      <c r="BV2" s="12" t="s">
        <v>496</v>
      </c>
      <c r="BW2" s="12"/>
      <c r="BX2" s="1" t="s">
        <v>475</v>
      </c>
      <c r="BY2" s="1" t="s">
        <v>465</v>
      </c>
      <c r="BZ2" s="1" t="s">
        <v>473</v>
      </c>
      <c r="CA2" s="1" t="s">
        <v>465</v>
      </c>
      <c r="CB2" s="1" t="s">
        <v>502</v>
      </c>
      <c r="CC2" s="1" t="s">
        <v>499</v>
      </c>
      <c r="CD2" s="1" t="s">
        <v>500</v>
      </c>
      <c r="CE2" s="1" t="s">
        <v>499</v>
      </c>
      <c r="CG2" s="1" t="s">
        <v>499</v>
      </c>
    </row>
    <row r="3" spans="1:87" x14ac:dyDescent="0.2">
      <c r="A3" s="1" t="s">
        <v>54</v>
      </c>
      <c r="B3" s="1" t="s">
        <v>129</v>
      </c>
      <c r="C3" s="1" t="e">
        <f>VLOOKUP(Tabelle58971115[[#This Row],[Prozess]],#REF!,3,FALSE)</f>
        <v>#REF!</v>
      </c>
      <c r="D3" s="1">
        <v>2020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7">
        <v>48.125277550609667</v>
      </c>
      <c r="K3" s="7"/>
      <c r="L3" s="7"/>
      <c r="M3" s="18"/>
      <c r="N3" s="18">
        <v>189</v>
      </c>
      <c r="O3" s="18"/>
      <c r="P3" s="18"/>
      <c r="Q3" s="18"/>
      <c r="R3" s="18"/>
      <c r="S3" s="18"/>
      <c r="T3" s="18"/>
      <c r="U3" s="8">
        <v>0.75</v>
      </c>
      <c r="V3" s="8"/>
      <c r="W3" s="8">
        <v>0.25</v>
      </c>
      <c r="X3" s="8"/>
      <c r="Y3" s="8">
        <v>1</v>
      </c>
      <c r="Z3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" s="8">
        <v>0.05</v>
      </c>
      <c r="AB3" s="19"/>
      <c r="AC3" s="18"/>
      <c r="AD3" s="8"/>
      <c r="AE3" s="18"/>
      <c r="AF3" s="41"/>
      <c r="AG3" s="41"/>
      <c r="AH3" s="41">
        <v>1</v>
      </c>
      <c r="AL3" s="1">
        <v>4</v>
      </c>
      <c r="AO3" s="1">
        <v>0</v>
      </c>
      <c r="AP3" s="1">
        <v>0</v>
      </c>
      <c r="AQ3" s="1">
        <v>0</v>
      </c>
      <c r="AR3" s="1">
        <v>0</v>
      </c>
      <c r="AS3" s="1">
        <v>24</v>
      </c>
      <c r="AT3" s="1" t="s">
        <v>371</v>
      </c>
      <c r="AU3" s="1" t="s">
        <v>277</v>
      </c>
      <c r="AV3" s="1">
        <f t="shared" ref="AV3:AV17" si="0">24/4</f>
        <v>6</v>
      </c>
      <c r="AX3" s="1">
        <v>40</v>
      </c>
      <c r="AY3" s="18"/>
      <c r="AZ3" s="18"/>
      <c r="BA3" s="18">
        <v>0</v>
      </c>
      <c r="BB3" s="7"/>
      <c r="BC3" s="7">
        <f>1*10^3*Umrechnungsfaktoren!$B$15/Umrechnungsfaktoren!$B$11</f>
        <v>1043.21608040201</v>
      </c>
      <c r="BD3" s="7"/>
      <c r="BE3" s="7">
        <v>0</v>
      </c>
      <c r="BG3" s="6">
        <v>0.66</v>
      </c>
      <c r="BH3" s="1" t="s">
        <v>382</v>
      </c>
      <c r="BI3" s="1" t="s">
        <v>479</v>
      </c>
      <c r="BJ3" s="1" t="s">
        <v>479</v>
      </c>
      <c r="BK3" s="1" t="s">
        <v>479</v>
      </c>
      <c r="BL3" s="1" t="s">
        <v>466</v>
      </c>
      <c r="BM3" s="12" t="s">
        <v>470</v>
      </c>
      <c r="BN3" s="12" t="s">
        <v>470</v>
      </c>
      <c r="BO3" s="12"/>
      <c r="BP3" s="12" t="s">
        <v>467</v>
      </c>
      <c r="BQ3" s="12" t="s">
        <v>467</v>
      </c>
      <c r="BR3" s="12" t="s">
        <v>467</v>
      </c>
      <c r="BS3" s="12"/>
      <c r="BU3" s="12"/>
      <c r="BV3" s="12" t="s">
        <v>496</v>
      </c>
      <c r="BW3" s="12"/>
      <c r="BX3" s="1" t="s">
        <v>475</v>
      </c>
      <c r="BY3" s="1" t="s">
        <v>465</v>
      </c>
      <c r="BZ3" s="1" t="s">
        <v>473</v>
      </c>
      <c r="CA3" s="1" t="s">
        <v>465</v>
      </c>
      <c r="CB3" s="1" t="s">
        <v>502</v>
      </c>
      <c r="CC3" s="1" t="s">
        <v>499</v>
      </c>
      <c r="CD3" s="1" t="s">
        <v>500</v>
      </c>
      <c r="CE3" s="1" t="s">
        <v>499</v>
      </c>
      <c r="CG3" s="1" t="s">
        <v>499</v>
      </c>
    </row>
    <row r="4" spans="1:87" x14ac:dyDescent="0.2">
      <c r="A4" s="1" t="s">
        <v>54</v>
      </c>
      <c r="B4" s="1" t="s">
        <v>129</v>
      </c>
      <c r="C4" s="1" t="e">
        <f>VLOOKUP(Tabelle58971115[[#This Row],[Prozess]],#REF!,3,FALSE)</f>
        <v>#REF!</v>
      </c>
      <c r="D4" s="1">
        <v>2030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7">
        <v>43.534630438406289</v>
      </c>
      <c r="K4" s="7"/>
      <c r="L4" s="7"/>
      <c r="M4" s="18"/>
      <c r="N4" s="18">
        <v>171</v>
      </c>
      <c r="O4" s="18"/>
      <c r="P4" s="18"/>
      <c r="Q4" s="18"/>
      <c r="R4" s="18"/>
      <c r="S4" s="18"/>
      <c r="T4" s="18"/>
      <c r="U4" s="8">
        <v>0.75</v>
      </c>
      <c r="V4" s="8"/>
      <c r="W4" s="8">
        <v>0.25</v>
      </c>
      <c r="X4" s="8"/>
      <c r="Y4" s="8">
        <v>1</v>
      </c>
      <c r="Z4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4" s="8">
        <v>0.05</v>
      </c>
      <c r="AB4" s="19"/>
      <c r="AC4" s="18"/>
      <c r="AD4" s="8"/>
      <c r="AE4" s="18"/>
      <c r="AF4" s="41"/>
      <c r="AG4" s="41"/>
      <c r="AH4" s="41">
        <v>1</v>
      </c>
      <c r="AL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24</v>
      </c>
      <c r="AT4" s="1" t="s">
        <v>371</v>
      </c>
      <c r="AU4" s="1" t="s">
        <v>277</v>
      </c>
      <c r="AV4" s="1">
        <f t="shared" si="0"/>
        <v>6</v>
      </c>
      <c r="AX4" s="1">
        <v>40</v>
      </c>
      <c r="AY4" s="18"/>
      <c r="AZ4" s="18"/>
      <c r="BA4" s="18">
        <v>0</v>
      </c>
      <c r="BB4" s="7"/>
      <c r="BC4" s="7">
        <f>1*10^3*Umrechnungsfaktoren!$B$15/Umrechnungsfaktoren!$B$11</f>
        <v>1043.21608040201</v>
      </c>
      <c r="BD4" s="7"/>
      <c r="BE4" s="7">
        <v>0</v>
      </c>
      <c r="BG4" s="6">
        <v>0.66</v>
      </c>
      <c r="BH4" s="1" t="s">
        <v>382</v>
      </c>
      <c r="BI4" s="1" t="s">
        <v>479</v>
      </c>
      <c r="BJ4" s="1" t="s">
        <v>479</v>
      </c>
      <c r="BK4" s="1" t="s">
        <v>479</v>
      </c>
      <c r="BL4" s="1" t="s">
        <v>466</v>
      </c>
      <c r="BM4" s="12" t="s">
        <v>471</v>
      </c>
      <c r="BN4" s="12" t="s">
        <v>471</v>
      </c>
      <c r="BO4" s="12"/>
      <c r="BP4" s="12" t="s">
        <v>467</v>
      </c>
      <c r="BQ4" s="12" t="s">
        <v>467</v>
      </c>
      <c r="BR4" s="12" t="s">
        <v>467</v>
      </c>
      <c r="BS4" s="12"/>
      <c r="BU4" s="12"/>
      <c r="BV4" s="12" t="s">
        <v>496</v>
      </c>
      <c r="BW4" s="12"/>
      <c r="BX4" s="1" t="s">
        <v>475</v>
      </c>
      <c r="BY4" s="1" t="s">
        <v>465</v>
      </c>
      <c r="BZ4" s="1" t="s">
        <v>473</v>
      </c>
      <c r="CA4" s="1" t="s">
        <v>465</v>
      </c>
      <c r="CB4" s="1" t="s">
        <v>502</v>
      </c>
      <c r="CC4" s="1" t="s">
        <v>499</v>
      </c>
      <c r="CD4" s="1" t="s">
        <v>500</v>
      </c>
      <c r="CE4" s="1" t="s">
        <v>499</v>
      </c>
      <c r="CG4" s="1" t="s">
        <v>499</v>
      </c>
    </row>
    <row r="5" spans="1:87" x14ac:dyDescent="0.2">
      <c r="A5" s="1" t="s">
        <v>54</v>
      </c>
      <c r="B5" s="1" t="s">
        <v>129</v>
      </c>
      <c r="C5" s="1" t="e">
        <f>VLOOKUP(Tabelle58971115[[#This Row],[Prozess]],#REF!,3,FALSE)</f>
        <v>#REF!</v>
      </c>
      <c r="D5" s="1">
        <v>2050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7">
        <v>35.625264049034051</v>
      </c>
      <c r="K5" s="7"/>
      <c r="L5" s="7"/>
      <c r="M5" s="18"/>
      <c r="N5" s="18">
        <v>140</v>
      </c>
      <c r="O5" s="18"/>
      <c r="P5" s="18"/>
      <c r="Q5" s="18"/>
      <c r="R5" s="18"/>
      <c r="S5" s="18"/>
      <c r="T5" s="18"/>
      <c r="U5" s="8">
        <v>0.75</v>
      </c>
      <c r="V5" s="8"/>
      <c r="W5" s="8">
        <v>0.25</v>
      </c>
      <c r="X5" s="8"/>
      <c r="Y5" s="8">
        <v>1</v>
      </c>
      <c r="Z5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5" s="8">
        <v>0.05</v>
      </c>
      <c r="AB5" s="19"/>
      <c r="AC5" s="18"/>
      <c r="AD5" s="8"/>
      <c r="AE5" s="18"/>
      <c r="AF5" s="41"/>
      <c r="AG5" s="41"/>
      <c r="AH5" s="41">
        <v>1</v>
      </c>
      <c r="AL5" s="1">
        <v>4</v>
      </c>
      <c r="AO5" s="1">
        <v>0</v>
      </c>
      <c r="AP5" s="1">
        <v>0</v>
      </c>
      <c r="AQ5" s="1">
        <v>0</v>
      </c>
      <c r="AR5" s="1">
        <v>0</v>
      </c>
      <c r="AS5" s="1">
        <v>24</v>
      </c>
      <c r="AT5" s="1" t="s">
        <v>371</v>
      </c>
      <c r="AU5" s="1" t="s">
        <v>277</v>
      </c>
      <c r="AV5" s="1">
        <f t="shared" si="0"/>
        <v>6</v>
      </c>
      <c r="AX5" s="1">
        <v>40</v>
      </c>
      <c r="AY5" s="18"/>
      <c r="AZ5" s="18"/>
      <c r="BA5" s="18">
        <v>0</v>
      </c>
      <c r="BB5" s="7"/>
      <c r="BC5" s="7">
        <f>1*10^3*Umrechnungsfaktoren!$B$15/Umrechnungsfaktoren!$B$11</f>
        <v>1043.21608040201</v>
      </c>
      <c r="BD5" s="7"/>
      <c r="BE5" s="7">
        <v>0</v>
      </c>
      <c r="BG5" s="6">
        <v>0.66</v>
      </c>
      <c r="BH5" s="1" t="s">
        <v>382</v>
      </c>
      <c r="BI5" s="1" t="s">
        <v>479</v>
      </c>
      <c r="BJ5" s="1" t="s">
        <v>479</v>
      </c>
      <c r="BK5" s="1" t="s">
        <v>479</v>
      </c>
      <c r="BL5" s="1" t="s">
        <v>466</v>
      </c>
      <c r="BM5" s="12" t="s">
        <v>472</v>
      </c>
      <c r="BN5" s="12" t="s">
        <v>472</v>
      </c>
      <c r="BO5" s="12"/>
      <c r="BP5" s="12" t="s">
        <v>467</v>
      </c>
      <c r="BQ5" s="12" t="s">
        <v>467</v>
      </c>
      <c r="BR5" s="12" t="s">
        <v>467</v>
      </c>
      <c r="BS5" s="12"/>
      <c r="BU5" s="12"/>
      <c r="BV5" s="12" t="s">
        <v>496</v>
      </c>
      <c r="BW5" s="12"/>
      <c r="BX5" s="1" t="s">
        <v>475</v>
      </c>
      <c r="BY5" s="1" t="s">
        <v>465</v>
      </c>
      <c r="BZ5" s="1" t="s">
        <v>473</v>
      </c>
      <c r="CA5" s="1" t="s">
        <v>465</v>
      </c>
      <c r="CB5" s="1" t="s">
        <v>502</v>
      </c>
      <c r="CC5" s="1" t="s">
        <v>499</v>
      </c>
      <c r="CD5" s="1" t="s">
        <v>500</v>
      </c>
      <c r="CE5" s="1" t="s">
        <v>499</v>
      </c>
      <c r="CG5" s="1" t="s">
        <v>499</v>
      </c>
    </row>
    <row r="6" spans="1:87" x14ac:dyDescent="0.2">
      <c r="A6" s="1" t="s">
        <v>29</v>
      </c>
      <c r="B6" s="1" t="s">
        <v>129</v>
      </c>
      <c r="C6" s="1" t="e">
        <f>VLOOKUP(Tabelle58971115[[#This Row],[Prozess]],#REF!,3,FALSE)</f>
        <v>#REF!</v>
      </c>
      <c r="D6" s="1">
        <v>2010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7">
        <v>28.410000000000004</v>
      </c>
      <c r="K6" s="7">
        <f>(6.5+4.1)*10^3</f>
        <v>10600</v>
      </c>
      <c r="L6" s="7">
        <f>(2100*6.5+3600*4.1)/10.6</f>
        <v>2680.1886792452833</v>
      </c>
      <c r="M6" s="18"/>
      <c r="N6" s="18">
        <v>575</v>
      </c>
      <c r="O6" s="18"/>
      <c r="P6" s="18"/>
      <c r="Q6" s="18"/>
      <c r="R6" s="18"/>
      <c r="S6" s="18"/>
      <c r="T6" s="18"/>
      <c r="U6" s="8">
        <f>2100/5600*50%+3600/5600*30%</f>
        <v>0.38035714285714284</v>
      </c>
      <c r="V6" s="8"/>
      <c r="W6" s="8">
        <f>2100/5600*(100%-50%)+3600/5600*(100%-30%)</f>
        <v>0.63749999999999996</v>
      </c>
      <c r="X6" s="8"/>
      <c r="Y6" s="8">
        <v>0.95</v>
      </c>
      <c r="Z6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6" s="8">
        <v>0.05</v>
      </c>
      <c r="AB6" s="19"/>
      <c r="AC6" s="18"/>
      <c r="AD6" s="8"/>
      <c r="AE6" s="18"/>
      <c r="AF6" s="41"/>
      <c r="AG6" s="41"/>
      <c r="AH6" s="41">
        <v>1</v>
      </c>
      <c r="AL6" s="1">
        <v>4</v>
      </c>
      <c r="AO6" s="1">
        <v>0</v>
      </c>
      <c r="AP6" s="1">
        <v>0</v>
      </c>
      <c r="AQ6" s="1">
        <v>0</v>
      </c>
      <c r="AR6" s="1">
        <v>0</v>
      </c>
      <c r="AS6" s="1">
        <v>24</v>
      </c>
      <c r="AT6" s="1" t="s">
        <v>371</v>
      </c>
      <c r="AU6" s="1" t="s">
        <v>277</v>
      </c>
      <c r="AV6" s="1">
        <f t="shared" si="0"/>
        <v>6</v>
      </c>
      <c r="AX6" s="1">
        <v>40</v>
      </c>
      <c r="AY6" s="18"/>
      <c r="AZ6" s="18"/>
      <c r="BA6" s="18">
        <v>0</v>
      </c>
      <c r="BB6" s="7"/>
      <c r="BC6" s="7">
        <f>1*10^3*Umrechnungsfaktoren!$B$15/Umrechnungsfaktoren!$B$11</f>
        <v>1043.21608040201</v>
      </c>
      <c r="BD6" s="7"/>
      <c r="BE6" s="7">
        <v>0</v>
      </c>
      <c r="BG6" s="6">
        <v>0.66</v>
      </c>
      <c r="BH6" s="1" t="s">
        <v>382</v>
      </c>
      <c r="BI6" s="1" t="s">
        <v>479</v>
      </c>
      <c r="BJ6" s="1" t="s">
        <v>479</v>
      </c>
      <c r="BK6" s="1" t="s">
        <v>479</v>
      </c>
      <c r="BL6" s="1" t="s">
        <v>1066</v>
      </c>
      <c r="BM6" s="12" t="s">
        <v>476</v>
      </c>
      <c r="BN6" s="12" t="s">
        <v>477</v>
      </c>
      <c r="BO6" s="12"/>
      <c r="BP6" s="12" t="s">
        <v>467</v>
      </c>
      <c r="BQ6" s="12" t="s">
        <v>467</v>
      </c>
      <c r="BR6" s="12" t="s">
        <v>467</v>
      </c>
      <c r="BS6" s="12"/>
      <c r="BU6" s="12"/>
      <c r="BV6" s="12" t="s">
        <v>496</v>
      </c>
      <c r="BW6" s="12"/>
      <c r="BX6" s="1" t="s">
        <v>475</v>
      </c>
      <c r="BY6" s="1" t="s">
        <v>465</v>
      </c>
      <c r="BZ6" s="1" t="s">
        <v>473</v>
      </c>
      <c r="CA6" s="1" t="s">
        <v>465</v>
      </c>
      <c r="CB6" s="1" t="s">
        <v>502</v>
      </c>
      <c r="CC6" s="1" t="s">
        <v>499</v>
      </c>
      <c r="CD6" s="1" t="s">
        <v>500</v>
      </c>
      <c r="CE6" s="1" t="s">
        <v>499</v>
      </c>
      <c r="CG6" s="1" t="s">
        <v>499</v>
      </c>
    </row>
    <row r="7" spans="1:87" x14ac:dyDescent="0.2">
      <c r="A7" s="1" t="s">
        <v>29</v>
      </c>
      <c r="B7" s="1" t="s">
        <v>129</v>
      </c>
      <c r="C7" s="1" t="e">
        <f>VLOOKUP(Tabelle58971115[[#This Row],[Prozess]],#REF!,3,FALSE)</f>
        <v>#REF!</v>
      </c>
      <c r="D7" s="1">
        <v>2020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7">
        <v>26.485455967763013</v>
      </c>
      <c r="K7" s="7"/>
      <c r="L7" s="7"/>
      <c r="M7" s="18"/>
      <c r="N7" s="18">
        <v>514</v>
      </c>
      <c r="O7" s="18"/>
      <c r="P7" s="18"/>
      <c r="Q7" s="18"/>
      <c r="R7" s="18"/>
      <c r="S7" s="18"/>
      <c r="T7" s="18"/>
      <c r="U7" s="8">
        <f>2100/5600*50%+3600/5600*30%</f>
        <v>0.38035714285714284</v>
      </c>
      <c r="V7" s="8"/>
      <c r="W7" s="8">
        <f>2100/5600*(100%-50%)+3600/5600*(100%-30%)</f>
        <v>0.63749999999999996</v>
      </c>
      <c r="X7" s="8"/>
      <c r="Y7" s="8">
        <v>0.95</v>
      </c>
      <c r="Z7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7" s="8">
        <v>0.05</v>
      </c>
      <c r="AB7" s="19"/>
      <c r="AC7" s="18"/>
      <c r="AD7" s="8"/>
      <c r="AE7" s="18"/>
      <c r="AF7" s="41"/>
      <c r="AG7" s="41"/>
      <c r="AH7" s="41">
        <v>1</v>
      </c>
      <c r="AL7" s="1">
        <v>4</v>
      </c>
      <c r="AO7" s="1">
        <v>0</v>
      </c>
      <c r="AP7" s="1">
        <v>0</v>
      </c>
      <c r="AQ7" s="1">
        <v>0</v>
      </c>
      <c r="AR7" s="1">
        <v>0</v>
      </c>
      <c r="AS7" s="1">
        <v>24</v>
      </c>
      <c r="AT7" s="1" t="s">
        <v>371</v>
      </c>
      <c r="AU7" s="1" t="s">
        <v>277</v>
      </c>
      <c r="AV7" s="1">
        <f t="shared" si="0"/>
        <v>6</v>
      </c>
      <c r="AX7" s="1">
        <v>40</v>
      </c>
      <c r="AY7" s="18"/>
      <c r="AZ7" s="18"/>
      <c r="BA7" s="18">
        <v>0</v>
      </c>
      <c r="BB7" s="7"/>
      <c r="BC7" s="7">
        <f>1*10^3*Umrechnungsfaktoren!$B$15/Umrechnungsfaktoren!$B$11</f>
        <v>1043.21608040201</v>
      </c>
      <c r="BD7" s="7"/>
      <c r="BE7" s="7">
        <v>0</v>
      </c>
      <c r="BG7" s="6">
        <v>0.66</v>
      </c>
      <c r="BH7" s="1" t="s">
        <v>382</v>
      </c>
      <c r="BI7" s="1" t="s">
        <v>479</v>
      </c>
      <c r="BJ7" s="1" t="s">
        <v>479</v>
      </c>
      <c r="BK7" s="1" t="s">
        <v>479</v>
      </c>
      <c r="BL7" s="1" t="s">
        <v>466</v>
      </c>
      <c r="BM7" s="12" t="s">
        <v>470</v>
      </c>
      <c r="BN7" s="12" t="s">
        <v>470</v>
      </c>
      <c r="BO7" s="12"/>
      <c r="BP7" s="12" t="s">
        <v>467</v>
      </c>
      <c r="BQ7" s="12" t="s">
        <v>467</v>
      </c>
      <c r="BR7" s="12" t="s">
        <v>467</v>
      </c>
      <c r="BS7" s="12"/>
      <c r="BU7" s="12"/>
      <c r="BV7" s="12" t="s">
        <v>496</v>
      </c>
      <c r="BW7" s="12"/>
      <c r="BX7" s="1" t="s">
        <v>475</v>
      </c>
      <c r="BY7" s="1" t="s">
        <v>465</v>
      </c>
      <c r="BZ7" s="1" t="s">
        <v>473</v>
      </c>
      <c r="CA7" s="1" t="s">
        <v>465</v>
      </c>
      <c r="CB7" s="1" t="s">
        <v>502</v>
      </c>
      <c r="CC7" s="1" t="s">
        <v>499</v>
      </c>
      <c r="CD7" s="1" t="s">
        <v>500</v>
      </c>
      <c r="CE7" s="1" t="s">
        <v>499</v>
      </c>
      <c r="CG7" s="1" t="s">
        <v>499</v>
      </c>
    </row>
    <row r="8" spans="1:87" x14ac:dyDescent="0.2">
      <c r="A8" s="1" t="s">
        <v>29</v>
      </c>
      <c r="B8" s="1" t="s">
        <v>129</v>
      </c>
      <c r="C8" s="1" t="e">
        <f>VLOOKUP(Tabelle58971115[[#This Row],[Prozess]],#REF!,3,FALSE)</f>
        <v>#REF!</v>
      </c>
      <c r="D8" s="1">
        <v>2030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7">
        <v>24.691283978187727</v>
      </c>
      <c r="K8" s="7"/>
      <c r="L8" s="7"/>
      <c r="M8" s="18"/>
      <c r="N8" s="18">
        <v>452</v>
      </c>
      <c r="O8" s="18"/>
      <c r="P8" s="18"/>
      <c r="Q8" s="18"/>
      <c r="R8" s="18"/>
      <c r="S8" s="18"/>
      <c r="T8" s="18"/>
      <c r="U8" s="8">
        <f>2100/5600*50%+3600/5600*30%</f>
        <v>0.38035714285714284</v>
      </c>
      <c r="V8" s="8"/>
      <c r="W8" s="8">
        <f>2100/5600*(100%-50%)+3600/5600*(100%-30%)</f>
        <v>0.63749999999999996</v>
      </c>
      <c r="X8" s="8"/>
      <c r="Y8" s="8">
        <v>0.95</v>
      </c>
      <c r="Z8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8" s="8">
        <v>0.05</v>
      </c>
      <c r="AB8" s="19"/>
      <c r="AC8" s="18"/>
      <c r="AD8" s="8"/>
      <c r="AE8" s="18"/>
      <c r="AF8" s="41"/>
      <c r="AG8" s="41"/>
      <c r="AH8" s="41">
        <v>1</v>
      </c>
      <c r="AL8" s="1">
        <v>4</v>
      </c>
      <c r="AO8" s="1">
        <v>0</v>
      </c>
      <c r="AP8" s="1">
        <v>0</v>
      </c>
      <c r="AQ8" s="1">
        <v>0</v>
      </c>
      <c r="AR8" s="1">
        <v>0</v>
      </c>
      <c r="AS8" s="1">
        <v>24</v>
      </c>
      <c r="AT8" s="1" t="s">
        <v>371</v>
      </c>
      <c r="AU8" s="1" t="s">
        <v>277</v>
      </c>
      <c r="AV8" s="1">
        <f t="shared" si="0"/>
        <v>6</v>
      </c>
      <c r="AX8" s="1">
        <v>40</v>
      </c>
      <c r="AY8" s="18"/>
      <c r="AZ8" s="18"/>
      <c r="BA8" s="18">
        <v>0</v>
      </c>
      <c r="BB8" s="7"/>
      <c r="BC8" s="7">
        <f>1*10^3*Umrechnungsfaktoren!$B$15/Umrechnungsfaktoren!$B$11</f>
        <v>1043.21608040201</v>
      </c>
      <c r="BD8" s="7"/>
      <c r="BE8" s="7">
        <v>0</v>
      </c>
      <c r="BG8" s="6">
        <v>0.66</v>
      </c>
      <c r="BH8" s="1" t="s">
        <v>382</v>
      </c>
      <c r="BI8" s="1" t="s">
        <v>479</v>
      </c>
      <c r="BJ8" s="1" t="s">
        <v>479</v>
      </c>
      <c r="BK8" s="1" t="s">
        <v>479</v>
      </c>
      <c r="BL8" s="1" t="s">
        <v>466</v>
      </c>
      <c r="BM8" s="12" t="s">
        <v>471</v>
      </c>
      <c r="BN8" s="12" t="s">
        <v>471</v>
      </c>
      <c r="BO8" s="12"/>
      <c r="BP8" s="12" t="s">
        <v>467</v>
      </c>
      <c r="BQ8" s="12" t="s">
        <v>467</v>
      </c>
      <c r="BR8" s="12" t="s">
        <v>467</v>
      </c>
      <c r="BS8" s="12"/>
      <c r="BU8" s="12"/>
      <c r="BV8" s="12" t="s">
        <v>496</v>
      </c>
      <c r="BW8" s="12"/>
      <c r="BX8" s="1" t="s">
        <v>475</v>
      </c>
      <c r="BY8" s="1" t="s">
        <v>465</v>
      </c>
      <c r="BZ8" s="1" t="s">
        <v>473</v>
      </c>
      <c r="CA8" s="1" t="s">
        <v>465</v>
      </c>
      <c r="CB8" s="1" t="s">
        <v>502</v>
      </c>
      <c r="CC8" s="1" t="s">
        <v>499</v>
      </c>
      <c r="CD8" s="1" t="s">
        <v>500</v>
      </c>
      <c r="CE8" s="1" t="s">
        <v>499</v>
      </c>
      <c r="CG8" s="1" t="s">
        <v>499</v>
      </c>
    </row>
    <row r="9" spans="1:87" x14ac:dyDescent="0.2">
      <c r="A9" s="1" t="s">
        <v>29</v>
      </c>
      <c r="B9" s="1" t="s">
        <v>129</v>
      </c>
      <c r="C9" s="1" t="e">
        <f>VLOOKUP(Tabelle58971115[[#This Row],[Prozess]],#REF!,3,FALSE)</f>
        <v>#REF!</v>
      </c>
      <c r="D9" s="1">
        <v>2050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7">
        <v>21.45932785960964</v>
      </c>
      <c r="K9" s="7"/>
      <c r="L9" s="7"/>
      <c r="M9" s="18"/>
      <c r="N9" s="18">
        <v>393</v>
      </c>
      <c r="O9" s="18"/>
      <c r="P9" s="18"/>
      <c r="Q9" s="18"/>
      <c r="R9" s="18"/>
      <c r="S9" s="18"/>
      <c r="T9" s="18"/>
      <c r="U9" s="8">
        <f>2100/5600*50%+3600/5600*30%</f>
        <v>0.38035714285714284</v>
      </c>
      <c r="V9" s="8"/>
      <c r="W9" s="8">
        <f>2100/5600*(100%-50%)+3600/5600*(100%-30%)</f>
        <v>0.63749999999999996</v>
      </c>
      <c r="X9" s="8"/>
      <c r="Y9" s="8">
        <v>0.95</v>
      </c>
      <c r="Z9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0.89999999999999991</v>
      </c>
      <c r="AA9" s="8">
        <v>0.05</v>
      </c>
      <c r="AB9" s="19"/>
      <c r="AC9" s="18"/>
      <c r="AD9" s="8"/>
      <c r="AE9" s="18"/>
      <c r="AF9" s="41"/>
      <c r="AG9" s="41"/>
      <c r="AH9" s="41">
        <v>1</v>
      </c>
      <c r="AL9" s="1">
        <v>4</v>
      </c>
      <c r="AO9" s="1">
        <v>0</v>
      </c>
      <c r="AP9" s="1">
        <v>0</v>
      </c>
      <c r="AQ9" s="1">
        <v>0</v>
      </c>
      <c r="AR9" s="1">
        <v>0</v>
      </c>
      <c r="AS9" s="1">
        <v>24</v>
      </c>
      <c r="AT9" s="1" t="s">
        <v>371</v>
      </c>
      <c r="AU9" s="1" t="s">
        <v>277</v>
      </c>
      <c r="AV9" s="1">
        <f t="shared" si="0"/>
        <v>6</v>
      </c>
      <c r="AX9" s="1">
        <v>40</v>
      </c>
      <c r="AY9" s="18"/>
      <c r="AZ9" s="18"/>
      <c r="BA9" s="18">
        <v>0</v>
      </c>
      <c r="BB9" s="7"/>
      <c r="BC9" s="7">
        <f>1*10^3*Umrechnungsfaktoren!$B$15/Umrechnungsfaktoren!$B$11</f>
        <v>1043.21608040201</v>
      </c>
      <c r="BD9" s="7"/>
      <c r="BE9" s="7">
        <v>0</v>
      </c>
      <c r="BG9" s="6">
        <v>0.66</v>
      </c>
      <c r="BH9" s="1" t="s">
        <v>382</v>
      </c>
      <c r="BI9" s="1" t="s">
        <v>479</v>
      </c>
      <c r="BJ9" s="1" t="s">
        <v>479</v>
      </c>
      <c r="BK9" s="1" t="s">
        <v>479</v>
      </c>
      <c r="BL9" s="1" t="s">
        <v>466</v>
      </c>
      <c r="BM9" s="12" t="s">
        <v>472</v>
      </c>
      <c r="BN9" s="12" t="s">
        <v>472</v>
      </c>
      <c r="BO9" s="12"/>
      <c r="BP9" s="12" t="s">
        <v>467</v>
      </c>
      <c r="BQ9" s="12" t="s">
        <v>467</v>
      </c>
      <c r="BR9" s="12" t="s">
        <v>467</v>
      </c>
      <c r="BS9" s="12"/>
      <c r="BU9" s="12"/>
      <c r="BV9" s="12" t="s">
        <v>496</v>
      </c>
      <c r="BW9" s="12"/>
      <c r="BX9" s="1" t="s">
        <v>475</v>
      </c>
      <c r="BY9" s="1" t="s">
        <v>465</v>
      </c>
      <c r="BZ9" s="1" t="s">
        <v>473</v>
      </c>
      <c r="CA9" s="1" t="s">
        <v>465</v>
      </c>
      <c r="CB9" s="1" t="s">
        <v>502</v>
      </c>
      <c r="CC9" s="1" t="s">
        <v>499</v>
      </c>
      <c r="CD9" s="1" t="s">
        <v>500</v>
      </c>
      <c r="CE9" s="1" t="s">
        <v>499</v>
      </c>
      <c r="CG9" s="1" t="s">
        <v>499</v>
      </c>
    </row>
    <row r="10" spans="1:87" x14ac:dyDescent="0.2">
      <c r="A10" s="1" t="s">
        <v>72</v>
      </c>
      <c r="B10" s="1" t="s">
        <v>129</v>
      </c>
      <c r="C10" s="1" t="e">
        <f>VLOOKUP(Tabelle58971115[[#This Row],[Prozess]],#REF!,3,FALSE)</f>
        <v>#REF!</v>
      </c>
      <c r="D10" s="1">
        <v>2010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7">
        <v>1.085</v>
      </c>
      <c r="K10" s="7">
        <v>3100</v>
      </c>
      <c r="L10" s="7">
        <v>350</v>
      </c>
      <c r="M10" s="18"/>
      <c r="N10" s="18">
        <v>5</v>
      </c>
      <c r="O10" s="18"/>
      <c r="P10" s="18"/>
      <c r="Q10" s="18"/>
      <c r="R10" s="18"/>
      <c r="S10" s="18"/>
      <c r="T10" s="18"/>
      <c r="U10" s="8">
        <v>0.75</v>
      </c>
      <c r="V10" s="8"/>
      <c r="W10" s="8">
        <v>0.25</v>
      </c>
      <c r="X10" s="8"/>
      <c r="Y10" s="8">
        <v>1</v>
      </c>
      <c r="Z10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0" s="8">
        <v>0.05</v>
      </c>
      <c r="AB10" s="19"/>
      <c r="AC10" s="18"/>
      <c r="AD10" s="8"/>
      <c r="AE10" s="18"/>
      <c r="AF10" s="41"/>
      <c r="AG10" s="41"/>
      <c r="AH10" s="41">
        <v>1</v>
      </c>
      <c r="AL10" s="1">
        <v>4</v>
      </c>
      <c r="AO10" s="1">
        <v>0</v>
      </c>
      <c r="AP10" s="1">
        <v>0</v>
      </c>
      <c r="AQ10" s="1">
        <v>0</v>
      </c>
      <c r="AR10" s="1">
        <v>0</v>
      </c>
      <c r="AS10" s="1">
        <v>24</v>
      </c>
      <c r="AT10" s="1" t="s">
        <v>371</v>
      </c>
      <c r="AU10" s="1" t="s">
        <v>277</v>
      </c>
      <c r="AV10" s="1">
        <f t="shared" si="0"/>
        <v>6</v>
      </c>
      <c r="AX10" s="1">
        <v>40</v>
      </c>
      <c r="AY10" s="18"/>
      <c r="AZ10" s="18"/>
      <c r="BA10" s="18">
        <v>0</v>
      </c>
      <c r="BB10" s="7"/>
      <c r="BC10" s="7">
        <f>1*10^3*Umrechnungsfaktoren!$B$15/Umrechnungsfaktoren!$B$11</f>
        <v>1043.21608040201</v>
      </c>
      <c r="BD10" s="7"/>
      <c r="BE10" s="7">
        <v>0</v>
      </c>
      <c r="BG10" s="6">
        <v>0.66</v>
      </c>
      <c r="BH10" s="1" t="s">
        <v>382</v>
      </c>
      <c r="BI10" s="1" t="s">
        <v>479</v>
      </c>
      <c r="BJ10" s="1" t="s">
        <v>479</v>
      </c>
      <c r="BK10" s="1" t="s">
        <v>479</v>
      </c>
      <c r="BL10" s="1" t="s">
        <v>1066</v>
      </c>
      <c r="BM10" s="12" t="s">
        <v>476</v>
      </c>
      <c r="BN10" s="12" t="s">
        <v>477</v>
      </c>
      <c r="BO10" s="12"/>
      <c r="BP10" s="12" t="s">
        <v>467</v>
      </c>
      <c r="BQ10" s="12" t="s">
        <v>467</v>
      </c>
      <c r="BR10" s="12" t="s">
        <v>467</v>
      </c>
      <c r="BS10" s="12"/>
      <c r="BU10" s="12"/>
      <c r="BV10" s="12" t="s">
        <v>496</v>
      </c>
      <c r="BW10" s="12"/>
      <c r="BX10" s="1" t="s">
        <v>475</v>
      </c>
      <c r="BY10" s="1" t="s">
        <v>465</v>
      </c>
      <c r="BZ10" s="1" t="s">
        <v>473</v>
      </c>
      <c r="CA10" s="1" t="s">
        <v>465</v>
      </c>
      <c r="CB10" s="1" t="s">
        <v>502</v>
      </c>
      <c r="CC10" s="1" t="s">
        <v>499</v>
      </c>
      <c r="CD10" s="1" t="s">
        <v>500</v>
      </c>
      <c r="CE10" s="1" t="s">
        <v>499</v>
      </c>
      <c r="CG10" s="1" t="s">
        <v>499</v>
      </c>
    </row>
    <row r="11" spans="1:87" x14ac:dyDescent="0.2">
      <c r="A11" s="1" t="s">
        <v>72</v>
      </c>
      <c r="B11" s="1" t="s">
        <v>129</v>
      </c>
      <c r="C11" s="1" t="e">
        <f>VLOOKUP(Tabelle58971115[[#This Row],[Prozess]],#REF!,3,FALSE)</f>
        <v>#REF!</v>
      </c>
      <c r="D11" s="1">
        <v>2020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7">
        <v>1.052885927989575</v>
      </c>
      <c r="K11" s="7"/>
      <c r="L11" s="7"/>
      <c r="M11" s="18"/>
      <c r="N11" s="18">
        <v>4</v>
      </c>
      <c r="O11" s="18"/>
      <c r="P11" s="18"/>
      <c r="Q11" s="18"/>
      <c r="R11" s="18"/>
      <c r="S11" s="18"/>
      <c r="T11" s="18"/>
      <c r="U11" s="8">
        <v>0.75</v>
      </c>
      <c r="V11" s="8"/>
      <c r="W11" s="8">
        <v>0.25</v>
      </c>
      <c r="X11" s="8"/>
      <c r="Y11" s="8">
        <v>1</v>
      </c>
      <c r="Z11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1" s="8">
        <v>0.05</v>
      </c>
      <c r="AB11" s="19"/>
      <c r="AC11" s="18"/>
      <c r="AD11" s="8"/>
      <c r="AE11" s="18"/>
      <c r="AF11" s="41"/>
      <c r="AG11" s="41"/>
      <c r="AH11" s="41">
        <v>1</v>
      </c>
      <c r="AL11" s="1">
        <v>4</v>
      </c>
      <c r="AO11" s="1">
        <v>0</v>
      </c>
      <c r="AP11" s="1">
        <v>0</v>
      </c>
      <c r="AQ11" s="1">
        <v>0</v>
      </c>
      <c r="AR11" s="1">
        <v>0</v>
      </c>
      <c r="AS11" s="1">
        <v>24</v>
      </c>
      <c r="AT11" s="1" t="s">
        <v>371</v>
      </c>
      <c r="AU11" s="1" t="s">
        <v>277</v>
      </c>
      <c r="AV11" s="1">
        <f t="shared" si="0"/>
        <v>6</v>
      </c>
      <c r="AX11" s="1">
        <v>40</v>
      </c>
      <c r="AY11" s="18"/>
      <c r="AZ11" s="18"/>
      <c r="BA11" s="18">
        <v>0</v>
      </c>
      <c r="BB11" s="7"/>
      <c r="BC11" s="7">
        <f>1*10^3*Umrechnungsfaktoren!$B$15/Umrechnungsfaktoren!$B$11</f>
        <v>1043.21608040201</v>
      </c>
      <c r="BD11" s="7"/>
      <c r="BE11" s="7">
        <v>0</v>
      </c>
      <c r="BG11" s="6">
        <v>0.66</v>
      </c>
      <c r="BH11" s="1" t="s">
        <v>382</v>
      </c>
      <c r="BI11" s="1" t="s">
        <v>479</v>
      </c>
      <c r="BJ11" s="1" t="s">
        <v>479</v>
      </c>
      <c r="BK11" s="1" t="s">
        <v>479</v>
      </c>
      <c r="BL11" s="1" t="s">
        <v>466</v>
      </c>
      <c r="BM11" s="12" t="s">
        <v>470</v>
      </c>
      <c r="BN11" s="12" t="s">
        <v>470</v>
      </c>
      <c r="BO11" s="12"/>
      <c r="BP11" s="12" t="s">
        <v>467</v>
      </c>
      <c r="BQ11" s="12" t="s">
        <v>467</v>
      </c>
      <c r="BR11" s="12" t="s">
        <v>467</v>
      </c>
      <c r="BS11" s="12"/>
      <c r="BU11" s="12"/>
      <c r="BV11" s="12" t="s">
        <v>496</v>
      </c>
      <c r="BW11" s="12"/>
      <c r="BX11" s="1" t="s">
        <v>475</v>
      </c>
      <c r="BY11" s="1" t="s">
        <v>465</v>
      </c>
      <c r="BZ11" s="1" t="s">
        <v>473</v>
      </c>
      <c r="CA11" s="1" t="s">
        <v>465</v>
      </c>
      <c r="CB11" s="1" t="s">
        <v>502</v>
      </c>
      <c r="CC11" s="1" t="s">
        <v>499</v>
      </c>
      <c r="CD11" s="1" t="s">
        <v>500</v>
      </c>
      <c r="CE11" s="1" t="s">
        <v>499</v>
      </c>
      <c r="CG11" s="1" t="s">
        <v>499</v>
      </c>
    </row>
    <row r="12" spans="1:87" x14ac:dyDescent="0.2">
      <c r="A12" s="1" t="s">
        <v>72</v>
      </c>
      <c r="B12" s="1" t="s">
        <v>129</v>
      </c>
      <c r="C12" s="1" t="e">
        <f>VLOOKUP(Tabelle58971115[[#This Row],[Prozess]],#REF!,3,FALSE)</f>
        <v>#REF!</v>
      </c>
      <c r="D12" s="1">
        <v>2030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7">
        <v>1.0217223754455931</v>
      </c>
      <c r="K12" s="7"/>
      <c r="L12" s="7"/>
      <c r="M12" s="18"/>
      <c r="N12" s="18">
        <v>4</v>
      </c>
      <c r="O12" s="18"/>
      <c r="P12" s="18"/>
      <c r="Q12" s="18"/>
      <c r="R12" s="18"/>
      <c r="S12" s="18"/>
      <c r="T12" s="18"/>
      <c r="U12" s="8">
        <v>0.75</v>
      </c>
      <c r="V12" s="8"/>
      <c r="W12" s="8">
        <v>0.25</v>
      </c>
      <c r="X12" s="8"/>
      <c r="Y12" s="8">
        <v>1</v>
      </c>
      <c r="Z12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2" s="8">
        <v>0.05</v>
      </c>
      <c r="AB12" s="19"/>
      <c r="AC12" s="18"/>
      <c r="AD12" s="8"/>
      <c r="AE12" s="18"/>
      <c r="AF12" s="41"/>
      <c r="AG12" s="41"/>
      <c r="AH12" s="41">
        <v>1</v>
      </c>
      <c r="AL12" s="1">
        <v>4</v>
      </c>
      <c r="AO12" s="1">
        <v>0</v>
      </c>
      <c r="AP12" s="1">
        <v>0</v>
      </c>
      <c r="AQ12" s="1">
        <v>0</v>
      </c>
      <c r="AR12" s="1">
        <v>0</v>
      </c>
      <c r="AS12" s="1">
        <v>24</v>
      </c>
      <c r="AT12" s="1" t="s">
        <v>371</v>
      </c>
      <c r="AU12" s="1" t="s">
        <v>277</v>
      </c>
      <c r="AV12" s="1">
        <f t="shared" si="0"/>
        <v>6</v>
      </c>
      <c r="AX12" s="1">
        <v>40</v>
      </c>
      <c r="AY12" s="18"/>
      <c r="AZ12" s="18"/>
      <c r="BA12" s="18">
        <v>0</v>
      </c>
      <c r="BB12" s="7"/>
      <c r="BC12" s="7">
        <f>1*10^3*Umrechnungsfaktoren!$B$15/Umrechnungsfaktoren!$B$11</f>
        <v>1043.21608040201</v>
      </c>
      <c r="BD12" s="7"/>
      <c r="BE12" s="7">
        <v>0</v>
      </c>
      <c r="BG12" s="6">
        <v>0.66</v>
      </c>
      <c r="BH12" s="1" t="s">
        <v>382</v>
      </c>
      <c r="BI12" s="1" t="s">
        <v>479</v>
      </c>
      <c r="BJ12" s="1" t="s">
        <v>479</v>
      </c>
      <c r="BK12" s="1" t="s">
        <v>479</v>
      </c>
      <c r="BL12" s="1" t="s">
        <v>466</v>
      </c>
      <c r="BM12" s="12" t="s">
        <v>471</v>
      </c>
      <c r="BN12" s="12" t="s">
        <v>471</v>
      </c>
      <c r="BO12" s="12"/>
      <c r="BP12" s="12" t="s">
        <v>467</v>
      </c>
      <c r="BQ12" s="12" t="s">
        <v>467</v>
      </c>
      <c r="BR12" s="12" t="s">
        <v>467</v>
      </c>
      <c r="BS12" s="12"/>
      <c r="BU12" s="12"/>
      <c r="BV12" s="12" t="s">
        <v>496</v>
      </c>
      <c r="BW12" s="12"/>
      <c r="BX12" s="1" t="s">
        <v>475</v>
      </c>
      <c r="BY12" s="1" t="s">
        <v>465</v>
      </c>
      <c r="BZ12" s="1" t="s">
        <v>473</v>
      </c>
      <c r="CA12" s="1" t="s">
        <v>465</v>
      </c>
      <c r="CB12" s="1" t="s">
        <v>502</v>
      </c>
      <c r="CC12" s="1" t="s">
        <v>499</v>
      </c>
      <c r="CD12" s="1" t="s">
        <v>500</v>
      </c>
      <c r="CE12" s="1" t="s">
        <v>499</v>
      </c>
      <c r="CG12" s="1" t="s">
        <v>499</v>
      </c>
    </row>
    <row r="13" spans="1:87" x14ac:dyDescent="0.2">
      <c r="A13" s="1" t="s">
        <v>72</v>
      </c>
      <c r="B13" s="1" t="s">
        <v>129</v>
      </c>
      <c r="C13" s="1" t="e">
        <f>VLOOKUP(Tabelle58971115[[#This Row],[Prozess]],#REF!,3,FALSE)</f>
        <v>#REF!</v>
      </c>
      <c r="D13" s="1">
        <v>2050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7">
        <v>0.96213512671537815</v>
      </c>
      <c r="K13" s="7"/>
      <c r="L13" s="7"/>
      <c r="M13" s="18"/>
      <c r="N13" s="18">
        <v>4</v>
      </c>
      <c r="O13" s="18"/>
      <c r="P13" s="18"/>
      <c r="Q13" s="18"/>
      <c r="R13" s="18"/>
      <c r="S13" s="18"/>
      <c r="T13" s="18"/>
      <c r="U13" s="8">
        <v>0.75</v>
      </c>
      <c r="V13" s="8"/>
      <c r="W13" s="8">
        <v>0.25</v>
      </c>
      <c r="X13" s="8"/>
      <c r="Y13" s="8">
        <v>1</v>
      </c>
      <c r="Z13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3" s="8">
        <v>0.05</v>
      </c>
      <c r="AB13" s="19"/>
      <c r="AC13" s="18"/>
      <c r="AD13" s="8"/>
      <c r="AE13" s="18"/>
      <c r="AF13" s="41"/>
      <c r="AG13" s="41"/>
      <c r="AH13" s="41">
        <v>1</v>
      </c>
      <c r="AL13" s="1">
        <v>4</v>
      </c>
      <c r="AO13" s="1">
        <v>0</v>
      </c>
      <c r="AP13" s="1">
        <v>0</v>
      </c>
      <c r="AQ13" s="1">
        <v>0</v>
      </c>
      <c r="AR13" s="1">
        <v>0</v>
      </c>
      <c r="AS13" s="1">
        <v>24</v>
      </c>
      <c r="AT13" s="1" t="s">
        <v>371</v>
      </c>
      <c r="AU13" s="1" t="s">
        <v>277</v>
      </c>
      <c r="AV13" s="1">
        <f t="shared" si="0"/>
        <v>6</v>
      </c>
      <c r="AX13" s="1">
        <v>40</v>
      </c>
      <c r="AY13" s="18"/>
      <c r="AZ13" s="18"/>
      <c r="BA13" s="18">
        <v>0</v>
      </c>
      <c r="BB13" s="7"/>
      <c r="BC13" s="7">
        <f>1*10^3*Umrechnungsfaktoren!$B$15/Umrechnungsfaktoren!$B$11</f>
        <v>1043.21608040201</v>
      </c>
      <c r="BD13" s="7"/>
      <c r="BE13" s="7">
        <v>0</v>
      </c>
      <c r="BG13" s="6">
        <v>0.66</v>
      </c>
      <c r="BH13" s="1" t="s">
        <v>382</v>
      </c>
      <c r="BI13" s="1" t="s">
        <v>479</v>
      </c>
      <c r="BJ13" s="1" t="s">
        <v>479</v>
      </c>
      <c r="BK13" s="1" t="s">
        <v>479</v>
      </c>
      <c r="BL13" s="1" t="s">
        <v>466</v>
      </c>
      <c r="BM13" s="12" t="s">
        <v>472</v>
      </c>
      <c r="BN13" s="12" t="s">
        <v>472</v>
      </c>
      <c r="BO13" s="12"/>
      <c r="BP13" s="12" t="s">
        <v>467</v>
      </c>
      <c r="BQ13" s="12" t="s">
        <v>467</v>
      </c>
      <c r="BR13" s="12" t="s">
        <v>467</v>
      </c>
      <c r="BS13" s="12"/>
      <c r="BU13" s="12"/>
      <c r="BV13" s="12" t="s">
        <v>496</v>
      </c>
      <c r="BW13" s="12"/>
      <c r="BX13" s="1" t="s">
        <v>475</v>
      </c>
      <c r="BY13" s="1" t="s">
        <v>465</v>
      </c>
      <c r="BZ13" s="1" t="s">
        <v>473</v>
      </c>
      <c r="CA13" s="1" t="s">
        <v>465</v>
      </c>
      <c r="CB13" s="1" t="s">
        <v>502</v>
      </c>
      <c r="CC13" s="1" t="s">
        <v>499</v>
      </c>
      <c r="CD13" s="1" t="s">
        <v>500</v>
      </c>
      <c r="CE13" s="1" t="s">
        <v>499</v>
      </c>
      <c r="CG13" s="1" t="s">
        <v>499</v>
      </c>
    </row>
    <row r="14" spans="1:87" x14ac:dyDescent="0.2">
      <c r="A14" s="1" t="s">
        <v>76</v>
      </c>
      <c r="B14" s="1" t="s">
        <v>129</v>
      </c>
      <c r="C14" s="1" t="e">
        <f>VLOOKUP(Tabelle58971115[[#This Row],[Prozess]],#REF!,3,FALSE)</f>
        <v>#REF!</v>
      </c>
      <c r="D14" s="1">
        <v>2010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7">
        <v>7.1400000000000006</v>
      </c>
      <c r="K14" s="7">
        <v>2100</v>
      </c>
      <c r="L14" s="7">
        <v>3400</v>
      </c>
      <c r="M14" s="18"/>
      <c r="N14" s="18">
        <v>12</v>
      </c>
      <c r="O14" s="18"/>
      <c r="P14" s="18"/>
      <c r="Q14" s="18"/>
      <c r="R14" s="18"/>
      <c r="S14" s="18"/>
      <c r="T14" s="18"/>
      <c r="U14" s="8">
        <v>0.75</v>
      </c>
      <c r="V14" s="8"/>
      <c r="W14" s="8">
        <v>0.25</v>
      </c>
      <c r="X14" s="8"/>
      <c r="Y14" s="8">
        <v>1</v>
      </c>
      <c r="Z14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4" s="8">
        <v>0.05</v>
      </c>
      <c r="AB14" s="19"/>
      <c r="AC14" s="18"/>
      <c r="AD14" s="8"/>
      <c r="AE14" s="18"/>
      <c r="AF14" s="41"/>
      <c r="AG14" s="41"/>
      <c r="AH14" s="41">
        <v>1</v>
      </c>
      <c r="AL14" s="1">
        <v>4</v>
      </c>
      <c r="AO14" s="1">
        <v>0</v>
      </c>
      <c r="AP14" s="1">
        <v>0</v>
      </c>
      <c r="AQ14" s="1">
        <v>0</v>
      </c>
      <c r="AR14" s="1">
        <v>0</v>
      </c>
      <c r="AS14" s="1">
        <v>24</v>
      </c>
      <c r="AT14" s="1" t="s">
        <v>371</v>
      </c>
      <c r="AU14" s="1" t="s">
        <v>277</v>
      </c>
      <c r="AV14" s="1">
        <f t="shared" si="0"/>
        <v>6</v>
      </c>
      <c r="AX14" s="1">
        <v>40</v>
      </c>
      <c r="AY14" s="18"/>
      <c r="AZ14" s="18"/>
      <c r="BA14" s="18">
        <v>0</v>
      </c>
      <c r="BB14" s="7"/>
      <c r="BC14" s="7">
        <f>1*10^3*Umrechnungsfaktoren!$B$15/Umrechnungsfaktoren!$B$11</f>
        <v>1043.21608040201</v>
      </c>
      <c r="BD14" s="7"/>
      <c r="BE14" s="7">
        <v>0</v>
      </c>
      <c r="BG14" s="6">
        <v>0.66</v>
      </c>
      <c r="BH14" s="1" t="s">
        <v>382</v>
      </c>
      <c r="BI14" s="1" t="s">
        <v>479</v>
      </c>
      <c r="BJ14" s="1" t="s">
        <v>479</v>
      </c>
      <c r="BK14" s="1" t="s">
        <v>479</v>
      </c>
      <c r="BL14" s="1" t="s">
        <v>1066</v>
      </c>
      <c r="BM14" s="12" t="s">
        <v>476</v>
      </c>
      <c r="BN14" s="12" t="s">
        <v>477</v>
      </c>
      <c r="BO14" s="12"/>
      <c r="BP14" s="12" t="s">
        <v>467</v>
      </c>
      <c r="BQ14" s="12" t="s">
        <v>467</v>
      </c>
      <c r="BR14" s="12" t="s">
        <v>467</v>
      </c>
      <c r="BS14" s="12"/>
      <c r="BU14" s="12"/>
      <c r="BV14" s="12" t="s">
        <v>496</v>
      </c>
      <c r="BW14" s="12"/>
      <c r="BX14" s="1" t="s">
        <v>474</v>
      </c>
      <c r="BY14" s="1" t="s">
        <v>465</v>
      </c>
      <c r="BZ14" s="1" t="s">
        <v>473</v>
      </c>
      <c r="CA14" s="1" t="s">
        <v>465</v>
      </c>
      <c r="CB14" s="1" t="s">
        <v>503</v>
      </c>
      <c r="CC14" s="1" t="s">
        <v>499</v>
      </c>
      <c r="CD14" s="1" t="s">
        <v>500</v>
      </c>
      <c r="CE14" s="1" t="s">
        <v>499</v>
      </c>
      <c r="CG14" s="1" t="s">
        <v>499</v>
      </c>
    </row>
    <row r="15" spans="1:87" x14ac:dyDescent="0.2">
      <c r="A15" s="1" t="s">
        <v>76</v>
      </c>
      <c r="B15" s="1" t="s">
        <v>129</v>
      </c>
      <c r="C15" s="1" t="e">
        <f>VLOOKUP(Tabelle58971115[[#This Row],[Prozess]],#REF!,3,FALSE)</f>
        <v>#REF!</v>
      </c>
      <c r="D15" s="1">
        <v>2020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7">
        <v>6.928668687415267</v>
      </c>
      <c r="K15" s="7"/>
      <c r="L15" s="7"/>
      <c r="M15" s="18"/>
      <c r="N15" s="18">
        <v>12</v>
      </c>
      <c r="O15" s="18"/>
      <c r="P15" s="18"/>
      <c r="Q15" s="18"/>
      <c r="R15" s="18"/>
      <c r="S15" s="18"/>
      <c r="T15" s="18"/>
      <c r="U15" s="8">
        <v>0.75</v>
      </c>
      <c r="V15" s="8"/>
      <c r="W15" s="8">
        <v>0.25</v>
      </c>
      <c r="X15" s="8"/>
      <c r="Y15" s="8">
        <v>1</v>
      </c>
      <c r="Z15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5" s="8">
        <v>0.05</v>
      </c>
      <c r="AB15" s="19"/>
      <c r="AC15" s="18"/>
      <c r="AD15" s="8"/>
      <c r="AE15" s="18"/>
      <c r="AF15" s="41"/>
      <c r="AG15" s="41"/>
      <c r="AH15" s="41">
        <v>1</v>
      </c>
      <c r="AL15" s="1">
        <v>4</v>
      </c>
      <c r="AO15" s="1">
        <v>0</v>
      </c>
      <c r="AP15" s="1">
        <v>0</v>
      </c>
      <c r="AQ15" s="1">
        <v>0</v>
      </c>
      <c r="AR15" s="1">
        <v>0</v>
      </c>
      <c r="AS15" s="1">
        <v>24</v>
      </c>
      <c r="AT15" s="1" t="s">
        <v>371</v>
      </c>
      <c r="AU15" s="1" t="s">
        <v>277</v>
      </c>
      <c r="AV15" s="1">
        <f t="shared" si="0"/>
        <v>6</v>
      </c>
      <c r="AX15" s="1">
        <v>40</v>
      </c>
      <c r="AY15" s="18"/>
      <c r="AZ15" s="18"/>
      <c r="BA15" s="18">
        <v>0</v>
      </c>
      <c r="BB15" s="7"/>
      <c r="BC15" s="7">
        <f>1*10^3*Umrechnungsfaktoren!$B$15/Umrechnungsfaktoren!$B$11</f>
        <v>1043.21608040201</v>
      </c>
      <c r="BD15" s="7"/>
      <c r="BE15" s="7">
        <v>0</v>
      </c>
      <c r="BG15" s="6">
        <v>0.66</v>
      </c>
      <c r="BH15" s="1" t="s">
        <v>382</v>
      </c>
      <c r="BI15" s="1" t="s">
        <v>479</v>
      </c>
      <c r="BJ15" s="1" t="s">
        <v>479</v>
      </c>
      <c r="BK15" s="1" t="s">
        <v>479</v>
      </c>
      <c r="BL15" s="1" t="s">
        <v>466</v>
      </c>
      <c r="BM15" s="12" t="s">
        <v>470</v>
      </c>
      <c r="BN15" s="12" t="s">
        <v>470</v>
      </c>
      <c r="BO15" s="12"/>
      <c r="BP15" s="12" t="s">
        <v>467</v>
      </c>
      <c r="BQ15" s="12" t="s">
        <v>467</v>
      </c>
      <c r="BR15" s="12" t="s">
        <v>467</v>
      </c>
      <c r="BS15" s="12"/>
      <c r="BU15" s="12"/>
      <c r="BV15" s="12" t="s">
        <v>496</v>
      </c>
      <c r="BW15" s="12"/>
      <c r="BX15" s="1" t="s">
        <v>474</v>
      </c>
      <c r="BY15" s="1" t="s">
        <v>465</v>
      </c>
      <c r="BZ15" s="1" t="s">
        <v>473</v>
      </c>
      <c r="CA15" s="1" t="s">
        <v>465</v>
      </c>
      <c r="CB15" s="1" t="s">
        <v>503</v>
      </c>
      <c r="CC15" s="1" t="s">
        <v>499</v>
      </c>
      <c r="CD15" s="1" t="s">
        <v>500</v>
      </c>
      <c r="CE15" s="1" t="s">
        <v>499</v>
      </c>
      <c r="CG15" s="1" t="s">
        <v>499</v>
      </c>
    </row>
    <row r="16" spans="1:87" x14ac:dyDescent="0.2">
      <c r="A16" s="1" t="s">
        <v>76</v>
      </c>
      <c r="B16" s="1" t="s">
        <v>129</v>
      </c>
      <c r="C16" s="1" t="e">
        <f>VLOOKUP(Tabelle58971115[[#This Row],[Prozess]],#REF!,3,FALSE)</f>
        <v>#REF!</v>
      </c>
      <c r="D16" s="1">
        <v>2030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7">
        <v>6.7235924061580956</v>
      </c>
      <c r="K16" s="7"/>
      <c r="L16" s="7"/>
      <c r="M16" s="18"/>
      <c r="N16" s="18">
        <v>12</v>
      </c>
      <c r="O16" s="18"/>
      <c r="P16" s="18"/>
      <c r="Q16" s="18"/>
      <c r="R16" s="18"/>
      <c r="S16" s="18"/>
      <c r="T16" s="18"/>
      <c r="U16" s="8">
        <v>0.75</v>
      </c>
      <c r="V16" s="8"/>
      <c r="W16" s="8">
        <v>0.25</v>
      </c>
      <c r="X16" s="8"/>
      <c r="Y16" s="8">
        <v>1</v>
      </c>
      <c r="Z16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6" s="8">
        <v>0.05</v>
      </c>
      <c r="AB16" s="19"/>
      <c r="AC16" s="18"/>
      <c r="AD16" s="8"/>
      <c r="AE16" s="18"/>
      <c r="AF16" s="41"/>
      <c r="AG16" s="41"/>
      <c r="AH16" s="41">
        <v>1</v>
      </c>
      <c r="AL16" s="1">
        <v>4</v>
      </c>
      <c r="AO16" s="1">
        <v>0</v>
      </c>
      <c r="AP16" s="1">
        <v>0</v>
      </c>
      <c r="AQ16" s="1">
        <v>0</v>
      </c>
      <c r="AR16" s="1">
        <v>0</v>
      </c>
      <c r="AS16" s="1">
        <v>24</v>
      </c>
      <c r="AT16" s="1" t="s">
        <v>371</v>
      </c>
      <c r="AU16" s="1" t="s">
        <v>277</v>
      </c>
      <c r="AV16" s="1">
        <f t="shared" si="0"/>
        <v>6</v>
      </c>
      <c r="AX16" s="1">
        <v>40</v>
      </c>
      <c r="AY16" s="18"/>
      <c r="AZ16" s="18"/>
      <c r="BA16" s="18">
        <v>0</v>
      </c>
      <c r="BB16" s="7"/>
      <c r="BC16" s="7">
        <f>1*10^3*Umrechnungsfaktoren!$B$15/Umrechnungsfaktoren!$B$11</f>
        <v>1043.21608040201</v>
      </c>
      <c r="BD16" s="7"/>
      <c r="BE16" s="7">
        <v>0</v>
      </c>
      <c r="BG16" s="6">
        <v>0.66</v>
      </c>
      <c r="BH16" s="1" t="s">
        <v>382</v>
      </c>
      <c r="BI16" s="1" t="s">
        <v>479</v>
      </c>
      <c r="BJ16" s="1" t="s">
        <v>479</v>
      </c>
      <c r="BK16" s="1" t="s">
        <v>479</v>
      </c>
      <c r="BL16" s="1" t="s">
        <v>466</v>
      </c>
      <c r="BM16" s="12" t="s">
        <v>471</v>
      </c>
      <c r="BN16" s="12" t="s">
        <v>471</v>
      </c>
      <c r="BO16" s="12"/>
      <c r="BP16" s="12" t="s">
        <v>467</v>
      </c>
      <c r="BQ16" s="12" t="s">
        <v>467</v>
      </c>
      <c r="BR16" s="12" t="s">
        <v>467</v>
      </c>
      <c r="BS16" s="12"/>
      <c r="BU16" s="12"/>
      <c r="BV16" s="12" t="s">
        <v>496</v>
      </c>
      <c r="BW16" s="12"/>
      <c r="BX16" s="1" t="s">
        <v>474</v>
      </c>
      <c r="BY16" s="1" t="s">
        <v>465</v>
      </c>
      <c r="BZ16" s="1" t="s">
        <v>473</v>
      </c>
      <c r="CA16" s="1" t="s">
        <v>465</v>
      </c>
      <c r="CB16" s="1" t="s">
        <v>503</v>
      </c>
      <c r="CC16" s="1" t="s">
        <v>499</v>
      </c>
      <c r="CD16" s="1" t="s">
        <v>500</v>
      </c>
      <c r="CE16" s="1" t="s">
        <v>499</v>
      </c>
      <c r="CG16" s="1" t="s">
        <v>499</v>
      </c>
    </row>
    <row r="17" spans="1:85" x14ac:dyDescent="0.2">
      <c r="A17" s="1" t="s">
        <v>76</v>
      </c>
      <c r="B17" s="1" t="s">
        <v>129</v>
      </c>
      <c r="C17" s="1" t="e">
        <f>VLOOKUP(Tabelle58971115[[#This Row],[Prozess]],#REF!,3,FALSE)</f>
        <v>#REF!</v>
      </c>
      <c r="D17" s="1">
        <v>2050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7">
        <v>6.3314698661270032</v>
      </c>
      <c r="K17" s="7"/>
      <c r="L17" s="7"/>
      <c r="M17" s="18"/>
      <c r="N17" s="18">
        <v>11</v>
      </c>
      <c r="O17" s="18"/>
      <c r="P17" s="18"/>
      <c r="Q17" s="18"/>
      <c r="R17" s="18"/>
      <c r="S17" s="18"/>
      <c r="T17" s="18"/>
      <c r="U17" s="8">
        <v>0.75</v>
      </c>
      <c r="V17" s="8"/>
      <c r="W17" s="8">
        <v>0.25</v>
      </c>
      <c r="X17" s="8"/>
      <c r="Y17" s="8">
        <v>1</v>
      </c>
      <c r="Z17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17" s="8">
        <v>0.05</v>
      </c>
      <c r="AB17" s="19"/>
      <c r="AC17" s="18"/>
      <c r="AD17" s="8"/>
      <c r="AE17" s="18"/>
      <c r="AF17" s="41"/>
      <c r="AG17" s="41"/>
      <c r="AH17" s="41">
        <v>1</v>
      </c>
      <c r="AL17" s="1">
        <v>4</v>
      </c>
      <c r="AO17" s="1">
        <v>0</v>
      </c>
      <c r="AP17" s="1">
        <v>0</v>
      </c>
      <c r="AQ17" s="1">
        <v>0</v>
      </c>
      <c r="AR17" s="1">
        <v>0</v>
      </c>
      <c r="AS17" s="1">
        <v>24</v>
      </c>
      <c r="AT17" s="1" t="s">
        <v>371</v>
      </c>
      <c r="AU17" s="1" t="s">
        <v>277</v>
      </c>
      <c r="AV17" s="1">
        <f t="shared" si="0"/>
        <v>6</v>
      </c>
      <c r="AX17" s="1">
        <v>40</v>
      </c>
      <c r="AY17" s="18"/>
      <c r="AZ17" s="18"/>
      <c r="BA17" s="18">
        <v>0</v>
      </c>
      <c r="BB17" s="7"/>
      <c r="BC17" s="7">
        <f>1*10^3*Umrechnungsfaktoren!$B$15/Umrechnungsfaktoren!$B$11</f>
        <v>1043.21608040201</v>
      </c>
      <c r="BD17" s="7"/>
      <c r="BE17" s="7">
        <v>0</v>
      </c>
      <c r="BG17" s="6">
        <v>0.66</v>
      </c>
      <c r="BH17" s="1" t="s">
        <v>382</v>
      </c>
      <c r="BI17" s="1" t="s">
        <v>479</v>
      </c>
      <c r="BJ17" s="1" t="s">
        <v>479</v>
      </c>
      <c r="BK17" s="1" t="s">
        <v>479</v>
      </c>
      <c r="BL17" s="1" t="s">
        <v>466</v>
      </c>
      <c r="BM17" s="12" t="s">
        <v>472</v>
      </c>
      <c r="BN17" s="12" t="s">
        <v>472</v>
      </c>
      <c r="BO17" s="12"/>
      <c r="BP17" s="12" t="s">
        <v>467</v>
      </c>
      <c r="BQ17" s="12" t="s">
        <v>467</v>
      </c>
      <c r="BR17" s="12" t="s">
        <v>467</v>
      </c>
      <c r="BS17" s="12"/>
      <c r="BU17" s="12"/>
      <c r="BV17" s="12" t="s">
        <v>496</v>
      </c>
      <c r="BW17" s="12"/>
      <c r="BX17" s="1" t="s">
        <v>474</v>
      </c>
      <c r="BY17" s="1" t="s">
        <v>465</v>
      </c>
      <c r="BZ17" s="1" t="s">
        <v>473</v>
      </c>
      <c r="CA17" s="1" t="s">
        <v>465</v>
      </c>
      <c r="CB17" s="1" t="s">
        <v>503</v>
      </c>
      <c r="CC17" s="1" t="s">
        <v>499</v>
      </c>
      <c r="CD17" s="1" t="s">
        <v>500</v>
      </c>
      <c r="CE17" s="1" t="s">
        <v>499</v>
      </c>
      <c r="CG17" s="1" t="s">
        <v>499</v>
      </c>
    </row>
    <row r="18" spans="1:85" x14ac:dyDescent="0.2">
      <c r="A18" s="1" t="s">
        <v>77</v>
      </c>
      <c r="B18" s="1" t="s">
        <v>129</v>
      </c>
      <c r="C18" s="1" t="e">
        <f>VLOOKUP(Tabelle58971115[[#This Row],[Prozess]],#REF!,3,FALSE)</f>
        <v>#REF!</v>
      </c>
      <c r="D18" s="1">
        <v>2010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7">
        <v>28.5</v>
      </c>
      <c r="K18" s="7">
        <v>19000</v>
      </c>
      <c r="L18" s="7">
        <v>1500</v>
      </c>
      <c r="M18" s="18"/>
      <c r="N18" s="18">
        <v>249</v>
      </c>
      <c r="O18" s="18"/>
      <c r="P18" s="18"/>
      <c r="Q18" s="18"/>
      <c r="R18" s="18">
        <v>63</v>
      </c>
      <c r="S18" s="18"/>
      <c r="T18" s="18"/>
      <c r="U18" s="8">
        <v>0</v>
      </c>
      <c r="V18" s="8"/>
      <c r="W18" s="8">
        <v>1</v>
      </c>
      <c r="X18" s="8">
        <v>1</v>
      </c>
      <c r="Y18" s="8">
        <v>0.8</v>
      </c>
      <c r="Z18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18" s="8">
        <v>0.05</v>
      </c>
      <c r="AB18" s="19"/>
      <c r="AC18" s="18"/>
      <c r="AD18" s="8"/>
      <c r="AE18" s="18"/>
      <c r="AF18" s="41"/>
      <c r="AG18" s="41"/>
      <c r="AH18" s="41">
        <v>0.99</v>
      </c>
      <c r="AL18" s="1">
        <v>3</v>
      </c>
      <c r="AO18" s="1">
        <v>3</v>
      </c>
      <c r="AP18" s="1">
        <v>4</v>
      </c>
      <c r="AQ18" s="1">
        <v>36</v>
      </c>
      <c r="AR18" s="1">
        <v>24</v>
      </c>
      <c r="AS18" s="1">
        <v>24</v>
      </c>
      <c r="AT18" s="1" t="s">
        <v>371</v>
      </c>
      <c r="AU18" s="1" t="s">
        <v>277</v>
      </c>
      <c r="AV18" s="1">
        <f>24/3</f>
        <v>8</v>
      </c>
      <c r="AX18" s="1">
        <v>365</v>
      </c>
      <c r="AY18" s="18"/>
      <c r="AZ18" s="18"/>
      <c r="BA18" s="7">
        <f>0*10^3*Umrechnungsfaktoren!$B$15/Umrechnungsfaktoren!$B$12</f>
        <v>0</v>
      </c>
      <c r="BB18" s="7"/>
      <c r="BC18" s="7">
        <f>150*Umrechnungsfaktoren!$B$15/Umrechnungsfaktoren!$B$12</f>
        <v>155.69999999999999</v>
      </c>
      <c r="BD18" s="7"/>
      <c r="BE18" s="7">
        <f>Tabelle58971115[[#This Row],[Investitionsausgaben €_2018/kW]]</f>
        <v>0</v>
      </c>
      <c r="BG18" s="6">
        <v>0.44</v>
      </c>
      <c r="BH18" s="1" t="s">
        <v>382</v>
      </c>
      <c r="BI18" s="1" t="s">
        <v>479</v>
      </c>
      <c r="BJ18" s="1" t="s">
        <v>479</v>
      </c>
      <c r="BK18" s="1" t="s">
        <v>479</v>
      </c>
      <c r="BL18" s="1" t="s">
        <v>1066</v>
      </c>
      <c r="BM18" s="12" t="s">
        <v>476</v>
      </c>
      <c r="BN18" s="12" t="s">
        <v>477</v>
      </c>
      <c r="BO18" s="12"/>
      <c r="BP18" s="12" t="s">
        <v>467</v>
      </c>
      <c r="BQ18" s="12" t="s">
        <v>467</v>
      </c>
      <c r="BR18" s="12" t="s">
        <v>467</v>
      </c>
      <c r="BS18" s="12"/>
      <c r="BU18" s="12"/>
      <c r="BV18" s="12" t="s">
        <v>496</v>
      </c>
      <c r="BW18" s="12"/>
      <c r="BX18" s="1" t="s">
        <v>474</v>
      </c>
      <c r="BY18" s="1" t="s">
        <v>474</v>
      </c>
      <c r="BZ18" s="1" t="s">
        <v>473</v>
      </c>
      <c r="CA18" s="1" t="s">
        <v>465</v>
      </c>
      <c r="CB18" s="1" t="s">
        <v>504</v>
      </c>
      <c r="CC18" s="1" t="s">
        <v>499</v>
      </c>
      <c r="CD18" s="1" t="s">
        <v>500</v>
      </c>
      <c r="CE18" s="1" t="s">
        <v>499</v>
      </c>
      <c r="CG18" s="1" t="s">
        <v>499</v>
      </c>
    </row>
    <row r="19" spans="1:85" x14ac:dyDescent="0.2">
      <c r="A19" s="1" t="s">
        <v>77</v>
      </c>
      <c r="B19" s="1" t="s">
        <v>129</v>
      </c>
      <c r="C19" s="1" t="e">
        <f>VLOOKUP(Tabelle58971115[[#This Row],[Prozess]],#REF!,3,FALSE)</f>
        <v>#REF!</v>
      </c>
      <c r="D19" s="1">
        <v>2020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7">
        <v>27.656450643044131</v>
      </c>
      <c r="K19" s="7"/>
      <c r="L19" s="7"/>
      <c r="M19" s="18"/>
      <c r="N19" s="18">
        <v>241</v>
      </c>
      <c r="O19" s="18"/>
      <c r="P19" s="18"/>
      <c r="Q19" s="18"/>
      <c r="R19" s="18">
        <v>60</v>
      </c>
      <c r="S19" s="18"/>
      <c r="T19" s="18"/>
      <c r="U19" s="8">
        <v>0</v>
      </c>
      <c r="V19" s="8"/>
      <c r="W19" s="8">
        <v>1</v>
      </c>
      <c r="X19" s="8">
        <v>1</v>
      </c>
      <c r="Y19" s="8">
        <v>0.8</v>
      </c>
      <c r="Z19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19" s="8">
        <v>0.05</v>
      </c>
      <c r="AB19" s="19"/>
      <c r="AC19" s="18"/>
      <c r="AD19" s="8"/>
      <c r="AE19" s="18"/>
      <c r="AF19" s="41"/>
      <c r="AG19" s="41"/>
      <c r="AH19" s="41">
        <v>0.99</v>
      </c>
      <c r="AL19" s="1">
        <v>3</v>
      </c>
      <c r="AO19" s="1">
        <v>3</v>
      </c>
      <c r="AP19" s="1">
        <v>4</v>
      </c>
      <c r="AQ19" s="1">
        <v>36</v>
      </c>
      <c r="AR19" s="1">
        <v>24</v>
      </c>
      <c r="AS19" s="1">
        <v>24</v>
      </c>
      <c r="AT19" s="1" t="s">
        <v>371</v>
      </c>
      <c r="AU19" s="1" t="s">
        <v>277</v>
      </c>
      <c r="AV19" s="1">
        <f t="shared" ref="AV19:AV29" si="1">24/3</f>
        <v>8</v>
      </c>
      <c r="AX19" s="1">
        <v>365</v>
      </c>
      <c r="AY19" s="18"/>
      <c r="AZ19" s="18"/>
      <c r="BA19" s="7">
        <f>0*10^3*Umrechnungsfaktoren!$B$15/Umrechnungsfaktoren!$B$12</f>
        <v>0</v>
      </c>
      <c r="BB19" s="7"/>
      <c r="BC19" s="7">
        <f>150*Umrechnungsfaktoren!$B$15/Umrechnungsfaktoren!$B$12</f>
        <v>155.69999999999999</v>
      </c>
      <c r="BD19" s="7"/>
      <c r="BE19" s="7">
        <f>Tabelle58971115[[#This Row],[Investitionsausgaben €_2018/kW]]</f>
        <v>0</v>
      </c>
      <c r="BG19" s="6">
        <v>0.44</v>
      </c>
      <c r="BH19" s="1" t="s">
        <v>382</v>
      </c>
      <c r="BI19" s="1" t="s">
        <v>479</v>
      </c>
      <c r="BJ19" s="1" t="s">
        <v>479</v>
      </c>
      <c r="BK19" s="1" t="s">
        <v>479</v>
      </c>
      <c r="BL19" s="1" t="s">
        <v>466</v>
      </c>
      <c r="BM19" s="12" t="s">
        <v>470</v>
      </c>
      <c r="BN19" s="12" t="s">
        <v>470</v>
      </c>
      <c r="BO19" s="12"/>
      <c r="BP19" s="12" t="s">
        <v>467</v>
      </c>
      <c r="BQ19" s="12" t="s">
        <v>467</v>
      </c>
      <c r="BR19" s="12" t="s">
        <v>467</v>
      </c>
      <c r="BS19" s="12"/>
      <c r="BU19" s="12"/>
      <c r="BV19" s="12" t="s">
        <v>496</v>
      </c>
      <c r="BW19" s="12"/>
      <c r="BX19" s="1" t="s">
        <v>474</v>
      </c>
      <c r="BY19" s="1" t="s">
        <v>474</v>
      </c>
      <c r="BZ19" s="1" t="s">
        <v>473</v>
      </c>
      <c r="CA19" s="1" t="s">
        <v>465</v>
      </c>
      <c r="CB19" s="1" t="s">
        <v>504</v>
      </c>
      <c r="CC19" s="1" t="s">
        <v>499</v>
      </c>
      <c r="CD19" s="1" t="s">
        <v>500</v>
      </c>
      <c r="CE19" s="1" t="s">
        <v>499</v>
      </c>
      <c r="CG19" s="1" t="s">
        <v>499</v>
      </c>
    </row>
    <row r="20" spans="1:85" x14ac:dyDescent="0.2">
      <c r="A20" s="1" t="s">
        <v>77</v>
      </c>
      <c r="B20" s="1" t="s">
        <v>129</v>
      </c>
      <c r="C20" s="1" t="e">
        <f>VLOOKUP(Tabelle58971115[[#This Row],[Prozess]],#REF!,3,FALSE)</f>
        <v>#REF!</v>
      </c>
      <c r="D20" s="1">
        <v>2030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7">
        <v>26.837868848110041</v>
      </c>
      <c r="K20" s="7"/>
      <c r="L20" s="7"/>
      <c r="M20" s="18"/>
      <c r="N20" s="18">
        <v>235</v>
      </c>
      <c r="O20" s="18"/>
      <c r="P20" s="18"/>
      <c r="Q20" s="18"/>
      <c r="R20" s="18">
        <v>59</v>
      </c>
      <c r="S20" s="18"/>
      <c r="T20" s="18"/>
      <c r="U20" s="8">
        <v>0</v>
      </c>
      <c r="V20" s="8"/>
      <c r="W20" s="8">
        <v>1</v>
      </c>
      <c r="X20" s="8">
        <v>1</v>
      </c>
      <c r="Y20" s="8">
        <v>0.8</v>
      </c>
      <c r="Z20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0" s="8">
        <v>0.05</v>
      </c>
      <c r="AB20" s="19"/>
      <c r="AC20" s="18"/>
      <c r="AD20" s="8"/>
      <c r="AE20" s="18"/>
      <c r="AF20" s="41"/>
      <c r="AG20" s="41"/>
      <c r="AH20" s="41">
        <v>0.99</v>
      </c>
      <c r="AL20" s="1">
        <v>3</v>
      </c>
      <c r="AO20" s="1">
        <v>3</v>
      </c>
      <c r="AP20" s="1">
        <v>4</v>
      </c>
      <c r="AQ20" s="1">
        <v>36</v>
      </c>
      <c r="AR20" s="1">
        <v>24</v>
      </c>
      <c r="AS20" s="1">
        <v>24</v>
      </c>
      <c r="AT20" s="1" t="s">
        <v>371</v>
      </c>
      <c r="AU20" s="1" t="s">
        <v>277</v>
      </c>
      <c r="AV20" s="1">
        <f t="shared" si="1"/>
        <v>8</v>
      </c>
      <c r="AX20" s="1">
        <v>365</v>
      </c>
      <c r="AY20" s="18"/>
      <c r="AZ20" s="18"/>
      <c r="BA20" s="7">
        <f>0*10^3*Umrechnungsfaktoren!$B$15/Umrechnungsfaktoren!$B$12</f>
        <v>0</v>
      </c>
      <c r="BB20" s="7"/>
      <c r="BC20" s="7">
        <f>150*Umrechnungsfaktoren!$B$15/Umrechnungsfaktoren!$B$12</f>
        <v>155.69999999999999</v>
      </c>
      <c r="BD20" s="7"/>
      <c r="BE20" s="7">
        <f>Tabelle58971115[[#This Row],[Investitionsausgaben €_2018/kW]]</f>
        <v>0</v>
      </c>
      <c r="BG20" s="6">
        <v>0.44</v>
      </c>
      <c r="BH20" s="1" t="s">
        <v>382</v>
      </c>
      <c r="BI20" s="1" t="s">
        <v>479</v>
      </c>
      <c r="BJ20" s="1" t="s">
        <v>479</v>
      </c>
      <c r="BK20" s="1" t="s">
        <v>479</v>
      </c>
      <c r="BL20" s="1" t="s">
        <v>466</v>
      </c>
      <c r="BM20" s="12" t="s">
        <v>471</v>
      </c>
      <c r="BN20" s="12" t="s">
        <v>471</v>
      </c>
      <c r="BO20" s="12"/>
      <c r="BP20" s="12" t="s">
        <v>467</v>
      </c>
      <c r="BQ20" s="12" t="s">
        <v>467</v>
      </c>
      <c r="BR20" s="12" t="s">
        <v>467</v>
      </c>
      <c r="BS20" s="12"/>
      <c r="BU20" s="12"/>
      <c r="BV20" s="12" t="s">
        <v>496</v>
      </c>
      <c r="BW20" s="12"/>
      <c r="BX20" s="1" t="s">
        <v>474</v>
      </c>
      <c r="BY20" s="1" t="s">
        <v>474</v>
      </c>
      <c r="BZ20" s="1" t="s">
        <v>473</v>
      </c>
      <c r="CA20" s="1" t="s">
        <v>465</v>
      </c>
      <c r="CB20" s="1" t="s">
        <v>504</v>
      </c>
      <c r="CC20" s="1" t="s">
        <v>499</v>
      </c>
      <c r="CD20" s="1" t="s">
        <v>500</v>
      </c>
      <c r="CE20" s="1" t="s">
        <v>499</v>
      </c>
      <c r="CG20" s="1" t="s">
        <v>499</v>
      </c>
    </row>
    <row r="21" spans="1:85" x14ac:dyDescent="0.2">
      <c r="A21" s="1" t="s">
        <v>77</v>
      </c>
      <c r="B21" s="1" t="s">
        <v>129</v>
      </c>
      <c r="C21" s="1" t="e">
        <f>VLOOKUP(Tabelle58971115[[#This Row],[Prozess]],#REF!,3,FALSE)</f>
        <v>#REF!</v>
      </c>
      <c r="D21" s="1">
        <v>2050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7">
        <v>25.272673835380893</v>
      </c>
      <c r="K21" s="7"/>
      <c r="L21" s="7"/>
      <c r="M21" s="18"/>
      <c r="N21" s="18">
        <v>224</v>
      </c>
      <c r="O21" s="18"/>
      <c r="P21" s="18"/>
      <c r="Q21" s="18"/>
      <c r="R21" s="18">
        <v>56</v>
      </c>
      <c r="S21" s="18"/>
      <c r="T21" s="18"/>
      <c r="U21" s="8">
        <v>0</v>
      </c>
      <c r="V21" s="8"/>
      <c r="W21" s="8">
        <v>1</v>
      </c>
      <c r="X21" s="8">
        <v>1</v>
      </c>
      <c r="Y21" s="8">
        <v>0.8</v>
      </c>
      <c r="Z21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1" s="8">
        <v>0.05</v>
      </c>
      <c r="AB21" s="19"/>
      <c r="AC21" s="18"/>
      <c r="AD21" s="8"/>
      <c r="AE21" s="18"/>
      <c r="AF21" s="41"/>
      <c r="AG21" s="41"/>
      <c r="AH21" s="41">
        <v>0.99</v>
      </c>
      <c r="AL21" s="1">
        <v>3</v>
      </c>
      <c r="AO21" s="1">
        <v>3</v>
      </c>
      <c r="AP21" s="1">
        <v>4</v>
      </c>
      <c r="AQ21" s="1">
        <v>36</v>
      </c>
      <c r="AR21" s="1">
        <v>24</v>
      </c>
      <c r="AS21" s="1">
        <v>24</v>
      </c>
      <c r="AT21" s="1" t="s">
        <v>371</v>
      </c>
      <c r="AU21" s="1" t="s">
        <v>277</v>
      </c>
      <c r="AV21" s="1">
        <f t="shared" si="1"/>
        <v>8</v>
      </c>
      <c r="AX21" s="1">
        <v>365</v>
      </c>
      <c r="AY21" s="18"/>
      <c r="AZ21" s="18"/>
      <c r="BA21" s="7">
        <f>0*10^3*Umrechnungsfaktoren!$B$15/Umrechnungsfaktoren!$B$12</f>
        <v>0</v>
      </c>
      <c r="BB21" s="7"/>
      <c r="BC21" s="7">
        <f>150*Umrechnungsfaktoren!$B$15/Umrechnungsfaktoren!$B$12</f>
        <v>155.69999999999999</v>
      </c>
      <c r="BD21" s="7"/>
      <c r="BE21" s="7">
        <f>Tabelle58971115[[#This Row],[Investitionsausgaben €_2018/kW]]</f>
        <v>0</v>
      </c>
      <c r="BG21" s="6">
        <v>0.44</v>
      </c>
      <c r="BH21" s="1" t="s">
        <v>382</v>
      </c>
      <c r="BI21" s="1" t="s">
        <v>479</v>
      </c>
      <c r="BJ21" s="1" t="s">
        <v>479</v>
      </c>
      <c r="BK21" s="1" t="s">
        <v>479</v>
      </c>
      <c r="BL21" s="1" t="s">
        <v>466</v>
      </c>
      <c r="BM21" s="12" t="s">
        <v>472</v>
      </c>
      <c r="BN21" s="12" t="s">
        <v>472</v>
      </c>
      <c r="BO21" s="12"/>
      <c r="BP21" s="12" t="s">
        <v>467</v>
      </c>
      <c r="BQ21" s="12" t="s">
        <v>467</v>
      </c>
      <c r="BR21" s="12" t="s">
        <v>467</v>
      </c>
      <c r="BS21" s="12"/>
      <c r="BU21" s="12"/>
      <c r="BV21" s="12" t="s">
        <v>496</v>
      </c>
      <c r="BW21" s="12"/>
      <c r="BX21" s="1" t="s">
        <v>474</v>
      </c>
      <c r="BY21" s="1" t="s">
        <v>474</v>
      </c>
      <c r="BZ21" s="1" t="s">
        <v>473</v>
      </c>
      <c r="CA21" s="1" t="s">
        <v>465</v>
      </c>
      <c r="CB21" s="1" t="s">
        <v>504</v>
      </c>
      <c r="CC21" s="1" t="s">
        <v>499</v>
      </c>
      <c r="CD21" s="1" t="s">
        <v>500</v>
      </c>
      <c r="CE21" s="1" t="s">
        <v>499</v>
      </c>
      <c r="CG21" s="1" t="s">
        <v>499</v>
      </c>
    </row>
    <row r="22" spans="1:85" x14ac:dyDescent="0.2">
      <c r="A22" s="1" t="s">
        <v>80</v>
      </c>
      <c r="B22" s="1" t="s">
        <v>129</v>
      </c>
      <c r="C22" s="1" t="e">
        <f>VLOOKUP(Tabelle58971115[[#This Row],[Prozess]],#REF!,3,FALSE)</f>
        <v>#REF!</v>
      </c>
      <c r="D22" s="1">
        <v>2010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7">
        <v>18</v>
      </c>
      <c r="K22" s="7">
        <v>72000</v>
      </c>
      <c r="L22" s="7">
        <v>250</v>
      </c>
      <c r="M22" s="18"/>
      <c r="N22" s="18">
        <v>449</v>
      </c>
      <c r="O22" s="18"/>
      <c r="P22" s="18"/>
      <c r="Q22" s="18"/>
      <c r="R22" s="18">
        <v>125</v>
      </c>
      <c r="S22" s="18"/>
      <c r="T22" s="18"/>
      <c r="U22" s="8">
        <v>0</v>
      </c>
      <c r="V22" s="8"/>
      <c r="W22" s="8">
        <v>1</v>
      </c>
      <c r="X22" s="8">
        <v>1</v>
      </c>
      <c r="Y22" s="8">
        <v>0.8</v>
      </c>
      <c r="Z22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2" s="8">
        <v>0.05</v>
      </c>
      <c r="AB22" s="19"/>
      <c r="AC22" s="18"/>
      <c r="AD22" s="8"/>
      <c r="AE22" s="18"/>
      <c r="AF22" s="41"/>
      <c r="AG22" s="41"/>
      <c r="AH22" s="41">
        <v>0.99</v>
      </c>
      <c r="AL22" s="1">
        <v>3</v>
      </c>
      <c r="AO22" s="1">
        <v>3</v>
      </c>
      <c r="AP22" s="1">
        <v>4</v>
      </c>
      <c r="AQ22" s="1">
        <v>36</v>
      </c>
      <c r="AR22" s="1">
        <v>24</v>
      </c>
      <c r="AS22" s="1">
        <v>24</v>
      </c>
      <c r="AT22" s="1" t="s">
        <v>371</v>
      </c>
      <c r="AU22" s="1" t="s">
        <v>277</v>
      </c>
      <c r="AV22" s="1">
        <f t="shared" si="1"/>
        <v>8</v>
      </c>
      <c r="AX22" s="1">
        <v>365</v>
      </c>
      <c r="AY22" s="18"/>
      <c r="AZ22" s="18"/>
      <c r="BA22" s="7">
        <f>0*10^3*Umrechnungsfaktoren!$B$15/Umrechnungsfaktoren!$B$12</f>
        <v>0</v>
      </c>
      <c r="BB22" s="7"/>
      <c r="BC22" s="7">
        <f>150*Umrechnungsfaktoren!$B$15/Umrechnungsfaktoren!$B$12</f>
        <v>155.69999999999999</v>
      </c>
      <c r="BD22" s="7"/>
      <c r="BE22" s="7">
        <f>Tabelle58971115[[#This Row],[Investitionsausgaben €_2018/kW]]</f>
        <v>0</v>
      </c>
      <c r="BG22" s="6">
        <v>0.44</v>
      </c>
      <c r="BH22" s="1" t="s">
        <v>382</v>
      </c>
      <c r="BI22" s="1" t="s">
        <v>479</v>
      </c>
      <c r="BJ22" s="1" t="s">
        <v>479</v>
      </c>
      <c r="BK22" s="1" t="s">
        <v>479</v>
      </c>
      <c r="BL22" s="1" t="s">
        <v>1066</v>
      </c>
      <c r="BM22" s="12" t="s">
        <v>476</v>
      </c>
      <c r="BN22" s="12" t="s">
        <v>477</v>
      </c>
      <c r="BO22" s="12"/>
      <c r="BP22" s="12" t="s">
        <v>467</v>
      </c>
      <c r="BQ22" s="12" t="s">
        <v>467</v>
      </c>
      <c r="BR22" s="12" t="s">
        <v>467</v>
      </c>
      <c r="BS22" s="12"/>
      <c r="BU22" s="12"/>
      <c r="BV22" s="12" t="s">
        <v>496</v>
      </c>
      <c r="BW22" s="12"/>
      <c r="BX22" s="1" t="s">
        <v>474</v>
      </c>
      <c r="BY22" s="1" t="s">
        <v>474</v>
      </c>
      <c r="BZ22" s="1" t="s">
        <v>473</v>
      </c>
      <c r="CA22" s="1" t="s">
        <v>465</v>
      </c>
      <c r="CB22" s="1" t="s">
        <v>504</v>
      </c>
      <c r="CC22" s="1" t="s">
        <v>499</v>
      </c>
      <c r="CD22" s="1" t="s">
        <v>500</v>
      </c>
      <c r="CE22" s="1" t="s">
        <v>499</v>
      </c>
      <c r="CG22" s="1" t="s">
        <v>499</v>
      </c>
    </row>
    <row r="23" spans="1:85" x14ac:dyDescent="0.2">
      <c r="A23" s="1" t="s">
        <v>80</v>
      </c>
      <c r="B23" s="1" t="s">
        <v>129</v>
      </c>
      <c r="C23" s="1" t="e">
        <f>VLOOKUP(Tabelle58971115[[#This Row],[Prozess]],#REF!,3,FALSE)</f>
        <v>#REF!</v>
      </c>
      <c r="D23" s="1">
        <v>2020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7">
        <v>24.190494828194193</v>
      </c>
      <c r="K23" s="7"/>
      <c r="L23" s="7"/>
      <c r="M23" s="18"/>
      <c r="N23" s="18">
        <v>622</v>
      </c>
      <c r="O23" s="18"/>
      <c r="P23" s="18"/>
      <c r="Q23" s="18"/>
      <c r="R23" s="18">
        <v>156</v>
      </c>
      <c r="S23" s="18"/>
      <c r="T23" s="18"/>
      <c r="U23" s="8">
        <v>0</v>
      </c>
      <c r="V23" s="8"/>
      <c r="W23" s="8">
        <v>1</v>
      </c>
      <c r="X23" s="8">
        <v>1</v>
      </c>
      <c r="Y23" s="8">
        <v>0.8</v>
      </c>
      <c r="Z23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3" s="8">
        <v>0.05</v>
      </c>
      <c r="AB23" s="19"/>
      <c r="AC23" s="18"/>
      <c r="AD23" s="8"/>
      <c r="AE23" s="18"/>
      <c r="AF23" s="41"/>
      <c r="AG23" s="41"/>
      <c r="AH23" s="41">
        <v>0.99</v>
      </c>
      <c r="AL23" s="1">
        <v>3</v>
      </c>
      <c r="AO23" s="1">
        <v>3</v>
      </c>
      <c r="AP23" s="1">
        <v>4</v>
      </c>
      <c r="AQ23" s="1">
        <v>36</v>
      </c>
      <c r="AR23" s="1">
        <v>24</v>
      </c>
      <c r="AS23" s="1">
        <v>24</v>
      </c>
      <c r="AT23" s="1" t="s">
        <v>371</v>
      </c>
      <c r="AU23" s="1" t="s">
        <v>277</v>
      </c>
      <c r="AV23" s="1">
        <f t="shared" si="1"/>
        <v>8</v>
      </c>
      <c r="AX23" s="1">
        <v>365</v>
      </c>
      <c r="AY23" s="18"/>
      <c r="AZ23" s="18"/>
      <c r="BA23" s="7">
        <f>0*10^3*Umrechnungsfaktoren!$B$15/Umrechnungsfaktoren!$B$12</f>
        <v>0</v>
      </c>
      <c r="BB23" s="7"/>
      <c r="BC23" s="7">
        <f>150*Umrechnungsfaktoren!$B$15/Umrechnungsfaktoren!$B$12</f>
        <v>155.69999999999999</v>
      </c>
      <c r="BD23" s="7"/>
      <c r="BE23" s="7">
        <f>Tabelle58971115[[#This Row],[Investitionsausgaben €_2018/kW]]</f>
        <v>0</v>
      </c>
      <c r="BG23" s="6">
        <v>0.44</v>
      </c>
      <c r="BH23" s="1" t="s">
        <v>382</v>
      </c>
      <c r="BI23" s="1" t="s">
        <v>479</v>
      </c>
      <c r="BJ23" s="1" t="s">
        <v>479</v>
      </c>
      <c r="BK23" s="1" t="s">
        <v>479</v>
      </c>
      <c r="BL23" s="1" t="s">
        <v>466</v>
      </c>
      <c r="BM23" s="12" t="s">
        <v>470</v>
      </c>
      <c r="BN23" s="12" t="s">
        <v>470</v>
      </c>
      <c r="BO23" s="12"/>
      <c r="BP23" s="12" t="s">
        <v>467</v>
      </c>
      <c r="BQ23" s="12" t="s">
        <v>467</v>
      </c>
      <c r="BR23" s="12" t="s">
        <v>467</v>
      </c>
      <c r="BS23" s="12"/>
      <c r="BU23" s="12"/>
      <c r="BV23" s="12" t="s">
        <v>496</v>
      </c>
      <c r="BW23" s="12"/>
      <c r="BX23" s="1" t="s">
        <v>474</v>
      </c>
      <c r="BY23" s="1" t="s">
        <v>474</v>
      </c>
      <c r="BZ23" s="1" t="s">
        <v>473</v>
      </c>
      <c r="CA23" s="1" t="s">
        <v>465</v>
      </c>
      <c r="CB23" s="1" t="s">
        <v>504</v>
      </c>
      <c r="CC23" s="1" t="s">
        <v>499</v>
      </c>
      <c r="CD23" s="1" t="s">
        <v>500</v>
      </c>
      <c r="CE23" s="1" t="s">
        <v>499</v>
      </c>
      <c r="CG23" s="1" t="s">
        <v>499</v>
      </c>
    </row>
    <row r="24" spans="1:85" x14ac:dyDescent="0.2">
      <c r="A24" s="1" t="s">
        <v>80</v>
      </c>
      <c r="B24" s="1" t="s">
        <v>129</v>
      </c>
      <c r="C24" s="1" t="e">
        <f>VLOOKUP(Tabelle58971115[[#This Row],[Prozess]],#REF!,3,FALSE)</f>
        <v>#REF!</v>
      </c>
      <c r="D24" s="1">
        <v>2030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7">
        <v>28.074056825679079</v>
      </c>
      <c r="K24" s="7"/>
      <c r="L24" s="7"/>
      <c r="M24" s="18"/>
      <c r="N24" s="18">
        <v>722</v>
      </c>
      <c r="O24" s="18"/>
      <c r="P24" s="18"/>
      <c r="Q24" s="18"/>
      <c r="R24" s="18">
        <v>180</v>
      </c>
      <c r="S24" s="18"/>
      <c r="T24" s="18"/>
      <c r="U24" s="8">
        <v>0</v>
      </c>
      <c r="V24" s="8"/>
      <c r="W24" s="8">
        <v>1</v>
      </c>
      <c r="X24" s="8">
        <v>1</v>
      </c>
      <c r="Y24" s="8">
        <v>0.8</v>
      </c>
      <c r="Z24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4" s="8">
        <v>0.05</v>
      </c>
      <c r="AB24" s="19"/>
      <c r="AC24" s="18"/>
      <c r="AD24" s="8"/>
      <c r="AE24" s="18"/>
      <c r="AF24" s="41"/>
      <c r="AG24" s="41"/>
      <c r="AH24" s="41">
        <v>0.99</v>
      </c>
      <c r="AL24" s="1">
        <v>3</v>
      </c>
      <c r="AO24" s="1">
        <v>3</v>
      </c>
      <c r="AP24" s="1">
        <v>4</v>
      </c>
      <c r="AQ24" s="1">
        <v>36</v>
      </c>
      <c r="AR24" s="1">
        <v>24</v>
      </c>
      <c r="AS24" s="1">
        <v>24</v>
      </c>
      <c r="AT24" s="1" t="s">
        <v>371</v>
      </c>
      <c r="AU24" s="1" t="s">
        <v>277</v>
      </c>
      <c r="AV24" s="1">
        <f t="shared" si="1"/>
        <v>8</v>
      </c>
      <c r="AX24" s="1">
        <v>365</v>
      </c>
      <c r="AY24" s="18"/>
      <c r="AZ24" s="18"/>
      <c r="BA24" s="7">
        <f>0*10^3*Umrechnungsfaktoren!$B$15/Umrechnungsfaktoren!$B$12</f>
        <v>0</v>
      </c>
      <c r="BB24" s="7"/>
      <c r="BC24" s="7">
        <f>150*Umrechnungsfaktoren!$B$15/Umrechnungsfaktoren!$B$12</f>
        <v>155.69999999999999</v>
      </c>
      <c r="BD24" s="7"/>
      <c r="BE24" s="7">
        <f>Tabelle58971115[[#This Row],[Investitionsausgaben €_2018/kW]]</f>
        <v>0</v>
      </c>
      <c r="BG24" s="6">
        <v>0.44</v>
      </c>
      <c r="BH24" s="1" t="s">
        <v>382</v>
      </c>
      <c r="BI24" s="1" t="s">
        <v>479</v>
      </c>
      <c r="BJ24" s="1" t="s">
        <v>479</v>
      </c>
      <c r="BK24" s="1" t="s">
        <v>479</v>
      </c>
      <c r="BL24" s="1" t="s">
        <v>466</v>
      </c>
      <c r="BM24" s="12" t="s">
        <v>471</v>
      </c>
      <c r="BN24" s="12" t="s">
        <v>471</v>
      </c>
      <c r="BO24" s="12"/>
      <c r="BP24" s="12" t="s">
        <v>467</v>
      </c>
      <c r="BQ24" s="12" t="s">
        <v>467</v>
      </c>
      <c r="BR24" s="12" t="s">
        <v>467</v>
      </c>
      <c r="BS24" s="12"/>
      <c r="BU24" s="12"/>
      <c r="BV24" s="12" t="s">
        <v>496</v>
      </c>
      <c r="BW24" s="12"/>
      <c r="BX24" s="1" t="s">
        <v>474</v>
      </c>
      <c r="BY24" s="1" t="s">
        <v>474</v>
      </c>
      <c r="BZ24" s="1" t="s">
        <v>473</v>
      </c>
      <c r="CA24" s="1" t="s">
        <v>465</v>
      </c>
      <c r="CB24" s="1" t="s">
        <v>504</v>
      </c>
      <c r="CC24" s="1" t="s">
        <v>499</v>
      </c>
      <c r="CD24" s="1" t="s">
        <v>500</v>
      </c>
      <c r="CE24" s="1" t="s">
        <v>499</v>
      </c>
      <c r="CG24" s="1" t="s">
        <v>499</v>
      </c>
    </row>
    <row r="25" spans="1:85" x14ac:dyDescent="0.2">
      <c r="A25" s="1" t="s">
        <v>80</v>
      </c>
      <c r="B25" s="1" t="s">
        <v>129</v>
      </c>
      <c r="C25" s="1" t="e">
        <f>VLOOKUP(Tabelle58971115[[#This Row],[Prozess]],#REF!,3,FALSE)</f>
        <v>#REF!</v>
      </c>
      <c r="D25" s="1">
        <v>2050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7">
        <v>37.811683989836531</v>
      </c>
      <c r="K25" s="7"/>
      <c r="L25" s="7"/>
      <c r="M25" s="18"/>
      <c r="N25" s="18">
        <v>972</v>
      </c>
      <c r="O25" s="18"/>
      <c r="P25" s="18"/>
      <c r="Q25" s="18"/>
      <c r="R25" s="18">
        <v>243</v>
      </c>
      <c r="S25" s="18"/>
      <c r="T25" s="18"/>
      <c r="U25" s="8">
        <v>0</v>
      </c>
      <c r="V25" s="8"/>
      <c r="W25" s="8">
        <v>1</v>
      </c>
      <c r="X25" s="8">
        <v>1</v>
      </c>
      <c r="Y25" s="8">
        <v>0.8</v>
      </c>
      <c r="Z25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25" s="8">
        <v>0.05</v>
      </c>
      <c r="AB25" s="19"/>
      <c r="AC25" s="18"/>
      <c r="AD25" s="8"/>
      <c r="AE25" s="18"/>
      <c r="AF25" s="41"/>
      <c r="AG25" s="41"/>
      <c r="AH25" s="41">
        <v>0.99</v>
      </c>
      <c r="AL25" s="1">
        <v>3</v>
      </c>
      <c r="AO25" s="1">
        <v>3</v>
      </c>
      <c r="AP25" s="1">
        <v>4</v>
      </c>
      <c r="AQ25" s="1">
        <v>36</v>
      </c>
      <c r="AR25" s="1">
        <v>24</v>
      </c>
      <c r="AS25" s="1">
        <v>24</v>
      </c>
      <c r="AT25" s="1" t="s">
        <v>371</v>
      </c>
      <c r="AU25" s="1" t="s">
        <v>277</v>
      </c>
      <c r="AV25" s="1">
        <f t="shared" si="1"/>
        <v>8</v>
      </c>
      <c r="AX25" s="1">
        <v>365</v>
      </c>
      <c r="AY25" s="18"/>
      <c r="AZ25" s="18"/>
      <c r="BA25" s="7">
        <f>0*10^3*Umrechnungsfaktoren!$B$15/Umrechnungsfaktoren!$B$12</f>
        <v>0</v>
      </c>
      <c r="BB25" s="7"/>
      <c r="BC25" s="7">
        <f>150*Umrechnungsfaktoren!$B$15/Umrechnungsfaktoren!$B$12</f>
        <v>155.69999999999999</v>
      </c>
      <c r="BD25" s="7"/>
      <c r="BE25" s="7">
        <f>Tabelle58971115[[#This Row],[Investitionsausgaben €_2018/kW]]</f>
        <v>0</v>
      </c>
      <c r="BG25" s="6">
        <v>0.44</v>
      </c>
      <c r="BH25" s="1" t="s">
        <v>382</v>
      </c>
      <c r="BI25" s="1" t="s">
        <v>479</v>
      </c>
      <c r="BJ25" s="1" t="s">
        <v>479</v>
      </c>
      <c r="BK25" s="1" t="s">
        <v>479</v>
      </c>
      <c r="BL25" s="1" t="s">
        <v>466</v>
      </c>
      <c r="BM25" s="12" t="s">
        <v>472</v>
      </c>
      <c r="BN25" s="12" t="s">
        <v>472</v>
      </c>
      <c r="BO25" s="12"/>
      <c r="BP25" s="12" t="s">
        <v>467</v>
      </c>
      <c r="BQ25" s="12" t="s">
        <v>467</v>
      </c>
      <c r="BR25" s="12" t="s">
        <v>467</v>
      </c>
      <c r="BS25" s="12"/>
      <c r="BU25" s="12"/>
      <c r="BV25" s="12" t="s">
        <v>496</v>
      </c>
      <c r="BW25" s="12"/>
      <c r="BX25" s="1" t="s">
        <v>474</v>
      </c>
      <c r="BY25" s="1" t="s">
        <v>474</v>
      </c>
      <c r="BZ25" s="1" t="s">
        <v>473</v>
      </c>
      <c r="CA25" s="1" t="s">
        <v>465</v>
      </c>
      <c r="CB25" s="1" t="s">
        <v>504</v>
      </c>
      <c r="CC25" s="1" t="s">
        <v>499</v>
      </c>
      <c r="CD25" s="1" t="s">
        <v>500</v>
      </c>
      <c r="CE25" s="1" t="s">
        <v>499</v>
      </c>
      <c r="CG25" s="1" t="s">
        <v>499</v>
      </c>
    </row>
    <row r="26" spans="1:85" x14ac:dyDescent="0.2">
      <c r="A26" s="1" t="s">
        <v>81</v>
      </c>
      <c r="B26" s="1" t="s">
        <v>129</v>
      </c>
      <c r="C26" s="1" t="e">
        <f>VLOOKUP(Tabelle58971115[[#This Row],[Prozess]],#REF!,3,FALSE)</f>
        <v>#REF!</v>
      </c>
      <c r="D26" s="1">
        <v>2010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7">
        <v>50.15</v>
      </c>
      <c r="K26" s="7">
        <v>118000</v>
      </c>
      <c r="L26" s="7">
        <v>425</v>
      </c>
      <c r="M26" s="18"/>
      <c r="N26" s="18">
        <v>204</v>
      </c>
      <c r="O26" s="18"/>
      <c r="P26" s="18"/>
      <c r="Q26" s="18"/>
      <c r="R26" s="18">
        <v>112</v>
      </c>
      <c r="S26" s="18"/>
      <c r="T26" s="18"/>
      <c r="U26" s="8">
        <v>0.7</v>
      </c>
      <c r="V26" s="8"/>
      <c r="W26" s="8">
        <v>0.3</v>
      </c>
      <c r="X26" s="8">
        <v>1</v>
      </c>
      <c r="Y26" s="8">
        <v>0.9</v>
      </c>
      <c r="Z26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6" s="8">
        <v>0.05</v>
      </c>
      <c r="AB26" s="19"/>
      <c r="AC26" s="18"/>
      <c r="AD26" s="8"/>
      <c r="AE26" s="18"/>
      <c r="AF26" s="41"/>
      <c r="AG26" s="41"/>
      <c r="AH26" s="41">
        <v>0.99</v>
      </c>
      <c r="AL26" s="1">
        <v>3</v>
      </c>
      <c r="AO26" s="1">
        <v>3</v>
      </c>
      <c r="AP26" s="1">
        <v>4</v>
      </c>
      <c r="AQ26" s="1">
        <v>36</v>
      </c>
      <c r="AR26" s="1">
        <v>24</v>
      </c>
      <c r="AS26" s="1">
        <v>24</v>
      </c>
      <c r="AT26" s="1" t="s">
        <v>371</v>
      </c>
      <c r="AU26" s="1" t="s">
        <v>277</v>
      </c>
      <c r="AV26" s="1">
        <f t="shared" si="1"/>
        <v>8</v>
      </c>
      <c r="AX26" s="1">
        <v>365</v>
      </c>
      <c r="AY26" s="18"/>
      <c r="AZ26" s="18"/>
      <c r="BA26" s="7">
        <f>0*10^3*Umrechnungsfaktoren!$B$15/Umrechnungsfaktoren!$B$12</f>
        <v>0</v>
      </c>
      <c r="BB26" s="7"/>
      <c r="BC26" s="7">
        <f>150*Umrechnungsfaktoren!$B$15/Umrechnungsfaktoren!$B$12</f>
        <v>155.69999999999999</v>
      </c>
      <c r="BD26" s="7"/>
      <c r="BE26" s="7">
        <f>Tabelle58971115[[#This Row],[Investitionsausgaben €_2018/kW]]</f>
        <v>0</v>
      </c>
      <c r="BG26" s="6">
        <v>0.44</v>
      </c>
      <c r="BH26" s="1" t="s">
        <v>382</v>
      </c>
      <c r="BI26" s="1" t="s">
        <v>479</v>
      </c>
      <c r="BJ26" s="1" t="s">
        <v>479</v>
      </c>
      <c r="BK26" s="1" t="s">
        <v>479</v>
      </c>
      <c r="BL26" s="1" t="s">
        <v>1066</v>
      </c>
      <c r="BM26" s="12" t="s">
        <v>476</v>
      </c>
      <c r="BN26" s="12" t="s">
        <v>477</v>
      </c>
      <c r="BO26" s="12"/>
      <c r="BP26" s="12" t="s">
        <v>467</v>
      </c>
      <c r="BQ26" s="12" t="s">
        <v>467</v>
      </c>
      <c r="BR26" s="12" t="s">
        <v>467</v>
      </c>
      <c r="BS26" s="12"/>
      <c r="BU26" s="12"/>
      <c r="BV26" s="12" t="s">
        <v>496</v>
      </c>
      <c r="BW26" s="12"/>
      <c r="BX26" s="1" t="s">
        <v>474</v>
      </c>
      <c r="BY26" s="1" t="s">
        <v>474</v>
      </c>
      <c r="BZ26" s="1" t="s">
        <v>473</v>
      </c>
      <c r="CA26" s="1" t="s">
        <v>465</v>
      </c>
      <c r="CB26" s="1" t="s">
        <v>504</v>
      </c>
      <c r="CC26" s="1" t="s">
        <v>499</v>
      </c>
      <c r="CD26" s="1" t="s">
        <v>500</v>
      </c>
      <c r="CE26" s="1" t="s">
        <v>499</v>
      </c>
      <c r="CG26" s="1" t="s">
        <v>499</v>
      </c>
    </row>
    <row r="27" spans="1:85" x14ac:dyDescent="0.2">
      <c r="A27" s="1" t="s">
        <v>81</v>
      </c>
      <c r="B27" s="1" t="s">
        <v>129</v>
      </c>
      <c r="C27" s="1" t="e">
        <f>VLOOKUP(Tabelle58971115[[#This Row],[Prozess]],#REF!,3,FALSE)</f>
        <v>#REF!</v>
      </c>
      <c r="D27" s="1">
        <v>2020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7">
        <v>56.478472573132237</v>
      </c>
      <c r="K27" s="7"/>
      <c r="L27" s="7"/>
      <c r="M27" s="18"/>
      <c r="N27" s="18">
        <v>236</v>
      </c>
      <c r="O27" s="18"/>
      <c r="P27" s="18"/>
      <c r="Q27" s="18"/>
      <c r="R27" s="18">
        <v>145</v>
      </c>
      <c r="S27" s="18"/>
      <c r="T27" s="18"/>
      <c r="U27" s="8">
        <v>0.7</v>
      </c>
      <c r="V27" s="8"/>
      <c r="W27" s="8">
        <v>0.3</v>
      </c>
      <c r="X27" s="8">
        <v>1</v>
      </c>
      <c r="Y27" s="8">
        <v>0.9</v>
      </c>
      <c r="Z27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7" s="8">
        <v>0.05</v>
      </c>
      <c r="AB27" s="19"/>
      <c r="AC27" s="18"/>
      <c r="AD27" s="8"/>
      <c r="AE27" s="18"/>
      <c r="AF27" s="41"/>
      <c r="AG27" s="41"/>
      <c r="AH27" s="41">
        <v>0.99</v>
      </c>
      <c r="AL27" s="1">
        <v>3</v>
      </c>
      <c r="AO27" s="1">
        <v>3</v>
      </c>
      <c r="AP27" s="1">
        <v>4</v>
      </c>
      <c r="AQ27" s="1">
        <v>36</v>
      </c>
      <c r="AR27" s="1">
        <v>24</v>
      </c>
      <c r="AS27" s="1">
        <v>24</v>
      </c>
      <c r="AT27" s="1" t="s">
        <v>371</v>
      </c>
      <c r="AU27" s="1" t="s">
        <v>277</v>
      </c>
      <c r="AV27" s="1">
        <f t="shared" si="1"/>
        <v>8</v>
      </c>
      <c r="AX27" s="1">
        <v>365</v>
      </c>
      <c r="AY27" s="18"/>
      <c r="AZ27" s="18"/>
      <c r="BA27" s="7">
        <f>0*10^3*Umrechnungsfaktoren!$B$15/Umrechnungsfaktoren!$B$12</f>
        <v>0</v>
      </c>
      <c r="BB27" s="7"/>
      <c r="BC27" s="7">
        <f>150*Umrechnungsfaktoren!$B$15/Umrechnungsfaktoren!$B$12</f>
        <v>155.69999999999999</v>
      </c>
      <c r="BD27" s="7"/>
      <c r="BE27" s="7">
        <f>Tabelle58971115[[#This Row],[Investitionsausgaben €_2018/kW]]</f>
        <v>0</v>
      </c>
      <c r="BG27" s="6">
        <v>0.44</v>
      </c>
      <c r="BH27" s="1" t="s">
        <v>382</v>
      </c>
      <c r="BI27" s="1" t="s">
        <v>479</v>
      </c>
      <c r="BJ27" s="1" t="s">
        <v>479</v>
      </c>
      <c r="BK27" s="1" t="s">
        <v>479</v>
      </c>
      <c r="BL27" s="1" t="s">
        <v>466</v>
      </c>
      <c r="BM27" s="12" t="s">
        <v>470</v>
      </c>
      <c r="BN27" s="12" t="s">
        <v>470</v>
      </c>
      <c r="BO27" s="12"/>
      <c r="BP27" s="12" t="s">
        <v>467</v>
      </c>
      <c r="BQ27" s="12" t="s">
        <v>467</v>
      </c>
      <c r="BR27" s="12" t="s">
        <v>467</v>
      </c>
      <c r="BS27" s="12"/>
      <c r="BU27" s="12"/>
      <c r="BV27" s="12" t="s">
        <v>496</v>
      </c>
      <c r="BW27" s="12"/>
      <c r="BX27" s="1" t="s">
        <v>474</v>
      </c>
      <c r="BY27" s="1" t="s">
        <v>474</v>
      </c>
      <c r="BZ27" s="1" t="s">
        <v>473</v>
      </c>
      <c r="CA27" s="1" t="s">
        <v>465</v>
      </c>
      <c r="CB27" s="1" t="s">
        <v>504</v>
      </c>
      <c r="CC27" s="1" t="s">
        <v>499</v>
      </c>
      <c r="CD27" s="1" t="s">
        <v>500</v>
      </c>
      <c r="CE27" s="1" t="s">
        <v>499</v>
      </c>
      <c r="CG27" s="1" t="s">
        <v>499</v>
      </c>
    </row>
    <row r="28" spans="1:85" x14ac:dyDescent="0.2">
      <c r="A28" s="1" t="s">
        <v>81</v>
      </c>
      <c r="B28" s="1" t="s">
        <v>129</v>
      </c>
      <c r="C28" s="1" t="e">
        <f>VLOOKUP(Tabelle58971115[[#This Row],[Prozess]],#REF!,3,FALSE)</f>
        <v>#REF!</v>
      </c>
      <c r="D28" s="1">
        <v>2030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7">
        <v>61.142906839567537</v>
      </c>
      <c r="K28" s="7"/>
      <c r="L28" s="7"/>
      <c r="M28" s="18"/>
      <c r="N28" s="18">
        <v>255</v>
      </c>
      <c r="O28" s="18"/>
      <c r="P28" s="18"/>
      <c r="Q28" s="18"/>
      <c r="R28" s="18">
        <v>156</v>
      </c>
      <c r="S28" s="18"/>
      <c r="T28" s="18"/>
      <c r="U28" s="8">
        <v>0.7</v>
      </c>
      <c r="V28" s="8"/>
      <c r="W28" s="8">
        <v>0.3</v>
      </c>
      <c r="X28" s="8">
        <v>1</v>
      </c>
      <c r="Y28" s="8">
        <v>0.9</v>
      </c>
      <c r="Z28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8" s="8">
        <v>0.05</v>
      </c>
      <c r="AB28" s="19"/>
      <c r="AC28" s="18"/>
      <c r="AD28" s="8"/>
      <c r="AE28" s="18"/>
      <c r="AF28" s="41"/>
      <c r="AG28" s="41"/>
      <c r="AH28" s="41">
        <v>0.99</v>
      </c>
      <c r="AL28" s="1">
        <v>3</v>
      </c>
      <c r="AO28" s="1">
        <v>3</v>
      </c>
      <c r="AP28" s="1">
        <v>4</v>
      </c>
      <c r="AQ28" s="1">
        <v>36</v>
      </c>
      <c r="AR28" s="1">
        <v>24</v>
      </c>
      <c r="AS28" s="1">
        <v>24</v>
      </c>
      <c r="AT28" s="1" t="s">
        <v>371</v>
      </c>
      <c r="AU28" s="1" t="s">
        <v>277</v>
      </c>
      <c r="AV28" s="1">
        <f t="shared" si="1"/>
        <v>8</v>
      </c>
      <c r="AX28" s="1">
        <v>365</v>
      </c>
      <c r="AY28" s="18"/>
      <c r="AZ28" s="18"/>
      <c r="BA28" s="7">
        <f>0*10^3*Umrechnungsfaktoren!$B$15/Umrechnungsfaktoren!$B$12</f>
        <v>0</v>
      </c>
      <c r="BB28" s="7"/>
      <c r="BC28" s="7">
        <f>150*Umrechnungsfaktoren!$B$15/Umrechnungsfaktoren!$B$12</f>
        <v>155.69999999999999</v>
      </c>
      <c r="BD28" s="7"/>
      <c r="BE28" s="7">
        <f>Tabelle58971115[[#This Row],[Investitionsausgaben €_2018/kW]]</f>
        <v>0</v>
      </c>
      <c r="BG28" s="6">
        <v>0.44</v>
      </c>
      <c r="BH28" s="1" t="s">
        <v>382</v>
      </c>
      <c r="BI28" s="1" t="s">
        <v>479</v>
      </c>
      <c r="BJ28" s="1" t="s">
        <v>479</v>
      </c>
      <c r="BK28" s="1" t="s">
        <v>479</v>
      </c>
      <c r="BL28" s="1" t="s">
        <v>466</v>
      </c>
      <c r="BM28" s="12" t="s">
        <v>471</v>
      </c>
      <c r="BN28" s="12" t="s">
        <v>471</v>
      </c>
      <c r="BO28" s="12"/>
      <c r="BP28" s="12" t="s">
        <v>467</v>
      </c>
      <c r="BQ28" s="12" t="s">
        <v>467</v>
      </c>
      <c r="BR28" s="12" t="s">
        <v>467</v>
      </c>
      <c r="BS28" s="12"/>
      <c r="BU28" s="12"/>
      <c r="BV28" s="12" t="s">
        <v>496</v>
      </c>
      <c r="BW28" s="12"/>
      <c r="BX28" s="1" t="s">
        <v>474</v>
      </c>
      <c r="BY28" s="1" t="s">
        <v>474</v>
      </c>
      <c r="BZ28" s="1" t="s">
        <v>473</v>
      </c>
      <c r="CA28" s="1" t="s">
        <v>465</v>
      </c>
      <c r="CB28" s="1" t="s">
        <v>504</v>
      </c>
      <c r="CC28" s="1" t="s">
        <v>499</v>
      </c>
      <c r="CD28" s="1" t="s">
        <v>500</v>
      </c>
      <c r="CE28" s="1" t="s">
        <v>499</v>
      </c>
      <c r="CG28" s="1" t="s">
        <v>499</v>
      </c>
    </row>
    <row r="29" spans="1:85" x14ac:dyDescent="0.2">
      <c r="A29" s="1" t="s">
        <v>81</v>
      </c>
      <c r="B29" s="1" t="s">
        <v>129</v>
      </c>
      <c r="C29" s="1" t="e">
        <f>VLOOKUP(Tabelle58971115[[#This Row],[Prozess]],#REF!,3,FALSE)</f>
        <v>#REF!</v>
      </c>
      <c r="D29" s="1">
        <v>2050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7">
        <v>71.659266764781037</v>
      </c>
      <c r="K29" s="7"/>
      <c r="L29" s="7"/>
      <c r="M29" s="18"/>
      <c r="N29" s="18">
        <v>296</v>
      </c>
      <c r="O29" s="18"/>
      <c r="P29" s="18"/>
      <c r="Q29" s="18"/>
      <c r="R29" s="18">
        <v>181</v>
      </c>
      <c r="S29" s="18"/>
      <c r="T29" s="18"/>
      <c r="U29" s="8">
        <v>0.7</v>
      </c>
      <c r="V29" s="8"/>
      <c r="W29" s="8">
        <v>0.3</v>
      </c>
      <c r="X29" s="8">
        <v>1</v>
      </c>
      <c r="Y29" s="8">
        <v>0.9</v>
      </c>
      <c r="Z29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0.85</v>
      </c>
      <c r="AA29" s="8">
        <v>0.05</v>
      </c>
      <c r="AB29" s="19"/>
      <c r="AC29" s="18"/>
      <c r="AD29" s="8"/>
      <c r="AE29" s="18"/>
      <c r="AF29" s="41"/>
      <c r="AG29" s="41"/>
      <c r="AH29" s="41">
        <v>0.99</v>
      </c>
      <c r="AL29" s="1">
        <v>3</v>
      </c>
      <c r="AO29" s="1">
        <v>3</v>
      </c>
      <c r="AP29" s="1">
        <v>4</v>
      </c>
      <c r="AQ29" s="1">
        <v>36</v>
      </c>
      <c r="AR29" s="1">
        <v>24</v>
      </c>
      <c r="AS29" s="1">
        <v>24</v>
      </c>
      <c r="AT29" s="1" t="s">
        <v>371</v>
      </c>
      <c r="AU29" s="1" t="s">
        <v>277</v>
      </c>
      <c r="AV29" s="1">
        <f t="shared" si="1"/>
        <v>8</v>
      </c>
      <c r="AX29" s="1">
        <v>365</v>
      </c>
      <c r="AY29" s="18"/>
      <c r="AZ29" s="18"/>
      <c r="BA29" s="7">
        <f>0*10^3*Umrechnungsfaktoren!$B$15/Umrechnungsfaktoren!$B$12</f>
        <v>0</v>
      </c>
      <c r="BB29" s="7"/>
      <c r="BC29" s="7">
        <f>150*Umrechnungsfaktoren!$B$15/Umrechnungsfaktoren!$B$12</f>
        <v>155.69999999999999</v>
      </c>
      <c r="BD29" s="7"/>
      <c r="BE29" s="7">
        <f>Tabelle58971115[[#This Row],[Investitionsausgaben €_2018/kW]]</f>
        <v>0</v>
      </c>
      <c r="BG29" s="6">
        <v>0.44</v>
      </c>
      <c r="BH29" s="1" t="s">
        <v>382</v>
      </c>
      <c r="BI29" s="1" t="s">
        <v>479</v>
      </c>
      <c r="BJ29" s="1" t="s">
        <v>479</v>
      </c>
      <c r="BK29" s="1" t="s">
        <v>479</v>
      </c>
      <c r="BL29" s="1" t="s">
        <v>466</v>
      </c>
      <c r="BM29" s="12" t="s">
        <v>472</v>
      </c>
      <c r="BN29" s="12" t="s">
        <v>472</v>
      </c>
      <c r="BO29" s="12"/>
      <c r="BP29" s="12" t="s">
        <v>467</v>
      </c>
      <c r="BQ29" s="12" t="s">
        <v>467</v>
      </c>
      <c r="BR29" s="12" t="s">
        <v>467</v>
      </c>
      <c r="BS29" s="12"/>
      <c r="BU29" s="12"/>
      <c r="BV29" s="12" t="s">
        <v>496</v>
      </c>
      <c r="BW29" s="12"/>
      <c r="BX29" s="1" t="s">
        <v>474</v>
      </c>
      <c r="BY29" s="1" t="s">
        <v>474</v>
      </c>
      <c r="BZ29" s="1" t="s">
        <v>473</v>
      </c>
      <c r="CA29" s="1" t="s">
        <v>465</v>
      </c>
      <c r="CB29" s="1" t="s">
        <v>504</v>
      </c>
      <c r="CC29" s="1" t="s">
        <v>499</v>
      </c>
      <c r="CD29" s="1" t="s">
        <v>500</v>
      </c>
      <c r="CE29" s="1" t="s">
        <v>499</v>
      </c>
      <c r="CG29" s="1" t="s">
        <v>499</v>
      </c>
    </row>
    <row r="30" spans="1:85" x14ac:dyDescent="0.2">
      <c r="A30" s="1" t="s">
        <v>84</v>
      </c>
      <c r="B30" s="1" t="s">
        <v>129</v>
      </c>
      <c r="C30" s="1" t="e">
        <f>VLOOKUP(Tabelle58971115[[#This Row],[Prozess]],#REF!,3,FALSE)</f>
        <v>#REF!</v>
      </c>
      <c r="D30" s="1">
        <v>2010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7">
        <v>47.25</v>
      </c>
      <c r="K30" s="7">
        <v>90000</v>
      </c>
      <c r="L30" s="7">
        <v>525</v>
      </c>
      <c r="M30" s="18"/>
      <c r="N30" s="18">
        <v>931</v>
      </c>
      <c r="O30" s="18"/>
      <c r="P30" s="18"/>
      <c r="Q30" s="18"/>
      <c r="R30" s="18"/>
      <c r="S30" s="18"/>
      <c r="T30" s="18"/>
      <c r="U30" s="8">
        <v>0</v>
      </c>
      <c r="V30" s="8"/>
      <c r="W30" s="8">
        <v>1</v>
      </c>
      <c r="X30" s="8">
        <v>1</v>
      </c>
      <c r="Y30" s="8">
        <v>1</v>
      </c>
      <c r="Z30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0" s="8">
        <v>0.05</v>
      </c>
      <c r="AB30" s="19"/>
      <c r="AC30" s="18"/>
      <c r="AD30" s="8"/>
      <c r="AE30" s="18"/>
      <c r="AF30" s="41"/>
      <c r="AG30" s="41"/>
      <c r="AH30" s="41">
        <v>1</v>
      </c>
      <c r="AL30" s="1">
        <v>4</v>
      </c>
      <c r="AO30" s="1">
        <v>0</v>
      </c>
      <c r="AP30" s="1">
        <v>0</v>
      </c>
      <c r="AQ30" s="1">
        <v>0</v>
      </c>
      <c r="AR30" s="1">
        <v>0</v>
      </c>
      <c r="AS30" s="1">
        <v>24</v>
      </c>
      <c r="AT30" s="1" t="s">
        <v>371</v>
      </c>
      <c r="AU30" s="1" t="s">
        <v>277</v>
      </c>
      <c r="AV30" s="1">
        <f>24/4</f>
        <v>6</v>
      </c>
      <c r="AX30" s="1">
        <v>40</v>
      </c>
      <c r="AY30" s="18"/>
      <c r="AZ30" s="18"/>
      <c r="BA30" s="18">
        <v>0</v>
      </c>
      <c r="BB30" s="7"/>
      <c r="BC30" s="7">
        <f>1*10^3*Umrechnungsfaktoren!$B$15/Umrechnungsfaktoren!$B$11</f>
        <v>1043.21608040201</v>
      </c>
      <c r="BD30" s="7"/>
      <c r="BE30" s="7">
        <v>0</v>
      </c>
      <c r="BG30" s="6">
        <v>0.66</v>
      </c>
      <c r="BH30" s="1" t="s">
        <v>382</v>
      </c>
      <c r="BI30" s="1" t="s">
        <v>479</v>
      </c>
      <c r="BJ30" s="1" t="s">
        <v>479</v>
      </c>
      <c r="BK30" s="1" t="s">
        <v>479</v>
      </c>
      <c r="BL30" s="1" t="s">
        <v>1066</v>
      </c>
      <c r="BM30" s="12" t="s">
        <v>476</v>
      </c>
      <c r="BN30" s="12" t="s">
        <v>477</v>
      </c>
      <c r="BO30" s="12"/>
      <c r="BP30" s="12" t="s">
        <v>467</v>
      </c>
      <c r="BQ30" s="12" t="s">
        <v>467</v>
      </c>
      <c r="BR30" s="12" t="s">
        <v>467</v>
      </c>
      <c r="BS30" s="12"/>
      <c r="BU30" s="12"/>
      <c r="BV30" s="12" t="s">
        <v>496</v>
      </c>
      <c r="BW30" s="12"/>
      <c r="BX30" s="1" t="s">
        <v>475</v>
      </c>
      <c r="BY30" s="1" t="s">
        <v>465</v>
      </c>
      <c r="BZ30" s="1" t="s">
        <v>473</v>
      </c>
      <c r="CA30" s="1" t="s">
        <v>465</v>
      </c>
      <c r="CB30" s="1" t="s">
        <v>502</v>
      </c>
      <c r="CC30" s="1" t="s">
        <v>499</v>
      </c>
      <c r="CD30" s="1" t="s">
        <v>500</v>
      </c>
      <c r="CE30" s="1" t="s">
        <v>499</v>
      </c>
      <c r="CG30" s="1" t="s">
        <v>499</v>
      </c>
    </row>
    <row r="31" spans="1:85" x14ac:dyDescent="0.2">
      <c r="A31" s="1" t="s">
        <v>84</v>
      </c>
      <c r="B31" s="1" t="s">
        <v>129</v>
      </c>
      <c r="C31" s="1" t="e">
        <f>VLOOKUP(Tabelle58971115[[#This Row],[Prozess]],#REF!,3,FALSE)</f>
        <v>#REF!</v>
      </c>
      <c r="D31" s="1">
        <v>2020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7">
        <v>47.238188828817592</v>
      </c>
      <c r="K31" s="7"/>
      <c r="L31" s="7"/>
      <c r="M31" s="18"/>
      <c r="N31" s="18">
        <v>1173</v>
      </c>
      <c r="O31" s="18"/>
      <c r="P31" s="18"/>
      <c r="Q31" s="18"/>
      <c r="R31" s="18"/>
      <c r="S31" s="18"/>
      <c r="T31" s="18"/>
      <c r="U31" s="8">
        <v>0</v>
      </c>
      <c r="V31" s="8"/>
      <c r="W31" s="8">
        <v>1</v>
      </c>
      <c r="X31" s="8">
        <v>1</v>
      </c>
      <c r="Y31" s="8">
        <v>1</v>
      </c>
      <c r="Z31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1" s="8">
        <v>0.05</v>
      </c>
      <c r="AB31" s="19"/>
      <c r="AC31" s="18"/>
      <c r="AD31" s="8"/>
      <c r="AE31" s="18"/>
      <c r="AF31" s="41"/>
      <c r="AG31" s="41"/>
      <c r="AH31" s="41">
        <v>1</v>
      </c>
      <c r="AL31" s="1">
        <v>4</v>
      </c>
      <c r="AO31" s="1">
        <v>0</v>
      </c>
      <c r="AP31" s="1">
        <v>0</v>
      </c>
      <c r="AQ31" s="1">
        <v>0</v>
      </c>
      <c r="AR31" s="1">
        <v>0</v>
      </c>
      <c r="AS31" s="1">
        <v>24</v>
      </c>
      <c r="AT31" s="1" t="s">
        <v>371</v>
      </c>
      <c r="AU31" s="1" t="s">
        <v>277</v>
      </c>
      <c r="AV31" s="1">
        <f>24/4</f>
        <v>6</v>
      </c>
      <c r="AX31" s="1">
        <v>40</v>
      </c>
      <c r="AY31" s="18"/>
      <c r="AZ31" s="18"/>
      <c r="BA31" s="18">
        <v>0</v>
      </c>
      <c r="BB31" s="7"/>
      <c r="BC31" s="7">
        <f>1*10^3*Umrechnungsfaktoren!$B$15/Umrechnungsfaktoren!$B$11</f>
        <v>1043.21608040201</v>
      </c>
      <c r="BD31" s="7"/>
      <c r="BE31" s="7">
        <v>0</v>
      </c>
      <c r="BG31" s="6">
        <v>0.66</v>
      </c>
      <c r="BH31" s="1" t="s">
        <v>382</v>
      </c>
      <c r="BI31" s="1" t="s">
        <v>479</v>
      </c>
      <c r="BJ31" s="1" t="s">
        <v>479</v>
      </c>
      <c r="BK31" s="1" t="s">
        <v>479</v>
      </c>
      <c r="BL31" s="1" t="s">
        <v>466</v>
      </c>
      <c r="BM31" s="12" t="s">
        <v>470</v>
      </c>
      <c r="BN31" s="12" t="s">
        <v>470</v>
      </c>
      <c r="BO31" s="12"/>
      <c r="BP31" s="12" t="s">
        <v>467</v>
      </c>
      <c r="BQ31" s="12" t="s">
        <v>467</v>
      </c>
      <c r="BR31" s="12" t="s">
        <v>467</v>
      </c>
      <c r="BS31" s="12"/>
      <c r="BU31" s="12"/>
      <c r="BV31" s="12" t="s">
        <v>496</v>
      </c>
      <c r="BW31" s="12"/>
      <c r="BX31" s="1" t="s">
        <v>475</v>
      </c>
      <c r="BY31" s="1" t="s">
        <v>465</v>
      </c>
      <c r="BZ31" s="1" t="s">
        <v>473</v>
      </c>
      <c r="CA31" s="1" t="s">
        <v>465</v>
      </c>
      <c r="CB31" s="1" t="s">
        <v>502</v>
      </c>
      <c r="CC31" s="1" t="s">
        <v>499</v>
      </c>
      <c r="CD31" s="1" t="s">
        <v>500</v>
      </c>
      <c r="CE31" s="1" t="s">
        <v>499</v>
      </c>
      <c r="CG31" s="1" t="s">
        <v>499</v>
      </c>
    </row>
    <row r="32" spans="1:85" x14ac:dyDescent="0.2">
      <c r="A32" s="1" t="s">
        <v>84</v>
      </c>
      <c r="B32" s="1" t="s">
        <v>129</v>
      </c>
      <c r="C32" s="1" t="e">
        <f>VLOOKUP(Tabelle58971115[[#This Row],[Prozess]],#REF!,3,FALSE)</f>
        <v>#REF!</v>
      </c>
      <c r="D32" s="1">
        <v>2030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7">
        <v>47.226380610095823</v>
      </c>
      <c r="K32" s="7"/>
      <c r="L32" s="7"/>
      <c r="M32" s="18"/>
      <c r="N32" s="18">
        <v>1448</v>
      </c>
      <c r="O32" s="18"/>
      <c r="P32" s="18"/>
      <c r="Q32" s="18"/>
      <c r="R32" s="18"/>
      <c r="S32" s="18"/>
      <c r="T32" s="18"/>
      <c r="U32" s="8">
        <v>0</v>
      </c>
      <c r="V32" s="8"/>
      <c r="W32" s="8">
        <v>1</v>
      </c>
      <c r="X32" s="8">
        <v>1</v>
      </c>
      <c r="Y32" s="8">
        <v>1</v>
      </c>
      <c r="Z32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2" s="8">
        <v>0.05</v>
      </c>
      <c r="AB32" s="19"/>
      <c r="AC32" s="18"/>
      <c r="AD32" s="8"/>
      <c r="AE32" s="18"/>
      <c r="AF32" s="41"/>
      <c r="AG32" s="41"/>
      <c r="AH32" s="41">
        <v>1</v>
      </c>
      <c r="AL32" s="1">
        <v>4</v>
      </c>
      <c r="AO32" s="1">
        <v>0</v>
      </c>
      <c r="AP32" s="1">
        <v>0</v>
      </c>
      <c r="AQ32" s="1">
        <v>0</v>
      </c>
      <c r="AR32" s="1">
        <v>0</v>
      </c>
      <c r="AS32" s="1">
        <v>24</v>
      </c>
      <c r="AT32" s="1" t="s">
        <v>371</v>
      </c>
      <c r="AU32" s="1" t="s">
        <v>277</v>
      </c>
      <c r="AV32" s="1">
        <f>24/4</f>
        <v>6</v>
      </c>
      <c r="AX32" s="1">
        <v>40</v>
      </c>
      <c r="AY32" s="18"/>
      <c r="AZ32" s="18"/>
      <c r="BA32" s="18">
        <v>0</v>
      </c>
      <c r="BB32" s="7"/>
      <c r="BC32" s="7">
        <f>1*10^3*Umrechnungsfaktoren!$B$15/Umrechnungsfaktoren!$B$11</f>
        <v>1043.21608040201</v>
      </c>
      <c r="BD32" s="7"/>
      <c r="BE32" s="7">
        <v>0</v>
      </c>
      <c r="BG32" s="6">
        <v>0.66</v>
      </c>
      <c r="BH32" s="1" t="s">
        <v>382</v>
      </c>
      <c r="BI32" s="1" t="s">
        <v>479</v>
      </c>
      <c r="BJ32" s="1" t="s">
        <v>479</v>
      </c>
      <c r="BK32" s="1" t="s">
        <v>479</v>
      </c>
      <c r="BL32" s="1" t="s">
        <v>466</v>
      </c>
      <c r="BM32" s="12" t="s">
        <v>471</v>
      </c>
      <c r="BN32" s="12" t="s">
        <v>471</v>
      </c>
      <c r="BO32" s="12"/>
      <c r="BP32" s="12" t="s">
        <v>467</v>
      </c>
      <c r="BQ32" s="12" t="s">
        <v>467</v>
      </c>
      <c r="BR32" s="12" t="s">
        <v>467</v>
      </c>
      <c r="BS32" s="12"/>
      <c r="BU32" s="12"/>
      <c r="BV32" s="12" t="s">
        <v>496</v>
      </c>
      <c r="BW32" s="12"/>
      <c r="BX32" s="1" t="s">
        <v>475</v>
      </c>
      <c r="BY32" s="1" t="s">
        <v>465</v>
      </c>
      <c r="BZ32" s="1" t="s">
        <v>473</v>
      </c>
      <c r="CA32" s="1" t="s">
        <v>465</v>
      </c>
      <c r="CB32" s="1" t="s">
        <v>502</v>
      </c>
      <c r="CC32" s="1" t="s">
        <v>499</v>
      </c>
      <c r="CD32" s="1" t="s">
        <v>500</v>
      </c>
      <c r="CE32" s="1" t="s">
        <v>499</v>
      </c>
      <c r="CG32" s="1" t="s">
        <v>499</v>
      </c>
    </row>
    <row r="33" spans="1:85" x14ac:dyDescent="0.2">
      <c r="A33" s="1" t="s">
        <v>84</v>
      </c>
      <c r="B33" s="1" t="s">
        <v>129</v>
      </c>
      <c r="C33" s="1" t="e">
        <f>VLOOKUP(Tabelle58971115[[#This Row],[Prozess]],#REF!,3,FALSE)</f>
        <v>#REF!</v>
      </c>
      <c r="D33" s="1">
        <v>2050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7">
        <v>47.202773027082209</v>
      </c>
      <c r="K33" s="7"/>
      <c r="L33" s="7"/>
      <c r="M33" s="18"/>
      <c r="N33" s="18">
        <v>1967</v>
      </c>
      <c r="O33" s="18"/>
      <c r="P33" s="18"/>
      <c r="Q33" s="18"/>
      <c r="R33" s="18"/>
      <c r="S33" s="18"/>
      <c r="T33" s="18"/>
      <c r="U33" s="8">
        <v>0</v>
      </c>
      <c r="V33" s="8"/>
      <c r="W33" s="8">
        <v>1</v>
      </c>
      <c r="X33" s="8">
        <v>1</v>
      </c>
      <c r="Y33" s="8">
        <v>1</v>
      </c>
      <c r="Z33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0.95</v>
      </c>
      <c r="AA33" s="8">
        <v>0.05</v>
      </c>
      <c r="AB33" s="19"/>
      <c r="AC33" s="18"/>
      <c r="AD33" s="8"/>
      <c r="AE33" s="18"/>
      <c r="AF33" s="41"/>
      <c r="AG33" s="41"/>
      <c r="AH33" s="41">
        <v>1</v>
      </c>
      <c r="AL33" s="1">
        <v>4</v>
      </c>
      <c r="AO33" s="1">
        <v>0</v>
      </c>
      <c r="AP33" s="1">
        <v>0</v>
      </c>
      <c r="AQ33" s="1">
        <v>0</v>
      </c>
      <c r="AR33" s="1">
        <v>0</v>
      </c>
      <c r="AS33" s="1">
        <v>24</v>
      </c>
      <c r="AT33" s="1" t="s">
        <v>371</v>
      </c>
      <c r="AU33" s="1" t="s">
        <v>277</v>
      </c>
      <c r="AV33" s="1">
        <f>24/4</f>
        <v>6</v>
      </c>
      <c r="AX33" s="1">
        <v>40</v>
      </c>
      <c r="AY33" s="18"/>
      <c r="AZ33" s="18"/>
      <c r="BA33" s="18">
        <v>0</v>
      </c>
      <c r="BB33" s="7"/>
      <c r="BC33" s="7">
        <f>1*10^3*Umrechnungsfaktoren!$B$15/Umrechnungsfaktoren!$B$11</f>
        <v>1043.21608040201</v>
      </c>
      <c r="BD33" s="7"/>
      <c r="BE33" s="7">
        <v>0</v>
      </c>
      <c r="BG33" s="6">
        <v>0.66</v>
      </c>
      <c r="BH33" s="1" t="s">
        <v>382</v>
      </c>
      <c r="BI33" s="1" t="s">
        <v>479</v>
      </c>
      <c r="BJ33" s="1" t="s">
        <v>479</v>
      </c>
      <c r="BK33" s="1" t="s">
        <v>479</v>
      </c>
      <c r="BL33" s="1" t="s">
        <v>466</v>
      </c>
      <c r="BM33" s="12" t="s">
        <v>472</v>
      </c>
      <c r="BN33" s="12" t="s">
        <v>472</v>
      </c>
      <c r="BO33" s="12"/>
      <c r="BP33" s="12" t="s">
        <v>467</v>
      </c>
      <c r="BQ33" s="12" t="s">
        <v>467</v>
      </c>
      <c r="BR33" s="12" t="s">
        <v>467</v>
      </c>
      <c r="BS33" s="12"/>
      <c r="BU33" s="12"/>
      <c r="BV33" s="12" t="s">
        <v>496</v>
      </c>
      <c r="BW33" s="12"/>
      <c r="BX33" s="1" t="s">
        <v>475</v>
      </c>
      <c r="BY33" s="1" t="s">
        <v>465</v>
      </c>
      <c r="BZ33" s="1" t="s">
        <v>473</v>
      </c>
      <c r="CA33" s="1" t="s">
        <v>465</v>
      </c>
      <c r="CB33" s="1" t="s">
        <v>502</v>
      </c>
      <c r="CC33" s="1" t="s">
        <v>499</v>
      </c>
      <c r="CD33" s="1" t="s">
        <v>500</v>
      </c>
      <c r="CE33" s="1" t="s">
        <v>499</v>
      </c>
      <c r="CG33" s="1" t="s">
        <v>499</v>
      </c>
    </row>
    <row r="34" spans="1:85" x14ac:dyDescent="0.2">
      <c r="A34" s="1" t="s">
        <v>880</v>
      </c>
      <c r="B34" s="1" t="s">
        <v>129</v>
      </c>
      <c r="C34" s="1" t="e">
        <f>VLOOKUP(Tabelle58971115[[#This Row],[Prozess]],#REF!,3,FALSE)</f>
        <v>#REF!</v>
      </c>
      <c r="D34" s="1">
        <v>2010</v>
      </c>
      <c r="E34" s="1">
        <v>1</v>
      </c>
      <c r="F34" s="1">
        <v>0</v>
      </c>
      <c r="G34" s="1">
        <v>0</v>
      </c>
      <c r="H34" s="1">
        <v>1</v>
      </c>
      <c r="I34" s="1">
        <v>1</v>
      </c>
      <c r="J34" s="7">
        <v>37.18</v>
      </c>
      <c r="K34" s="7">
        <v>338000</v>
      </c>
      <c r="L34" s="7">
        <v>110</v>
      </c>
      <c r="M34" s="18"/>
      <c r="N34" s="18">
        <v>422</v>
      </c>
      <c r="O34" s="18"/>
      <c r="P34" s="18"/>
      <c r="Q34" s="18"/>
      <c r="R34" s="18">
        <v>105</v>
      </c>
      <c r="S34" s="18"/>
      <c r="T34" s="18"/>
      <c r="U34" s="8">
        <v>0.5</v>
      </c>
      <c r="V34" s="8"/>
      <c r="W34" s="8">
        <v>0.5</v>
      </c>
      <c r="X34" s="8">
        <v>1</v>
      </c>
      <c r="Y34" s="8">
        <v>0.8</v>
      </c>
      <c r="Z34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4" s="8">
        <v>0.05</v>
      </c>
      <c r="AB34" s="19"/>
      <c r="AC34" s="18"/>
      <c r="AD34" s="8"/>
      <c r="AE34" s="18"/>
      <c r="AF34" s="41"/>
      <c r="AG34" s="41"/>
      <c r="AH34" s="41">
        <v>0.99</v>
      </c>
      <c r="AL34" s="1">
        <v>3</v>
      </c>
      <c r="AO34" s="1">
        <v>3</v>
      </c>
      <c r="AP34" s="1">
        <v>4</v>
      </c>
      <c r="AQ34" s="1">
        <v>36</v>
      </c>
      <c r="AR34" s="1">
        <v>24</v>
      </c>
      <c r="AS34" s="1">
        <v>24</v>
      </c>
      <c r="AT34" s="1" t="s">
        <v>478</v>
      </c>
      <c r="AU34" s="1" t="s">
        <v>277</v>
      </c>
      <c r="AV34" s="1">
        <f t="shared" ref="AV34:AV45" si="2">24/3</f>
        <v>8</v>
      </c>
      <c r="AX34" s="1">
        <v>365</v>
      </c>
      <c r="AY34" s="18"/>
      <c r="AZ34" s="18"/>
      <c r="BA34" s="7">
        <f>0*10^3*Umrechnungsfaktoren!$B$15/Umrechnungsfaktoren!$B$12</f>
        <v>0</v>
      </c>
      <c r="BB34" s="7"/>
      <c r="BC34" s="7">
        <f>150*Umrechnungsfaktoren!$B$15/Umrechnungsfaktoren!$B$12</f>
        <v>155.69999999999999</v>
      </c>
      <c r="BD34" s="7"/>
      <c r="BE34" s="7">
        <f>Tabelle58971115[[#This Row],[Investitionsausgaben €_2018/kW]]</f>
        <v>0</v>
      </c>
      <c r="BG34" s="6">
        <v>0.44</v>
      </c>
      <c r="BH34" s="1" t="s">
        <v>383</v>
      </c>
      <c r="BI34" s="1" t="s">
        <v>479</v>
      </c>
      <c r="BJ34" s="1" t="s">
        <v>479</v>
      </c>
      <c r="BK34" s="1" t="s">
        <v>479</v>
      </c>
      <c r="BL34" s="1" t="s">
        <v>1066</v>
      </c>
      <c r="BM34" s="12" t="s">
        <v>476</v>
      </c>
      <c r="BN34" s="12" t="s">
        <v>477</v>
      </c>
      <c r="BO34" s="12"/>
      <c r="BP34" s="12" t="s">
        <v>467</v>
      </c>
      <c r="BQ34" s="12" t="s">
        <v>467</v>
      </c>
      <c r="BR34" s="12" t="s">
        <v>467</v>
      </c>
      <c r="BS34" s="12"/>
      <c r="BU34" s="12"/>
      <c r="BV34" s="12" t="s">
        <v>496</v>
      </c>
      <c r="BW34" s="12"/>
      <c r="BX34" s="1" t="s">
        <v>475</v>
      </c>
      <c r="BY34" s="1" t="s">
        <v>474</v>
      </c>
      <c r="BZ34" s="1" t="s">
        <v>473</v>
      </c>
      <c r="CA34" s="1" t="s">
        <v>479</v>
      </c>
      <c r="CB34" s="1" t="s">
        <v>505</v>
      </c>
      <c r="CC34" s="1" t="s">
        <v>499</v>
      </c>
      <c r="CD34" s="1" t="s">
        <v>500</v>
      </c>
      <c r="CE34" s="1" t="s">
        <v>499</v>
      </c>
      <c r="CG34" s="1" t="s">
        <v>499</v>
      </c>
    </row>
    <row r="35" spans="1:85" x14ac:dyDescent="0.2">
      <c r="A35" s="1" t="s">
        <v>880</v>
      </c>
      <c r="B35" s="1" t="s">
        <v>129</v>
      </c>
      <c r="C35" s="1" t="e">
        <f>VLOOKUP(Tabelle58971115[[#This Row],[Prozess]],#REF!,3,FALSE)</f>
        <v>#REF!</v>
      </c>
      <c r="D35" s="1">
        <v>2020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7">
        <v>35.362274650717403</v>
      </c>
      <c r="K35" s="7"/>
      <c r="L35" s="7"/>
      <c r="M35" s="18"/>
      <c r="N35" s="18">
        <v>397</v>
      </c>
      <c r="O35" s="18"/>
      <c r="P35" s="18"/>
      <c r="Q35" s="18"/>
      <c r="R35" s="18">
        <v>99</v>
      </c>
      <c r="S35" s="18"/>
      <c r="T35" s="18"/>
      <c r="U35" s="8">
        <v>0.5</v>
      </c>
      <c r="V35" s="8"/>
      <c r="W35" s="8">
        <v>0.5</v>
      </c>
      <c r="X35" s="8">
        <v>1</v>
      </c>
      <c r="Y35" s="8">
        <v>0.8</v>
      </c>
      <c r="Z35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5" s="8">
        <v>0.05</v>
      </c>
      <c r="AB35" s="19"/>
      <c r="AC35" s="18"/>
      <c r="AD35" s="8"/>
      <c r="AE35" s="18"/>
      <c r="AF35" s="41"/>
      <c r="AG35" s="41"/>
      <c r="AH35" s="41">
        <v>0.99</v>
      </c>
      <c r="AL35" s="1">
        <v>3</v>
      </c>
      <c r="AO35" s="1">
        <v>3</v>
      </c>
      <c r="AP35" s="1">
        <v>4</v>
      </c>
      <c r="AQ35" s="1">
        <v>36</v>
      </c>
      <c r="AR35" s="1">
        <v>24</v>
      </c>
      <c r="AS35" s="1">
        <v>24</v>
      </c>
      <c r="AT35" s="1" t="s">
        <v>478</v>
      </c>
      <c r="AU35" s="1" t="s">
        <v>277</v>
      </c>
      <c r="AV35" s="1">
        <f t="shared" si="2"/>
        <v>8</v>
      </c>
      <c r="AX35" s="1">
        <v>365</v>
      </c>
      <c r="AY35" s="18"/>
      <c r="AZ35" s="18"/>
      <c r="BA35" s="7">
        <f>0*10^3*Umrechnungsfaktoren!$B$15/Umrechnungsfaktoren!$B$12</f>
        <v>0</v>
      </c>
      <c r="BB35" s="7"/>
      <c r="BC35" s="7">
        <f>150*Umrechnungsfaktoren!$B$15/Umrechnungsfaktoren!$B$12</f>
        <v>155.69999999999999</v>
      </c>
      <c r="BD35" s="7"/>
      <c r="BE35" s="7">
        <f>Tabelle58971115[[#This Row],[Investitionsausgaben €_2018/kW]]</f>
        <v>0</v>
      </c>
      <c r="BG35" s="6">
        <v>0.44</v>
      </c>
      <c r="BH35" s="1" t="s">
        <v>383</v>
      </c>
      <c r="BI35" s="1" t="s">
        <v>479</v>
      </c>
      <c r="BJ35" s="1" t="s">
        <v>479</v>
      </c>
      <c r="BK35" s="1" t="s">
        <v>479</v>
      </c>
      <c r="BL35" s="1" t="s">
        <v>466</v>
      </c>
      <c r="BM35" s="12" t="s">
        <v>470</v>
      </c>
      <c r="BN35" s="12" t="s">
        <v>470</v>
      </c>
      <c r="BO35" s="12"/>
      <c r="BP35" s="12" t="s">
        <v>467</v>
      </c>
      <c r="BQ35" s="12" t="s">
        <v>467</v>
      </c>
      <c r="BR35" s="12" t="s">
        <v>467</v>
      </c>
      <c r="BS35" s="12"/>
      <c r="BU35" s="12"/>
      <c r="BV35" s="12" t="s">
        <v>496</v>
      </c>
      <c r="BW35" s="12"/>
      <c r="BX35" s="1" t="s">
        <v>475</v>
      </c>
      <c r="BY35" s="1" t="s">
        <v>474</v>
      </c>
      <c r="BZ35" s="1" t="s">
        <v>473</v>
      </c>
      <c r="CA35" s="1" t="s">
        <v>479</v>
      </c>
      <c r="CB35" s="1" t="s">
        <v>505</v>
      </c>
      <c r="CC35" s="1" t="s">
        <v>499</v>
      </c>
      <c r="CD35" s="1" t="s">
        <v>500</v>
      </c>
      <c r="CE35" s="1" t="s">
        <v>499</v>
      </c>
      <c r="CG35" s="1" t="s">
        <v>499</v>
      </c>
    </row>
    <row r="36" spans="1:85" x14ac:dyDescent="0.2">
      <c r="A36" s="1" t="s">
        <v>880</v>
      </c>
      <c r="B36" s="1" t="s">
        <v>129</v>
      </c>
      <c r="C36" s="1" t="e">
        <f>VLOOKUP(Tabelle58971115[[#This Row],[Prozess]],#REF!,3,FALSE)</f>
        <v>#REF!</v>
      </c>
      <c r="D36" s="1">
        <v>2030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7">
        <v>33.633417656610291</v>
      </c>
      <c r="K36" s="7"/>
      <c r="L36" s="7"/>
      <c r="M36" s="18"/>
      <c r="N36" s="18">
        <v>378</v>
      </c>
      <c r="O36" s="18"/>
      <c r="P36" s="18"/>
      <c r="Q36" s="18"/>
      <c r="R36" s="18">
        <v>94</v>
      </c>
      <c r="S36" s="18"/>
      <c r="T36" s="18"/>
      <c r="U36" s="8">
        <v>0.5</v>
      </c>
      <c r="V36" s="8"/>
      <c r="W36" s="8">
        <v>0.5</v>
      </c>
      <c r="X36" s="8">
        <v>1</v>
      </c>
      <c r="Y36" s="8">
        <v>0.8</v>
      </c>
      <c r="Z36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6" s="8">
        <v>0.05</v>
      </c>
      <c r="AB36" s="19"/>
      <c r="AC36" s="18"/>
      <c r="AD36" s="8"/>
      <c r="AE36" s="18"/>
      <c r="AF36" s="41"/>
      <c r="AG36" s="41"/>
      <c r="AH36" s="41">
        <v>0.99</v>
      </c>
      <c r="AL36" s="1">
        <v>3</v>
      </c>
      <c r="AO36" s="1">
        <v>3</v>
      </c>
      <c r="AP36" s="1">
        <v>4</v>
      </c>
      <c r="AQ36" s="1">
        <v>36</v>
      </c>
      <c r="AR36" s="1">
        <v>24</v>
      </c>
      <c r="AS36" s="1">
        <v>24</v>
      </c>
      <c r="AT36" s="1" t="s">
        <v>478</v>
      </c>
      <c r="AU36" s="1" t="s">
        <v>277</v>
      </c>
      <c r="AV36" s="1">
        <f t="shared" si="2"/>
        <v>8</v>
      </c>
      <c r="AX36" s="1">
        <v>365</v>
      </c>
      <c r="AY36" s="18"/>
      <c r="AZ36" s="18"/>
      <c r="BA36" s="7">
        <f>0*10^3*Umrechnungsfaktoren!$B$15/Umrechnungsfaktoren!$B$12</f>
        <v>0</v>
      </c>
      <c r="BB36" s="7"/>
      <c r="BC36" s="7">
        <f>150*Umrechnungsfaktoren!$B$15/Umrechnungsfaktoren!$B$12</f>
        <v>155.69999999999999</v>
      </c>
      <c r="BD36" s="7"/>
      <c r="BE36" s="7">
        <f>Tabelle58971115[[#This Row],[Investitionsausgaben €_2018/kW]]</f>
        <v>0</v>
      </c>
      <c r="BG36" s="6">
        <v>0.44</v>
      </c>
      <c r="BH36" s="1" t="s">
        <v>383</v>
      </c>
      <c r="BI36" s="1" t="s">
        <v>479</v>
      </c>
      <c r="BJ36" s="1" t="s">
        <v>479</v>
      </c>
      <c r="BK36" s="1" t="s">
        <v>479</v>
      </c>
      <c r="BL36" s="1" t="s">
        <v>466</v>
      </c>
      <c r="BM36" s="12" t="s">
        <v>471</v>
      </c>
      <c r="BN36" s="12" t="s">
        <v>471</v>
      </c>
      <c r="BO36" s="12"/>
      <c r="BP36" s="12" t="s">
        <v>467</v>
      </c>
      <c r="BQ36" s="12" t="s">
        <v>467</v>
      </c>
      <c r="BR36" s="12" t="s">
        <v>467</v>
      </c>
      <c r="BS36" s="12"/>
      <c r="BU36" s="12"/>
      <c r="BV36" s="12" t="s">
        <v>496</v>
      </c>
      <c r="BW36" s="12"/>
      <c r="BX36" s="1" t="s">
        <v>475</v>
      </c>
      <c r="BY36" s="1" t="s">
        <v>474</v>
      </c>
      <c r="BZ36" s="1" t="s">
        <v>473</v>
      </c>
      <c r="CA36" s="1" t="s">
        <v>479</v>
      </c>
      <c r="CB36" s="1" t="s">
        <v>505</v>
      </c>
      <c r="CC36" s="1" t="s">
        <v>499</v>
      </c>
      <c r="CD36" s="1" t="s">
        <v>500</v>
      </c>
      <c r="CE36" s="1" t="s">
        <v>499</v>
      </c>
      <c r="CG36" s="1" t="s">
        <v>499</v>
      </c>
    </row>
    <row r="37" spans="1:85" x14ac:dyDescent="0.2">
      <c r="A37" s="1" t="s">
        <v>880</v>
      </c>
      <c r="B37" s="1" t="s">
        <v>129</v>
      </c>
      <c r="C37" s="1" t="e">
        <f>VLOOKUP(Tabelle58971115[[#This Row],[Prozess]],#REF!,3,FALSE)</f>
        <v>#REF!</v>
      </c>
      <c r="D37" s="1">
        <v>2050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7">
        <v>30.425142099623045</v>
      </c>
      <c r="K37" s="7"/>
      <c r="L37" s="7"/>
      <c r="M37" s="18"/>
      <c r="N37" s="18">
        <v>342</v>
      </c>
      <c r="O37" s="18"/>
      <c r="P37" s="18"/>
      <c r="Q37" s="18"/>
      <c r="R37" s="18">
        <v>85</v>
      </c>
      <c r="S37" s="18"/>
      <c r="T37" s="18"/>
      <c r="U37" s="8">
        <v>0.5</v>
      </c>
      <c r="V37" s="8"/>
      <c r="W37" s="8">
        <v>0.5</v>
      </c>
      <c r="X37" s="8">
        <v>1</v>
      </c>
      <c r="Y37" s="8">
        <v>0.8</v>
      </c>
      <c r="Z37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7" s="8">
        <v>0.05</v>
      </c>
      <c r="AB37" s="19"/>
      <c r="AC37" s="18"/>
      <c r="AD37" s="8"/>
      <c r="AE37" s="18"/>
      <c r="AF37" s="41"/>
      <c r="AG37" s="41"/>
      <c r="AH37" s="41">
        <v>0.99</v>
      </c>
      <c r="AL37" s="1">
        <v>3</v>
      </c>
      <c r="AO37" s="1">
        <v>3</v>
      </c>
      <c r="AP37" s="1">
        <v>4</v>
      </c>
      <c r="AQ37" s="1">
        <v>36</v>
      </c>
      <c r="AR37" s="1">
        <v>24</v>
      </c>
      <c r="AS37" s="1">
        <v>24</v>
      </c>
      <c r="AT37" s="1" t="s">
        <v>478</v>
      </c>
      <c r="AU37" s="1" t="s">
        <v>277</v>
      </c>
      <c r="AV37" s="1">
        <f t="shared" si="2"/>
        <v>8</v>
      </c>
      <c r="AX37" s="1">
        <v>365</v>
      </c>
      <c r="AY37" s="18"/>
      <c r="AZ37" s="18"/>
      <c r="BA37" s="7">
        <f>0*10^3*Umrechnungsfaktoren!$B$15/Umrechnungsfaktoren!$B$12</f>
        <v>0</v>
      </c>
      <c r="BB37" s="7"/>
      <c r="BC37" s="7">
        <f>150*Umrechnungsfaktoren!$B$15/Umrechnungsfaktoren!$B$12</f>
        <v>155.69999999999999</v>
      </c>
      <c r="BD37" s="7"/>
      <c r="BE37" s="7">
        <f>Tabelle58971115[[#This Row],[Investitionsausgaben €_2018/kW]]</f>
        <v>0</v>
      </c>
      <c r="BG37" s="6">
        <v>0.44</v>
      </c>
      <c r="BH37" s="1" t="s">
        <v>383</v>
      </c>
      <c r="BI37" s="1" t="s">
        <v>479</v>
      </c>
      <c r="BJ37" s="1" t="s">
        <v>479</v>
      </c>
      <c r="BK37" s="1" t="s">
        <v>479</v>
      </c>
      <c r="BL37" s="1" t="s">
        <v>466</v>
      </c>
      <c r="BM37" s="12" t="s">
        <v>472</v>
      </c>
      <c r="BN37" s="12" t="s">
        <v>472</v>
      </c>
      <c r="BO37" s="12"/>
      <c r="BP37" s="12" t="s">
        <v>467</v>
      </c>
      <c r="BQ37" s="12" t="s">
        <v>467</v>
      </c>
      <c r="BR37" s="12" t="s">
        <v>467</v>
      </c>
      <c r="BS37" s="12"/>
      <c r="BU37" s="12"/>
      <c r="BV37" s="12" t="s">
        <v>496</v>
      </c>
      <c r="BW37" s="12"/>
      <c r="BX37" s="1" t="s">
        <v>475</v>
      </c>
      <c r="BY37" s="1" t="s">
        <v>474</v>
      </c>
      <c r="BZ37" s="1" t="s">
        <v>473</v>
      </c>
      <c r="CA37" s="1" t="s">
        <v>479</v>
      </c>
      <c r="CB37" s="1" t="s">
        <v>505</v>
      </c>
      <c r="CC37" s="1" t="s">
        <v>499</v>
      </c>
      <c r="CD37" s="1" t="s">
        <v>500</v>
      </c>
      <c r="CE37" s="1" t="s">
        <v>499</v>
      </c>
      <c r="CG37" s="1" t="s">
        <v>499</v>
      </c>
    </row>
    <row r="38" spans="1:85" x14ac:dyDescent="0.2">
      <c r="A38" s="1" t="s">
        <v>373</v>
      </c>
      <c r="B38" s="1" t="s">
        <v>129</v>
      </c>
      <c r="C38" s="1" t="e">
        <f>VLOOKUP(Tabelle58971115[[#This Row],[Prozess]],#REF!,3,FALSE)</f>
        <v>#REF!</v>
      </c>
      <c r="D38" s="1">
        <v>2010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7">
        <v>1.24</v>
      </c>
      <c r="K38" s="7">
        <v>400</v>
      </c>
      <c r="L38" s="7">
        <v>3100</v>
      </c>
      <c r="M38" s="18"/>
      <c r="N38" s="18">
        <v>12</v>
      </c>
      <c r="O38" s="18"/>
      <c r="P38" s="18"/>
      <c r="Q38" s="18"/>
      <c r="R38" s="18">
        <v>14</v>
      </c>
      <c r="S38" s="18"/>
      <c r="T38" s="18"/>
      <c r="U38" s="8">
        <v>0</v>
      </c>
      <c r="V38" s="8"/>
      <c r="W38" s="8">
        <v>1</v>
      </c>
      <c r="X38" s="8">
        <v>1</v>
      </c>
      <c r="Y38" s="8">
        <v>0.8</v>
      </c>
      <c r="Z38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8" s="8">
        <v>0.05</v>
      </c>
      <c r="AB38" s="19"/>
      <c r="AC38" s="18"/>
      <c r="AD38" s="8"/>
      <c r="AE38" s="18"/>
      <c r="AF38" s="41"/>
      <c r="AG38" s="41"/>
      <c r="AH38" s="41">
        <v>0.99</v>
      </c>
      <c r="AL38" s="1">
        <v>3</v>
      </c>
      <c r="AO38" s="1">
        <v>3</v>
      </c>
      <c r="AP38" s="1">
        <v>4</v>
      </c>
      <c r="AQ38" s="1">
        <v>36</v>
      </c>
      <c r="AR38" s="1">
        <v>24</v>
      </c>
      <c r="AS38" s="1">
        <v>24</v>
      </c>
      <c r="AT38" s="1" t="s">
        <v>371</v>
      </c>
      <c r="AU38" s="1" t="s">
        <v>277</v>
      </c>
      <c r="AV38" s="1">
        <f t="shared" si="2"/>
        <v>8</v>
      </c>
      <c r="AX38" s="1">
        <v>365</v>
      </c>
      <c r="AY38" s="18"/>
      <c r="AZ38" s="18"/>
      <c r="BA38" s="7">
        <f>0*10^3*Umrechnungsfaktoren!$B$15/Umrechnungsfaktoren!$B$12</f>
        <v>0</v>
      </c>
      <c r="BB38" s="7"/>
      <c r="BC38" s="7">
        <f>150*Umrechnungsfaktoren!$B$15/Umrechnungsfaktoren!$B$12</f>
        <v>155.69999999999999</v>
      </c>
      <c r="BD38" s="7"/>
      <c r="BE38" s="7">
        <f>Tabelle58971115[[#This Row],[Investitionsausgaben €_2018/kW]]</f>
        <v>0</v>
      </c>
      <c r="BG38" s="6">
        <v>0.44</v>
      </c>
      <c r="BH38" s="1" t="s">
        <v>382</v>
      </c>
      <c r="BI38" s="1" t="s">
        <v>479</v>
      </c>
      <c r="BJ38" s="1" t="s">
        <v>479</v>
      </c>
      <c r="BK38" s="1" t="s">
        <v>479</v>
      </c>
      <c r="BL38" s="1" t="s">
        <v>1066</v>
      </c>
      <c r="BM38" s="12" t="s">
        <v>476</v>
      </c>
      <c r="BN38" s="12" t="s">
        <v>477</v>
      </c>
      <c r="BO38" s="12"/>
      <c r="BP38" s="12" t="s">
        <v>467</v>
      </c>
      <c r="BQ38" s="12" t="s">
        <v>467</v>
      </c>
      <c r="BR38" s="12" t="s">
        <v>467</v>
      </c>
      <c r="BS38" s="12"/>
      <c r="BU38" s="12"/>
      <c r="BV38" s="12" t="s">
        <v>496</v>
      </c>
      <c r="BW38" s="12"/>
      <c r="BX38" s="1" t="s">
        <v>474</v>
      </c>
      <c r="BY38" s="1" t="s">
        <v>474</v>
      </c>
      <c r="BZ38" s="1" t="s">
        <v>473</v>
      </c>
      <c r="CA38" s="1" t="s">
        <v>465</v>
      </c>
      <c r="CB38" s="1" t="s">
        <v>504</v>
      </c>
      <c r="CC38" s="1" t="s">
        <v>499</v>
      </c>
      <c r="CD38" s="1" t="s">
        <v>500</v>
      </c>
      <c r="CE38" s="1" t="s">
        <v>499</v>
      </c>
      <c r="CG38" s="1" t="s">
        <v>499</v>
      </c>
    </row>
    <row r="39" spans="1:85" x14ac:dyDescent="0.2">
      <c r="A39" s="1" t="s">
        <v>373</v>
      </c>
      <c r="B39" s="1" t="s">
        <v>129</v>
      </c>
      <c r="C39" s="1" t="e">
        <f>VLOOKUP(Tabelle58971115[[#This Row],[Prozess]],#REF!,3,FALSE)</f>
        <v>#REF!</v>
      </c>
      <c r="D39" s="1">
        <v>2020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7">
        <v>1.0882413260603228</v>
      </c>
      <c r="K39" s="7"/>
      <c r="L39" s="7"/>
      <c r="M39" s="18"/>
      <c r="N39" s="18">
        <v>10</v>
      </c>
      <c r="O39" s="18"/>
      <c r="P39" s="18"/>
      <c r="Q39" s="18"/>
      <c r="R39" s="18">
        <v>12</v>
      </c>
      <c r="S39" s="18"/>
      <c r="T39" s="18"/>
      <c r="U39" s="8">
        <v>0</v>
      </c>
      <c r="V39" s="8"/>
      <c r="W39" s="8">
        <v>1</v>
      </c>
      <c r="X39" s="8">
        <v>1</v>
      </c>
      <c r="Y39" s="8">
        <v>0.8</v>
      </c>
      <c r="Z39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39" s="8">
        <v>0.05</v>
      </c>
      <c r="AB39" s="19"/>
      <c r="AC39" s="18"/>
      <c r="AD39" s="8"/>
      <c r="AE39" s="18"/>
      <c r="AF39" s="41"/>
      <c r="AG39" s="41"/>
      <c r="AH39" s="41">
        <v>0.99</v>
      </c>
      <c r="AL39" s="1">
        <v>3</v>
      </c>
      <c r="AO39" s="1">
        <v>3</v>
      </c>
      <c r="AP39" s="1">
        <v>4</v>
      </c>
      <c r="AQ39" s="1">
        <v>36</v>
      </c>
      <c r="AR39" s="1">
        <v>24</v>
      </c>
      <c r="AS39" s="1">
        <v>24</v>
      </c>
      <c r="AT39" s="1" t="s">
        <v>371</v>
      </c>
      <c r="AU39" s="1" t="s">
        <v>277</v>
      </c>
      <c r="AV39" s="1">
        <f t="shared" si="2"/>
        <v>8</v>
      </c>
      <c r="AX39" s="1">
        <v>365</v>
      </c>
      <c r="AY39" s="18"/>
      <c r="AZ39" s="18"/>
      <c r="BA39" s="7">
        <f>0*10^3*Umrechnungsfaktoren!$B$15/Umrechnungsfaktoren!$B$12</f>
        <v>0</v>
      </c>
      <c r="BB39" s="7"/>
      <c r="BC39" s="7">
        <f>150*Umrechnungsfaktoren!$B$15/Umrechnungsfaktoren!$B$12</f>
        <v>155.69999999999999</v>
      </c>
      <c r="BD39" s="7"/>
      <c r="BE39" s="7">
        <f>Tabelle58971115[[#This Row],[Investitionsausgaben €_2018/kW]]</f>
        <v>0</v>
      </c>
      <c r="BG39" s="6">
        <v>0.44</v>
      </c>
      <c r="BH39" s="1" t="s">
        <v>382</v>
      </c>
      <c r="BI39" s="1" t="s">
        <v>479</v>
      </c>
      <c r="BJ39" s="1" t="s">
        <v>479</v>
      </c>
      <c r="BK39" s="1" t="s">
        <v>479</v>
      </c>
      <c r="BL39" s="1" t="s">
        <v>466</v>
      </c>
      <c r="BM39" s="12" t="s">
        <v>470</v>
      </c>
      <c r="BN39" s="12" t="s">
        <v>470</v>
      </c>
      <c r="BO39" s="12"/>
      <c r="BP39" s="12" t="s">
        <v>467</v>
      </c>
      <c r="BQ39" s="12" t="s">
        <v>467</v>
      </c>
      <c r="BR39" s="12" t="s">
        <v>467</v>
      </c>
      <c r="BS39" s="12"/>
      <c r="BU39" s="12"/>
      <c r="BV39" s="12" t="s">
        <v>496</v>
      </c>
      <c r="BW39" s="12"/>
      <c r="BX39" s="1" t="s">
        <v>474</v>
      </c>
      <c r="BY39" s="1" t="s">
        <v>474</v>
      </c>
      <c r="BZ39" s="1" t="s">
        <v>473</v>
      </c>
      <c r="CA39" s="1" t="s">
        <v>465</v>
      </c>
      <c r="CB39" s="1" t="s">
        <v>504</v>
      </c>
      <c r="CC39" s="1" t="s">
        <v>499</v>
      </c>
      <c r="CD39" s="1" t="s">
        <v>500</v>
      </c>
      <c r="CE39" s="1" t="s">
        <v>499</v>
      </c>
      <c r="CG39" s="1" t="s">
        <v>499</v>
      </c>
    </row>
    <row r="40" spans="1:85" x14ac:dyDescent="0.2">
      <c r="A40" s="1" t="s">
        <v>373</v>
      </c>
      <c r="B40" s="1" t="s">
        <v>129</v>
      </c>
      <c r="C40" s="1" t="e">
        <f>VLOOKUP(Tabelle58971115[[#This Row],[Prozess]],#REF!,3,FALSE)</f>
        <v>#REF!</v>
      </c>
      <c r="D40" s="1">
        <v>2030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7">
        <v>0.95505579334316892</v>
      </c>
      <c r="K40" s="7"/>
      <c r="L40" s="7"/>
      <c r="M40" s="18"/>
      <c r="N40" s="18">
        <v>9</v>
      </c>
      <c r="O40" s="18"/>
      <c r="P40" s="18"/>
      <c r="Q40" s="18"/>
      <c r="R40" s="18">
        <v>11</v>
      </c>
      <c r="S40" s="18"/>
      <c r="T40" s="18"/>
      <c r="U40" s="8">
        <v>0</v>
      </c>
      <c r="V40" s="8"/>
      <c r="W40" s="8">
        <v>1</v>
      </c>
      <c r="X40" s="8">
        <v>1</v>
      </c>
      <c r="Y40" s="8">
        <v>0.8</v>
      </c>
      <c r="Z40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0" s="8">
        <v>0.05</v>
      </c>
      <c r="AB40" s="19"/>
      <c r="AC40" s="18"/>
      <c r="AD40" s="8"/>
      <c r="AE40" s="18"/>
      <c r="AF40" s="41"/>
      <c r="AG40" s="41"/>
      <c r="AH40" s="41">
        <v>0.99</v>
      </c>
      <c r="AL40" s="1">
        <v>3</v>
      </c>
      <c r="AO40" s="1">
        <v>3</v>
      </c>
      <c r="AP40" s="1">
        <v>4</v>
      </c>
      <c r="AQ40" s="1">
        <v>36</v>
      </c>
      <c r="AR40" s="1">
        <v>24</v>
      </c>
      <c r="AS40" s="1">
        <v>24</v>
      </c>
      <c r="AT40" s="1" t="s">
        <v>371</v>
      </c>
      <c r="AU40" s="1" t="s">
        <v>277</v>
      </c>
      <c r="AV40" s="1">
        <f t="shared" si="2"/>
        <v>8</v>
      </c>
      <c r="AX40" s="1">
        <v>365</v>
      </c>
      <c r="AY40" s="18"/>
      <c r="AZ40" s="18"/>
      <c r="BA40" s="7">
        <f>0*10^3*Umrechnungsfaktoren!$B$15/Umrechnungsfaktoren!$B$12</f>
        <v>0</v>
      </c>
      <c r="BB40" s="7"/>
      <c r="BC40" s="7">
        <f>150*Umrechnungsfaktoren!$B$15/Umrechnungsfaktoren!$B$12</f>
        <v>155.69999999999999</v>
      </c>
      <c r="BD40" s="7"/>
      <c r="BE40" s="7">
        <f>Tabelle58971115[[#This Row],[Investitionsausgaben €_2018/kW]]</f>
        <v>0</v>
      </c>
      <c r="BG40" s="6">
        <v>0.44</v>
      </c>
      <c r="BH40" s="1" t="s">
        <v>382</v>
      </c>
      <c r="BI40" s="1" t="s">
        <v>479</v>
      </c>
      <c r="BJ40" s="1" t="s">
        <v>479</v>
      </c>
      <c r="BK40" s="1" t="s">
        <v>479</v>
      </c>
      <c r="BL40" s="1" t="s">
        <v>466</v>
      </c>
      <c r="BM40" s="12" t="s">
        <v>471</v>
      </c>
      <c r="BN40" s="12" t="s">
        <v>471</v>
      </c>
      <c r="BO40" s="12"/>
      <c r="BP40" s="12" t="s">
        <v>467</v>
      </c>
      <c r="BQ40" s="12" t="s">
        <v>467</v>
      </c>
      <c r="BR40" s="12" t="s">
        <v>467</v>
      </c>
      <c r="BS40" s="12"/>
      <c r="BU40" s="12"/>
      <c r="BV40" s="12" t="s">
        <v>496</v>
      </c>
      <c r="BW40" s="12"/>
      <c r="BX40" s="1" t="s">
        <v>474</v>
      </c>
      <c r="BY40" s="1" t="s">
        <v>474</v>
      </c>
      <c r="BZ40" s="1" t="s">
        <v>473</v>
      </c>
      <c r="CA40" s="1" t="s">
        <v>465</v>
      </c>
      <c r="CB40" s="1" t="s">
        <v>504</v>
      </c>
      <c r="CC40" s="1" t="s">
        <v>499</v>
      </c>
      <c r="CD40" s="1" t="s">
        <v>500</v>
      </c>
      <c r="CE40" s="1" t="s">
        <v>499</v>
      </c>
      <c r="CG40" s="1" t="s">
        <v>499</v>
      </c>
    </row>
    <row r="41" spans="1:85" x14ac:dyDescent="0.2">
      <c r="A41" s="1" t="s">
        <v>373</v>
      </c>
      <c r="B41" s="1" t="s">
        <v>129</v>
      </c>
      <c r="C41" s="1" t="e">
        <f>VLOOKUP(Tabelle58971115[[#This Row],[Prozess]],#REF!,3,FALSE)</f>
        <v>#REF!</v>
      </c>
      <c r="D41" s="1">
        <v>2050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7">
        <v>0.73558997451479824</v>
      </c>
      <c r="K41" s="7"/>
      <c r="L41" s="7"/>
      <c r="M41" s="18"/>
      <c r="N41" s="18">
        <v>7</v>
      </c>
      <c r="O41" s="18"/>
      <c r="P41" s="18"/>
      <c r="Q41" s="18"/>
      <c r="R41" s="18">
        <v>8</v>
      </c>
      <c r="S41" s="18"/>
      <c r="T41" s="18"/>
      <c r="U41" s="8">
        <v>0</v>
      </c>
      <c r="V41" s="8"/>
      <c r="W41" s="8">
        <v>1</v>
      </c>
      <c r="X41" s="8">
        <v>1</v>
      </c>
      <c r="Y41" s="8">
        <v>0.8</v>
      </c>
      <c r="Z41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1" s="8">
        <v>0.05</v>
      </c>
      <c r="AB41" s="19"/>
      <c r="AC41" s="18"/>
      <c r="AD41" s="8"/>
      <c r="AE41" s="18"/>
      <c r="AF41" s="41"/>
      <c r="AG41" s="41"/>
      <c r="AH41" s="41">
        <v>0.99</v>
      </c>
      <c r="AL41" s="1">
        <v>3</v>
      </c>
      <c r="AO41" s="1">
        <v>3</v>
      </c>
      <c r="AP41" s="1">
        <v>4</v>
      </c>
      <c r="AQ41" s="1">
        <v>36</v>
      </c>
      <c r="AR41" s="1">
        <v>24</v>
      </c>
      <c r="AS41" s="1">
        <v>24</v>
      </c>
      <c r="AT41" s="1" t="s">
        <v>371</v>
      </c>
      <c r="AU41" s="1" t="s">
        <v>277</v>
      </c>
      <c r="AV41" s="1">
        <f t="shared" si="2"/>
        <v>8</v>
      </c>
      <c r="AX41" s="1">
        <v>365</v>
      </c>
      <c r="AY41" s="18"/>
      <c r="AZ41" s="18"/>
      <c r="BA41" s="7">
        <f>0*10^3*Umrechnungsfaktoren!$B$15/Umrechnungsfaktoren!$B$12</f>
        <v>0</v>
      </c>
      <c r="BB41" s="7"/>
      <c r="BC41" s="7">
        <f>150*Umrechnungsfaktoren!$B$15/Umrechnungsfaktoren!$B$12</f>
        <v>155.69999999999999</v>
      </c>
      <c r="BD41" s="7"/>
      <c r="BE41" s="7">
        <f>Tabelle58971115[[#This Row],[Investitionsausgaben €_2018/kW]]</f>
        <v>0</v>
      </c>
      <c r="BG41" s="6">
        <v>0.44</v>
      </c>
      <c r="BH41" s="1" t="s">
        <v>382</v>
      </c>
      <c r="BI41" s="1" t="s">
        <v>479</v>
      </c>
      <c r="BJ41" s="1" t="s">
        <v>479</v>
      </c>
      <c r="BK41" s="1" t="s">
        <v>479</v>
      </c>
      <c r="BL41" s="1" t="s">
        <v>466</v>
      </c>
      <c r="BM41" s="12" t="s">
        <v>472</v>
      </c>
      <c r="BN41" s="12" t="s">
        <v>472</v>
      </c>
      <c r="BO41" s="12"/>
      <c r="BP41" s="12" t="s">
        <v>467</v>
      </c>
      <c r="BQ41" s="12" t="s">
        <v>467</v>
      </c>
      <c r="BR41" s="12" t="s">
        <v>467</v>
      </c>
      <c r="BS41" s="12"/>
      <c r="BU41" s="12"/>
      <c r="BV41" s="12" t="s">
        <v>496</v>
      </c>
      <c r="BW41" s="12"/>
      <c r="BX41" s="1" t="s">
        <v>474</v>
      </c>
      <c r="BY41" s="1" t="s">
        <v>474</v>
      </c>
      <c r="BZ41" s="1" t="s">
        <v>473</v>
      </c>
      <c r="CA41" s="1" t="s">
        <v>465</v>
      </c>
      <c r="CB41" s="1" t="s">
        <v>504</v>
      </c>
      <c r="CC41" s="1" t="s">
        <v>499</v>
      </c>
      <c r="CD41" s="1" t="s">
        <v>500</v>
      </c>
      <c r="CE41" s="1" t="s">
        <v>499</v>
      </c>
      <c r="CG41" s="1" t="s">
        <v>499</v>
      </c>
    </row>
    <row r="42" spans="1:85" x14ac:dyDescent="0.2">
      <c r="A42" s="1" t="s">
        <v>53</v>
      </c>
      <c r="B42" s="1" t="s">
        <v>129</v>
      </c>
      <c r="C42" s="1" t="e">
        <f>VLOOKUP(Tabelle58971115[[#This Row],[Prozess]],#REF!,3,FALSE)</f>
        <v>#REF!</v>
      </c>
      <c r="D42" s="1">
        <v>2010</v>
      </c>
      <c r="E42" s="1">
        <v>1</v>
      </c>
      <c r="F42" s="1">
        <v>0</v>
      </c>
      <c r="G42" s="1">
        <v>0</v>
      </c>
      <c r="H42" s="1">
        <v>1</v>
      </c>
      <c r="I42" s="1">
        <v>1</v>
      </c>
      <c r="J42" s="7">
        <v>9.5134000000000025</v>
      </c>
      <c r="K42" s="7">
        <f>23000+14000+8000</f>
        <v>45000</v>
      </c>
      <c r="L42" s="7">
        <f>(238*23+150*18+224*8)/41</f>
        <v>243.07317073170731</v>
      </c>
      <c r="M42" s="18"/>
      <c r="N42" s="18">
        <v>51</v>
      </c>
      <c r="O42" s="18"/>
      <c r="P42" s="18"/>
      <c r="Q42" s="18"/>
      <c r="R42" s="18">
        <v>61</v>
      </c>
      <c r="S42" s="18"/>
      <c r="T42" s="18"/>
      <c r="U42" s="8">
        <v>0.6</v>
      </c>
      <c r="V42" s="8"/>
      <c r="W42" s="8">
        <v>0.4</v>
      </c>
      <c r="X42" s="8">
        <v>1</v>
      </c>
      <c r="Y42" s="8">
        <v>0.8</v>
      </c>
      <c r="Z42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2" s="8">
        <v>0.05</v>
      </c>
      <c r="AB42" s="19"/>
      <c r="AC42" s="18"/>
      <c r="AD42" s="8"/>
      <c r="AE42" s="18"/>
      <c r="AF42" s="41"/>
      <c r="AG42" s="41"/>
      <c r="AH42" s="41">
        <v>0.99</v>
      </c>
      <c r="AL42" s="1">
        <v>3</v>
      </c>
      <c r="AO42" s="1">
        <v>3</v>
      </c>
      <c r="AP42" s="1">
        <v>4</v>
      </c>
      <c r="AQ42" s="1">
        <v>36</v>
      </c>
      <c r="AR42" s="1">
        <v>24</v>
      </c>
      <c r="AS42" s="1">
        <v>24</v>
      </c>
      <c r="AT42" s="1" t="s">
        <v>371</v>
      </c>
      <c r="AU42" s="1" t="s">
        <v>277</v>
      </c>
      <c r="AV42" s="1">
        <f t="shared" si="2"/>
        <v>8</v>
      </c>
      <c r="AX42" s="1">
        <v>365</v>
      </c>
      <c r="AY42" s="18"/>
      <c r="AZ42" s="18"/>
      <c r="BA42" s="7">
        <f>0*10^3*Umrechnungsfaktoren!$B$15/Umrechnungsfaktoren!$B$12</f>
        <v>0</v>
      </c>
      <c r="BB42" s="7"/>
      <c r="BC42" s="7">
        <f>150*Umrechnungsfaktoren!$B$15/Umrechnungsfaktoren!$B$12</f>
        <v>155.69999999999999</v>
      </c>
      <c r="BD42" s="7"/>
      <c r="BE42" s="7">
        <f>Tabelle58971115[[#This Row],[Investitionsausgaben €_2018/kW]]</f>
        <v>0</v>
      </c>
      <c r="BG42" s="6">
        <v>0.44</v>
      </c>
      <c r="BH42" s="1" t="s">
        <v>382</v>
      </c>
      <c r="BI42" s="1" t="s">
        <v>479</v>
      </c>
      <c r="BJ42" s="1" t="s">
        <v>479</v>
      </c>
      <c r="BK42" s="1" t="s">
        <v>479</v>
      </c>
      <c r="BL42" s="1" t="s">
        <v>1066</v>
      </c>
      <c r="BM42" s="12" t="s">
        <v>476</v>
      </c>
      <c r="BN42" s="12" t="s">
        <v>477</v>
      </c>
      <c r="BO42" s="12"/>
      <c r="BP42" s="12" t="s">
        <v>467</v>
      </c>
      <c r="BQ42" s="12" t="s">
        <v>467</v>
      </c>
      <c r="BR42" s="12" t="s">
        <v>467</v>
      </c>
      <c r="BS42" s="12"/>
      <c r="BU42" s="12"/>
      <c r="BV42" s="12" t="s">
        <v>496</v>
      </c>
      <c r="BW42" s="12"/>
      <c r="BX42" s="1" t="s">
        <v>474</v>
      </c>
      <c r="BY42" s="1" t="s">
        <v>474</v>
      </c>
      <c r="BZ42" s="1" t="s">
        <v>473</v>
      </c>
      <c r="CA42" s="1" t="s">
        <v>465</v>
      </c>
      <c r="CB42" s="1" t="s">
        <v>504</v>
      </c>
      <c r="CC42" s="1" t="s">
        <v>499</v>
      </c>
      <c r="CD42" s="1" t="s">
        <v>500</v>
      </c>
      <c r="CE42" s="1" t="s">
        <v>499</v>
      </c>
      <c r="CG42" s="1" t="s">
        <v>499</v>
      </c>
    </row>
    <row r="43" spans="1:85" x14ac:dyDescent="0.2">
      <c r="A43" s="1" t="s">
        <v>53</v>
      </c>
      <c r="B43" s="1" t="s">
        <v>129</v>
      </c>
      <c r="C43" s="1" t="e">
        <f>VLOOKUP(Tabelle58971115[[#This Row],[Prozess]],#REF!,3,FALSE)</f>
        <v>#REF!</v>
      </c>
      <c r="D43" s="1">
        <v>2020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7">
        <v>9.7039367721458536</v>
      </c>
      <c r="K43" s="7"/>
      <c r="L43" s="7"/>
      <c r="M43" s="18"/>
      <c r="N43" s="18">
        <v>52</v>
      </c>
      <c r="O43" s="18"/>
      <c r="P43" s="18"/>
      <c r="Q43" s="18"/>
      <c r="R43" s="18">
        <v>62</v>
      </c>
      <c r="S43" s="18"/>
      <c r="T43" s="18"/>
      <c r="U43" s="8">
        <v>0.6</v>
      </c>
      <c r="V43" s="8"/>
      <c r="W43" s="8">
        <v>0.4</v>
      </c>
      <c r="X43" s="8">
        <v>1</v>
      </c>
      <c r="Y43" s="8">
        <v>0.8</v>
      </c>
      <c r="Z43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3" s="8">
        <v>0.05</v>
      </c>
      <c r="AB43" s="19"/>
      <c r="AC43" s="18"/>
      <c r="AD43" s="8"/>
      <c r="AE43" s="18"/>
      <c r="AF43" s="41"/>
      <c r="AG43" s="41"/>
      <c r="AH43" s="41">
        <v>0.99</v>
      </c>
      <c r="AL43" s="1">
        <v>3</v>
      </c>
      <c r="AO43" s="1">
        <v>3</v>
      </c>
      <c r="AP43" s="1">
        <v>4</v>
      </c>
      <c r="AQ43" s="1">
        <v>36</v>
      </c>
      <c r="AR43" s="1">
        <v>24</v>
      </c>
      <c r="AS43" s="1">
        <v>24</v>
      </c>
      <c r="AT43" s="1" t="s">
        <v>371</v>
      </c>
      <c r="AU43" s="1" t="s">
        <v>277</v>
      </c>
      <c r="AV43" s="1">
        <f t="shared" si="2"/>
        <v>8</v>
      </c>
      <c r="AX43" s="1">
        <v>365</v>
      </c>
      <c r="AY43" s="18"/>
      <c r="AZ43" s="18"/>
      <c r="BA43" s="7">
        <f>0*10^3*Umrechnungsfaktoren!$B$15/Umrechnungsfaktoren!$B$12</f>
        <v>0</v>
      </c>
      <c r="BB43" s="7"/>
      <c r="BC43" s="7">
        <f>150*Umrechnungsfaktoren!$B$15/Umrechnungsfaktoren!$B$12</f>
        <v>155.69999999999999</v>
      </c>
      <c r="BD43" s="7"/>
      <c r="BE43" s="7">
        <f>Tabelle58971115[[#This Row],[Investitionsausgaben €_2018/kW]]</f>
        <v>0</v>
      </c>
      <c r="BG43" s="6">
        <v>0.44</v>
      </c>
      <c r="BH43" s="1" t="s">
        <v>382</v>
      </c>
      <c r="BI43" s="1" t="s">
        <v>479</v>
      </c>
      <c r="BJ43" s="1" t="s">
        <v>479</v>
      </c>
      <c r="BK43" s="1" t="s">
        <v>479</v>
      </c>
      <c r="BL43" s="1" t="s">
        <v>466</v>
      </c>
      <c r="BM43" s="12" t="s">
        <v>470</v>
      </c>
      <c r="BN43" s="12" t="s">
        <v>470</v>
      </c>
      <c r="BO43" s="12"/>
      <c r="BP43" s="12" t="s">
        <v>467</v>
      </c>
      <c r="BQ43" s="12" t="s">
        <v>467</v>
      </c>
      <c r="BR43" s="12" t="s">
        <v>467</v>
      </c>
      <c r="BS43" s="12"/>
      <c r="BU43" s="12"/>
      <c r="BV43" s="12" t="s">
        <v>496</v>
      </c>
      <c r="BW43" s="12"/>
      <c r="BX43" s="1" t="s">
        <v>474</v>
      </c>
      <c r="BY43" s="1" t="s">
        <v>474</v>
      </c>
      <c r="BZ43" s="1" t="s">
        <v>473</v>
      </c>
      <c r="CA43" s="1" t="s">
        <v>465</v>
      </c>
      <c r="CB43" s="1" t="s">
        <v>504</v>
      </c>
      <c r="CC43" s="1" t="s">
        <v>499</v>
      </c>
      <c r="CD43" s="1" t="s">
        <v>500</v>
      </c>
      <c r="CE43" s="1" t="s">
        <v>499</v>
      </c>
      <c r="CG43" s="1" t="s">
        <v>499</v>
      </c>
    </row>
    <row r="44" spans="1:85" x14ac:dyDescent="0.2">
      <c r="A44" s="1" t="s">
        <v>53</v>
      </c>
      <c r="B44" s="1" t="s">
        <v>129</v>
      </c>
      <c r="C44" s="1" t="e">
        <f>VLOOKUP(Tabelle58971115[[#This Row],[Prozess]],#REF!,3,FALSE)</f>
        <v>#REF!</v>
      </c>
      <c r="D44" s="1">
        <v>2030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7">
        <v>9.8982896627708765</v>
      </c>
      <c r="K44" s="7"/>
      <c r="L44" s="7"/>
      <c r="M44" s="18"/>
      <c r="N44" s="18">
        <v>53</v>
      </c>
      <c r="O44" s="18"/>
      <c r="P44" s="18"/>
      <c r="Q44" s="18"/>
      <c r="R44" s="18">
        <v>64</v>
      </c>
      <c r="S44" s="18"/>
      <c r="T44" s="18"/>
      <c r="U44" s="8">
        <v>0.6</v>
      </c>
      <c r="V44" s="8"/>
      <c r="W44" s="8">
        <v>0.4</v>
      </c>
      <c r="X44" s="8">
        <v>1</v>
      </c>
      <c r="Y44" s="8">
        <v>0.8</v>
      </c>
      <c r="Z44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4" s="8">
        <v>0.05</v>
      </c>
      <c r="AB44" s="19"/>
      <c r="AC44" s="18"/>
      <c r="AD44" s="8"/>
      <c r="AE44" s="18"/>
      <c r="AF44" s="41"/>
      <c r="AG44" s="41"/>
      <c r="AH44" s="41">
        <v>0.99</v>
      </c>
      <c r="AL44" s="1">
        <v>3</v>
      </c>
      <c r="AO44" s="1">
        <v>3</v>
      </c>
      <c r="AP44" s="1">
        <v>4</v>
      </c>
      <c r="AQ44" s="1">
        <v>36</v>
      </c>
      <c r="AR44" s="1">
        <v>24</v>
      </c>
      <c r="AS44" s="1">
        <v>24</v>
      </c>
      <c r="AT44" s="1" t="s">
        <v>371</v>
      </c>
      <c r="AU44" s="1" t="s">
        <v>277</v>
      </c>
      <c r="AV44" s="1">
        <f t="shared" si="2"/>
        <v>8</v>
      </c>
      <c r="AX44" s="1">
        <v>365</v>
      </c>
      <c r="AY44" s="18"/>
      <c r="AZ44" s="18"/>
      <c r="BA44" s="7">
        <f>0*10^3*Umrechnungsfaktoren!$B$15/Umrechnungsfaktoren!$B$12</f>
        <v>0</v>
      </c>
      <c r="BB44" s="7"/>
      <c r="BC44" s="7">
        <f>150*Umrechnungsfaktoren!$B$15/Umrechnungsfaktoren!$B$12</f>
        <v>155.69999999999999</v>
      </c>
      <c r="BD44" s="7"/>
      <c r="BE44" s="7">
        <f>Tabelle58971115[[#This Row],[Investitionsausgaben €_2018/kW]]</f>
        <v>0</v>
      </c>
      <c r="BG44" s="6">
        <v>0.44</v>
      </c>
      <c r="BH44" s="1" t="s">
        <v>382</v>
      </c>
      <c r="BI44" s="1" t="s">
        <v>479</v>
      </c>
      <c r="BJ44" s="1" t="s">
        <v>479</v>
      </c>
      <c r="BK44" s="1" t="s">
        <v>479</v>
      </c>
      <c r="BL44" s="1" t="s">
        <v>466</v>
      </c>
      <c r="BM44" s="12" t="s">
        <v>471</v>
      </c>
      <c r="BN44" s="12" t="s">
        <v>471</v>
      </c>
      <c r="BO44" s="12"/>
      <c r="BP44" s="12" t="s">
        <v>467</v>
      </c>
      <c r="BQ44" s="12" t="s">
        <v>467</v>
      </c>
      <c r="BR44" s="12" t="s">
        <v>467</v>
      </c>
      <c r="BS44" s="12"/>
      <c r="BU44" s="12"/>
      <c r="BV44" s="12" t="s">
        <v>496</v>
      </c>
      <c r="BW44" s="12"/>
      <c r="BX44" s="1" t="s">
        <v>474</v>
      </c>
      <c r="BY44" s="1" t="s">
        <v>474</v>
      </c>
      <c r="BZ44" s="1" t="s">
        <v>473</v>
      </c>
      <c r="CA44" s="1" t="s">
        <v>465</v>
      </c>
      <c r="CB44" s="1" t="s">
        <v>504</v>
      </c>
      <c r="CC44" s="1" t="s">
        <v>499</v>
      </c>
      <c r="CD44" s="1" t="s">
        <v>500</v>
      </c>
      <c r="CE44" s="1" t="s">
        <v>499</v>
      </c>
      <c r="CG44" s="1" t="s">
        <v>499</v>
      </c>
    </row>
    <row r="45" spans="1:85" x14ac:dyDescent="0.2">
      <c r="A45" s="1" t="s">
        <v>53</v>
      </c>
      <c r="B45" s="1" t="s">
        <v>129</v>
      </c>
      <c r="C45" s="1" t="e">
        <f>VLOOKUP(Tabelle58971115[[#This Row],[Prozess]],#REF!,3,FALSE)</f>
        <v>#REF!</v>
      </c>
      <c r="D45" s="1">
        <v>2050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7">
        <v>10.298751050950953</v>
      </c>
      <c r="K45" s="7"/>
      <c r="L45" s="7"/>
      <c r="M45" s="18"/>
      <c r="N45" s="18">
        <v>56</v>
      </c>
      <c r="O45" s="18"/>
      <c r="P45" s="18"/>
      <c r="Q45" s="18"/>
      <c r="R45" s="18">
        <v>66</v>
      </c>
      <c r="S45" s="18"/>
      <c r="T45" s="18"/>
      <c r="U45" s="8">
        <v>0.6</v>
      </c>
      <c r="V45" s="8"/>
      <c r="W45" s="8">
        <v>0.4</v>
      </c>
      <c r="X45" s="8">
        <v>1</v>
      </c>
      <c r="Y45" s="8">
        <v>0.8</v>
      </c>
      <c r="Z45" s="8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>0.75</v>
      </c>
      <c r="AA45" s="8">
        <v>0.05</v>
      </c>
      <c r="AB45" s="19"/>
      <c r="AC45" s="18"/>
      <c r="AD45" s="8"/>
      <c r="AE45" s="18"/>
      <c r="AF45" s="41"/>
      <c r="AG45" s="41"/>
      <c r="AH45" s="41">
        <v>0.99</v>
      </c>
      <c r="AL45" s="1">
        <v>3</v>
      </c>
      <c r="AO45" s="1">
        <v>3</v>
      </c>
      <c r="AP45" s="1">
        <v>4</v>
      </c>
      <c r="AQ45" s="1">
        <v>36</v>
      </c>
      <c r="AR45" s="1">
        <v>24</v>
      </c>
      <c r="AS45" s="1">
        <v>24</v>
      </c>
      <c r="AT45" s="1" t="s">
        <v>371</v>
      </c>
      <c r="AU45" s="1" t="s">
        <v>277</v>
      </c>
      <c r="AV45" s="1">
        <f t="shared" si="2"/>
        <v>8</v>
      </c>
      <c r="AX45" s="1">
        <v>365</v>
      </c>
      <c r="AY45" s="18"/>
      <c r="AZ45" s="18"/>
      <c r="BA45" s="7">
        <f>0*10^3*Umrechnungsfaktoren!$B$15/Umrechnungsfaktoren!$B$12</f>
        <v>0</v>
      </c>
      <c r="BB45" s="7"/>
      <c r="BC45" s="7">
        <f>150*Umrechnungsfaktoren!$B$15/Umrechnungsfaktoren!$B$12</f>
        <v>155.69999999999999</v>
      </c>
      <c r="BD45" s="7"/>
      <c r="BE45" s="7">
        <f>Tabelle58971115[[#This Row],[Investitionsausgaben €_2018/kW]]</f>
        <v>0</v>
      </c>
      <c r="BG45" s="6">
        <v>0.44</v>
      </c>
      <c r="BH45" s="1" t="s">
        <v>382</v>
      </c>
      <c r="BI45" s="1" t="s">
        <v>479</v>
      </c>
      <c r="BJ45" s="1" t="s">
        <v>479</v>
      </c>
      <c r="BK45" s="1" t="s">
        <v>479</v>
      </c>
      <c r="BL45" s="1" t="s">
        <v>466</v>
      </c>
      <c r="BM45" s="12" t="s">
        <v>472</v>
      </c>
      <c r="BN45" s="12" t="s">
        <v>472</v>
      </c>
      <c r="BO45" s="12"/>
      <c r="BP45" s="12" t="s">
        <v>467</v>
      </c>
      <c r="BQ45" s="12" t="s">
        <v>467</v>
      </c>
      <c r="BR45" s="12" t="s">
        <v>467</v>
      </c>
      <c r="BS45" s="12"/>
      <c r="BU45" s="12"/>
      <c r="BV45" s="12" t="s">
        <v>496</v>
      </c>
      <c r="BW45" s="12"/>
      <c r="BX45" s="1" t="s">
        <v>474</v>
      </c>
      <c r="BY45" s="1" t="s">
        <v>474</v>
      </c>
      <c r="BZ45" s="1" t="s">
        <v>473</v>
      </c>
      <c r="CA45" s="1" t="s">
        <v>465</v>
      </c>
      <c r="CB45" s="1" t="s">
        <v>504</v>
      </c>
      <c r="CC45" s="1" t="s">
        <v>499</v>
      </c>
      <c r="CD45" s="1" t="s">
        <v>500</v>
      </c>
      <c r="CE45" s="1" t="s">
        <v>499</v>
      </c>
      <c r="CG45" s="1" t="s">
        <v>499</v>
      </c>
    </row>
    <row r="46" spans="1:85" x14ac:dyDescent="0.2">
      <c r="A46" s="1" t="s">
        <v>100</v>
      </c>
      <c r="B46" s="1" t="s">
        <v>129</v>
      </c>
      <c r="C46" s="1" t="e">
        <f>VLOOKUP(Tabelle58971115[[#This Row],[Prozess]],#REF!,3,FALSE)</f>
        <v>#REF!</v>
      </c>
      <c r="D46" s="1">
        <v>2010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31</v>
      </c>
      <c r="M46" s="18"/>
      <c r="N46" s="18">
        <v>275</v>
      </c>
      <c r="O46" s="18"/>
      <c r="P46" s="18"/>
      <c r="Q46" s="18"/>
      <c r="R46" s="18">
        <v>255</v>
      </c>
      <c r="S46" s="18"/>
      <c r="T46" s="18"/>
      <c r="U46" s="8">
        <v>0.6</v>
      </c>
      <c r="V46" s="8"/>
      <c r="W46" s="8">
        <v>0.5</v>
      </c>
      <c r="X46" s="8">
        <v>0.9</v>
      </c>
      <c r="Y46" s="8">
        <f>5840/8760</f>
        <v>0.66666666666666663</v>
      </c>
      <c r="Z46" s="8"/>
      <c r="AA46" s="8"/>
      <c r="AB46" s="19"/>
      <c r="AC46" s="18"/>
      <c r="AD46" s="8"/>
      <c r="AE46" s="18"/>
      <c r="AF46" s="42">
        <v>0.95499999999999996</v>
      </c>
      <c r="AG46" s="42">
        <v>0.98</v>
      </c>
      <c r="AH46" s="8"/>
      <c r="AL46" s="1">
        <v>2</v>
      </c>
      <c r="AO46" s="1">
        <v>2</v>
      </c>
      <c r="AP46" s="1">
        <v>2</v>
      </c>
      <c r="AQ46" s="1">
        <v>6</v>
      </c>
      <c r="AR46" s="1">
        <v>24</v>
      </c>
      <c r="AS46" s="1">
        <v>8</v>
      </c>
      <c r="AT46" s="1" t="s">
        <v>478</v>
      </c>
      <c r="AU46" s="1" t="s">
        <v>277</v>
      </c>
      <c r="AV46" s="1">
        <f>8/2</f>
        <v>4</v>
      </c>
      <c r="AX46" s="1">
        <v>1095</v>
      </c>
      <c r="AY46" s="18"/>
      <c r="AZ46" s="18"/>
      <c r="BA46" s="18"/>
      <c r="BB46" s="7"/>
      <c r="BC46" s="3">
        <f>0.05*10^3*Umrechnungsfaktoren!$B$15/Umrechnungsfaktoren!$B$11</f>
        <v>52.1608040201005</v>
      </c>
      <c r="BD46" s="7"/>
      <c r="BE46" s="7"/>
      <c r="BH46" s="1" t="s">
        <v>382</v>
      </c>
      <c r="BI46" s="1" t="s">
        <v>479</v>
      </c>
      <c r="BJ46" s="1" t="s">
        <v>479</v>
      </c>
      <c r="BK46" s="1" t="s">
        <v>479</v>
      </c>
      <c r="BL46" s="1" t="s">
        <v>481</v>
      </c>
      <c r="BM46" s="12" t="s">
        <v>476</v>
      </c>
      <c r="BN46" s="12" t="s">
        <v>477</v>
      </c>
      <c r="BO46" s="12"/>
      <c r="BP46" s="12" t="s">
        <v>467</v>
      </c>
      <c r="BQ46" s="12" t="s">
        <v>467</v>
      </c>
      <c r="BR46" s="12" t="s">
        <v>467</v>
      </c>
      <c r="BS46" s="12"/>
      <c r="BU46" s="12"/>
      <c r="BV46" s="12" t="s">
        <v>496</v>
      </c>
      <c r="BW46" s="12"/>
      <c r="BX46" s="1" t="s">
        <v>474</v>
      </c>
      <c r="BY46" s="1" t="s">
        <v>474</v>
      </c>
      <c r="BZ46" s="1" t="s">
        <v>473</v>
      </c>
      <c r="CA46" s="1" t="s">
        <v>479</v>
      </c>
      <c r="CB46" s="1" t="s">
        <v>504</v>
      </c>
      <c r="CC46" s="1" t="s">
        <v>499</v>
      </c>
      <c r="CD46" s="1" t="s">
        <v>500</v>
      </c>
      <c r="CE46" s="1" t="s">
        <v>499</v>
      </c>
      <c r="CG46" s="1" t="s">
        <v>499</v>
      </c>
    </row>
    <row r="47" spans="1:85" x14ac:dyDescent="0.2">
      <c r="A47" s="1" t="s">
        <v>100</v>
      </c>
      <c r="B47" s="1" t="s">
        <v>129</v>
      </c>
      <c r="C47" s="1" t="e">
        <f>VLOOKUP(Tabelle58971115[[#This Row],[Prozess]],#REF!,3,FALSE)</f>
        <v>#REF!</v>
      </c>
      <c r="D47" s="1">
        <v>2020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M47" s="18"/>
      <c r="N47" s="18">
        <v>275</v>
      </c>
      <c r="O47" s="18"/>
      <c r="P47" s="18"/>
      <c r="Q47" s="18"/>
      <c r="R47" s="18">
        <v>255</v>
      </c>
      <c r="S47" s="18"/>
      <c r="T47" s="18"/>
      <c r="U47" s="8">
        <v>0.6</v>
      </c>
      <c r="V47" s="8"/>
      <c r="W47" s="8">
        <v>0.5</v>
      </c>
      <c r="X47" s="8">
        <v>0.9</v>
      </c>
      <c r="Y47" s="8">
        <f>5840/8760</f>
        <v>0.66666666666666663</v>
      </c>
      <c r="Z4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7" s="8"/>
      <c r="AB47" s="19"/>
      <c r="AC47" s="18"/>
      <c r="AD47" s="8"/>
      <c r="AE47" s="18"/>
      <c r="AF47" s="42">
        <v>0.95499999999999996</v>
      </c>
      <c r="AG47" s="42">
        <v>0.98</v>
      </c>
      <c r="AH47" s="8"/>
      <c r="AL47" s="1">
        <v>2</v>
      </c>
      <c r="AO47" s="1">
        <v>2</v>
      </c>
      <c r="AP47" s="1">
        <v>2</v>
      </c>
      <c r="AQ47" s="1">
        <v>6</v>
      </c>
      <c r="AR47" s="1">
        <v>24</v>
      </c>
      <c r="AS47" s="1">
        <v>8</v>
      </c>
      <c r="AT47" s="1" t="s">
        <v>478</v>
      </c>
      <c r="AU47" s="1" t="s">
        <v>277</v>
      </c>
      <c r="AV47" s="1">
        <f>8/2</f>
        <v>4</v>
      </c>
      <c r="AX47" s="1">
        <v>1095</v>
      </c>
      <c r="AY47" s="18"/>
      <c r="AZ47" s="18"/>
      <c r="BA47" s="18"/>
      <c r="BB47" s="7"/>
      <c r="BC47" s="3">
        <f>0.05*10^3*Umrechnungsfaktoren!$B$15/Umrechnungsfaktoren!$B$11</f>
        <v>52.1608040201005</v>
      </c>
      <c r="BD47" s="7"/>
      <c r="BE47" s="7"/>
      <c r="BH47" s="1" t="s">
        <v>382</v>
      </c>
      <c r="BI47" s="1" t="s">
        <v>479</v>
      </c>
      <c r="BJ47" s="1" t="s">
        <v>479</v>
      </c>
      <c r="BK47" s="1" t="s">
        <v>479</v>
      </c>
      <c r="BM47" s="12" t="s">
        <v>470</v>
      </c>
      <c r="BN47" s="12" t="s">
        <v>470</v>
      </c>
      <c r="BO47" s="12"/>
      <c r="BP47" s="12" t="s">
        <v>467</v>
      </c>
      <c r="BQ47" s="12" t="s">
        <v>467</v>
      </c>
      <c r="BR47" s="12" t="s">
        <v>467</v>
      </c>
      <c r="BS47" s="12"/>
      <c r="BU47" s="12"/>
      <c r="BV47" s="12" t="s">
        <v>496</v>
      </c>
      <c r="BW47" s="12"/>
      <c r="BX47" s="1" t="s">
        <v>474</v>
      </c>
      <c r="BY47" s="1" t="s">
        <v>474</v>
      </c>
      <c r="BZ47" s="1" t="s">
        <v>473</v>
      </c>
      <c r="CA47" s="1" t="s">
        <v>479</v>
      </c>
      <c r="CB47" s="1" t="s">
        <v>504</v>
      </c>
      <c r="CC47" s="1" t="s">
        <v>499</v>
      </c>
      <c r="CD47" s="1" t="s">
        <v>500</v>
      </c>
      <c r="CE47" s="1" t="s">
        <v>499</v>
      </c>
      <c r="CG47" s="1" t="s">
        <v>499</v>
      </c>
    </row>
    <row r="48" spans="1:85" x14ac:dyDescent="0.2">
      <c r="A48" s="1" t="s">
        <v>100</v>
      </c>
      <c r="B48" s="1" t="s">
        <v>129</v>
      </c>
      <c r="C48" s="1" t="e">
        <f>VLOOKUP(Tabelle58971115[[#This Row],[Prozess]],#REF!,3,FALSE)</f>
        <v>#REF!</v>
      </c>
      <c r="D48" s="1">
        <v>2030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M48" s="18"/>
      <c r="N48" s="18">
        <v>275</v>
      </c>
      <c r="O48" s="18"/>
      <c r="P48" s="18"/>
      <c r="Q48" s="18"/>
      <c r="R48" s="18">
        <v>255</v>
      </c>
      <c r="S48" s="18"/>
      <c r="T48" s="18"/>
      <c r="U48" s="8">
        <v>0.6</v>
      </c>
      <c r="V48" s="8"/>
      <c r="W48" s="8">
        <v>0.5</v>
      </c>
      <c r="X48" s="8">
        <v>0.9</v>
      </c>
      <c r="Y48" s="8">
        <f>5840/8760</f>
        <v>0.66666666666666663</v>
      </c>
      <c r="Z4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8" s="8"/>
      <c r="AB48" s="19"/>
      <c r="AC48" s="18"/>
      <c r="AD48" s="8"/>
      <c r="AE48" s="18"/>
      <c r="AF48" s="42">
        <v>0.95499999999999996</v>
      </c>
      <c r="AG48" s="42">
        <v>0.98</v>
      </c>
      <c r="AH48" s="8"/>
      <c r="AL48" s="1">
        <v>2</v>
      </c>
      <c r="AO48" s="1">
        <v>2</v>
      </c>
      <c r="AP48" s="1">
        <v>2</v>
      </c>
      <c r="AQ48" s="1">
        <v>6</v>
      </c>
      <c r="AR48" s="1">
        <v>24</v>
      </c>
      <c r="AS48" s="1">
        <v>8</v>
      </c>
      <c r="AT48" s="1" t="s">
        <v>478</v>
      </c>
      <c r="AU48" s="1" t="s">
        <v>277</v>
      </c>
      <c r="AV48" s="1">
        <f>8/2</f>
        <v>4</v>
      </c>
      <c r="AX48" s="1">
        <v>1095</v>
      </c>
      <c r="AY48" s="18"/>
      <c r="AZ48" s="18"/>
      <c r="BA48" s="18"/>
      <c r="BB48" s="7"/>
      <c r="BC48" s="3">
        <f>0.05*10^3*Umrechnungsfaktoren!$B$15/Umrechnungsfaktoren!$B$11</f>
        <v>52.1608040201005</v>
      </c>
      <c r="BD48" s="7"/>
      <c r="BE48" s="7"/>
      <c r="BH48" s="1" t="s">
        <v>382</v>
      </c>
      <c r="BI48" s="1" t="s">
        <v>479</v>
      </c>
      <c r="BJ48" s="1" t="s">
        <v>479</v>
      </c>
      <c r="BK48" s="1" t="s">
        <v>479</v>
      </c>
      <c r="BM48" s="12" t="s">
        <v>471</v>
      </c>
      <c r="BN48" s="12" t="s">
        <v>471</v>
      </c>
      <c r="BO48" s="12"/>
      <c r="BP48" s="12" t="s">
        <v>467</v>
      </c>
      <c r="BQ48" s="12" t="s">
        <v>467</v>
      </c>
      <c r="BR48" s="12" t="s">
        <v>467</v>
      </c>
      <c r="BS48" s="12"/>
      <c r="BU48" s="12"/>
      <c r="BV48" s="12" t="s">
        <v>496</v>
      </c>
      <c r="BW48" s="12"/>
      <c r="BX48" s="1" t="s">
        <v>474</v>
      </c>
      <c r="BY48" s="1" t="s">
        <v>474</v>
      </c>
      <c r="BZ48" s="1" t="s">
        <v>473</v>
      </c>
      <c r="CA48" s="1" t="s">
        <v>479</v>
      </c>
      <c r="CB48" s="1" t="s">
        <v>504</v>
      </c>
      <c r="CC48" s="1" t="s">
        <v>499</v>
      </c>
      <c r="CD48" s="1" t="s">
        <v>500</v>
      </c>
      <c r="CE48" s="1" t="s">
        <v>499</v>
      </c>
      <c r="CG48" s="1" t="s">
        <v>499</v>
      </c>
    </row>
    <row r="49" spans="1:85" x14ac:dyDescent="0.2">
      <c r="A49" s="1" t="s">
        <v>100</v>
      </c>
      <c r="B49" s="1" t="s">
        <v>129</v>
      </c>
      <c r="C49" s="1" t="e">
        <f>VLOOKUP(Tabelle58971115[[#This Row],[Prozess]],#REF!,3,FALSE)</f>
        <v>#REF!</v>
      </c>
      <c r="D49" s="1">
        <v>2050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M49" s="18"/>
      <c r="N49" s="18">
        <v>275</v>
      </c>
      <c r="O49" s="18"/>
      <c r="P49" s="18"/>
      <c r="Q49" s="18"/>
      <c r="R49" s="18">
        <v>255</v>
      </c>
      <c r="S49" s="18"/>
      <c r="T49" s="18"/>
      <c r="U49" s="8">
        <v>0.6</v>
      </c>
      <c r="V49" s="8"/>
      <c r="W49" s="8">
        <v>0.5</v>
      </c>
      <c r="X49" s="8">
        <v>0.9</v>
      </c>
      <c r="Y49" s="8">
        <f>5840/8760</f>
        <v>0.66666666666666663</v>
      </c>
      <c r="Z4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49" s="8"/>
      <c r="AB49" s="19"/>
      <c r="AC49" s="18"/>
      <c r="AD49" s="8"/>
      <c r="AE49" s="18"/>
      <c r="AF49" s="42">
        <v>0.95499999999999996</v>
      </c>
      <c r="AG49" s="42">
        <v>0.98</v>
      </c>
      <c r="AH49" s="8"/>
      <c r="AL49" s="1">
        <v>2</v>
      </c>
      <c r="AO49" s="1">
        <v>2</v>
      </c>
      <c r="AP49" s="1">
        <v>2</v>
      </c>
      <c r="AQ49" s="1">
        <v>6</v>
      </c>
      <c r="AR49" s="1">
        <v>24</v>
      </c>
      <c r="AS49" s="1">
        <v>8</v>
      </c>
      <c r="AT49" s="1" t="s">
        <v>478</v>
      </c>
      <c r="AU49" s="1" t="s">
        <v>277</v>
      </c>
      <c r="AV49" s="1">
        <f>8/2</f>
        <v>4</v>
      </c>
      <c r="AX49" s="1">
        <v>1095</v>
      </c>
      <c r="AY49" s="18"/>
      <c r="AZ49" s="18"/>
      <c r="BA49" s="18"/>
      <c r="BB49" s="7"/>
      <c r="BC49" s="3">
        <f>0.05*10^3*Umrechnungsfaktoren!$B$15/Umrechnungsfaktoren!$B$11</f>
        <v>52.1608040201005</v>
      </c>
      <c r="BD49" s="7"/>
      <c r="BE49" s="7"/>
      <c r="BH49" s="1" t="s">
        <v>382</v>
      </c>
      <c r="BI49" s="1" t="s">
        <v>479</v>
      </c>
      <c r="BJ49" s="1" t="s">
        <v>479</v>
      </c>
      <c r="BK49" s="1" t="s">
        <v>479</v>
      </c>
      <c r="BM49" s="12" t="s">
        <v>472</v>
      </c>
      <c r="BN49" s="12" t="s">
        <v>472</v>
      </c>
      <c r="BO49" s="12"/>
      <c r="BP49" s="12" t="s">
        <v>467</v>
      </c>
      <c r="BQ49" s="12" t="s">
        <v>467</v>
      </c>
      <c r="BR49" s="12" t="s">
        <v>467</v>
      </c>
      <c r="BS49" s="12"/>
      <c r="BU49" s="12"/>
      <c r="BV49" s="12" t="s">
        <v>496</v>
      </c>
      <c r="BW49" s="12"/>
      <c r="BX49" s="1" t="s">
        <v>474</v>
      </c>
      <c r="BY49" s="1" t="s">
        <v>474</v>
      </c>
      <c r="BZ49" s="1" t="s">
        <v>473</v>
      </c>
      <c r="CA49" s="1" t="s">
        <v>479</v>
      </c>
      <c r="CB49" s="1" t="s">
        <v>504</v>
      </c>
      <c r="CC49" s="1" t="s">
        <v>499</v>
      </c>
      <c r="CD49" s="1" t="s">
        <v>500</v>
      </c>
      <c r="CE49" s="1" t="s">
        <v>499</v>
      </c>
      <c r="CG49" s="1" t="s">
        <v>499</v>
      </c>
    </row>
    <row r="50" spans="1:85" x14ac:dyDescent="0.2">
      <c r="A50" s="1" t="s">
        <v>211</v>
      </c>
      <c r="B50" s="1" t="s">
        <v>129</v>
      </c>
      <c r="C50" s="1" t="s">
        <v>495</v>
      </c>
      <c r="D50" s="1">
        <v>2010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12</v>
      </c>
      <c r="M50" s="18"/>
      <c r="N50" s="18">
        <v>147</v>
      </c>
      <c r="O50" s="18"/>
      <c r="P50" s="18"/>
      <c r="Q50" s="18"/>
      <c r="R50" s="18">
        <v>73</v>
      </c>
      <c r="S50" s="18"/>
      <c r="T50" s="18"/>
      <c r="U50" s="8">
        <v>0.5</v>
      </c>
      <c r="V50" s="8"/>
      <c r="W50" s="8">
        <v>0.5</v>
      </c>
      <c r="X50" s="8"/>
      <c r="Y50" s="8">
        <f>7008/8760</f>
        <v>0.8</v>
      </c>
      <c r="Z50" s="8"/>
      <c r="AA50" s="8"/>
      <c r="AB50" s="19"/>
      <c r="AC50" s="18"/>
      <c r="AD50" s="8"/>
      <c r="AE50" s="18"/>
      <c r="AF50" s="41">
        <v>0.97</v>
      </c>
      <c r="AG50" s="41">
        <v>0.97</v>
      </c>
      <c r="AH50" s="8"/>
      <c r="AL50" s="1">
        <v>1</v>
      </c>
      <c r="AO50" s="1">
        <v>1</v>
      </c>
      <c r="AR50" s="1">
        <v>2</v>
      </c>
      <c r="AS50" s="1">
        <v>4</v>
      </c>
      <c r="AT50" s="1" t="s">
        <v>375</v>
      </c>
      <c r="AU50" s="1" t="s">
        <v>277</v>
      </c>
      <c r="AV50" s="1">
        <f>4/1</f>
        <v>4</v>
      </c>
      <c r="AX50" s="1">
        <v>1095</v>
      </c>
      <c r="AY50" s="18"/>
      <c r="AZ50" s="18"/>
      <c r="BA50" s="18">
        <f>10*Umrechnungsfaktoren!$B$15/Umrechnungsfaktoren!$B$12</f>
        <v>10.38</v>
      </c>
      <c r="BB50" s="7"/>
      <c r="BC50" s="18">
        <f>5*Umrechnungsfaktoren!$B$15/Umrechnungsfaktoren!$B$12</f>
        <v>5.19</v>
      </c>
      <c r="BD50" s="7"/>
      <c r="BE50" s="7">
        <f>0.03*Tabelle58971115[[#This Row],[Investitionsausgaben €_2018/kW]]</f>
        <v>0.31140000000000001</v>
      </c>
      <c r="BG50" s="6">
        <v>0.08</v>
      </c>
      <c r="BH50" s="1" t="s">
        <v>384</v>
      </c>
      <c r="BI50" s="1" t="s">
        <v>479</v>
      </c>
      <c r="BJ50" s="1" t="s">
        <v>479</v>
      </c>
      <c r="BK50" s="1" t="s">
        <v>479</v>
      </c>
      <c r="BL50" s="1" t="s">
        <v>481</v>
      </c>
      <c r="BM50" s="12" t="s">
        <v>476</v>
      </c>
      <c r="BN50" s="12" t="s">
        <v>477</v>
      </c>
      <c r="BO50" s="12"/>
      <c r="BP50" s="12" t="s">
        <v>467</v>
      </c>
      <c r="BQ50" s="12" t="s">
        <v>467</v>
      </c>
      <c r="BR50" s="12" t="s">
        <v>467</v>
      </c>
      <c r="BS50" s="12"/>
      <c r="BU50" s="12"/>
      <c r="BV50" s="12" t="s">
        <v>496</v>
      </c>
      <c r="BW50" s="12"/>
      <c r="BX50" s="1" t="s">
        <v>474</v>
      </c>
      <c r="BY50" s="1" t="s">
        <v>474</v>
      </c>
      <c r="BZ50" s="1" t="s">
        <v>473</v>
      </c>
      <c r="CA50" s="1" t="s">
        <v>465</v>
      </c>
      <c r="CB50" s="1" t="s">
        <v>504</v>
      </c>
      <c r="CC50" s="1" t="s">
        <v>499</v>
      </c>
      <c r="CD50" s="1" t="s">
        <v>500</v>
      </c>
      <c r="CE50" s="1" t="s">
        <v>499</v>
      </c>
      <c r="CG50" s="1" t="s">
        <v>499</v>
      </c>
    </row>
    <row r="51" spans="1:85" x14ac:dyDescent="0.2">
      <c r="A51" s="1" t="s">
        <v>211</v>
      </c>
      <c r="B51" s="1" t="s">
        <v>129</v>
      </c>
      <c r="C51" s="1" t="s">
        <v>495</v>
      </c>
      <c r="D51" s="1">
        <v>2020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M51" s="18"/>
      <c r="N51" s="18">
        <v>147</v>
      </c>
      <c r="O51" s="18"/>
      <c r="P51" s="18"/>
      <c r="Q51" s="18"/>
      <c r="R51" s="18">
        <v>73</v>
      </c>
      <c r="S51" s="18"/>
      <c r="T51" s="18"/>
      <c r="U51" s="8">
        <v>0.5</v>
      </c>
      <c r="V51" s="8"/>
      <c r="W51" s="8">
        <v>0.5</v>
      </c>
      <c r="X51" s="8"/>
      <c r="Y51" s="8">
        <f>7008/8760</f>
        <v>0.8</v>
      </c>
      <c r="Z5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1" s="8"/>
      <c r="AB51" s="19"/>
      <c r="AC51" s="18"/>
      <c r="AD51" s="8"/>
      <c r="AE51" s="18"/>
      <c r="AF51" s="41">
        <v>0.97</v>
      </c>
      <c r="AG51" s="41">
        <v>0.97</v>
      </c>
      <c r="AH51" s="8"/>
      <c r="AL51" s="1">
        <v>1</v>
      </c>
      <c r="AO51" s="1">
        <v>1</v>
      </c>
      <c r="AR51" s="1">
        <v>2</v>
      </c>
      <c r="AS51" s="1">
        <v>4</v>
      </c>
      <c r="AT51" s="1" t="s">
        <v>375</v>
      </c>
      <c r="AU51" s="1" t="s">
        <v>277</v>
      </c>
      <c r="AV51" s="1">
        <f t="shared" ref="AV51:AV57" si="3">4/1</f>
        <v>4</v>
      </c>
      <c r="AX51" s="1">
        <v>1095</v>
      </c>
      <c r="AY51" s="18"/>
      <c r="AZ51" s="18"/>
      <c r="BA51" s="18">
        <f>10*Umrechnungsfaktoren!$B$15/Umrechnungsfaktoren!$B$12</f>
        <v>10.38</v>
      </c>
      <c r="BB51" s="7"/>
      <c r="BC51" s="18">
        <f>5*Umrechnungsfaktoren!$B$15/Umrechnungsfaktoren!$B$12</f>
        <v>5.19</v>
      </c>
      <c r="BD51" s="7"/>
      <c r="BE51" s="7">
        <f>0.03*Tabelle58971115[[#This Row],[Investitionsausgaben €_2018/kW]]</f>
        <v>0.31140000000000001</v>
      </c>
      <c r="BG51" s="6">
        <v>0.08</v>
      </c>
      <c r="BH51" s="1" t="s">
        <v>384</v>
      </c>
      <c r="BI51" s="1" t="s">
        <v>479</v>
      </c>
      <c r="BJ51" s="1" t="s">
        <v>479</v>
      </c>
      <c r="BK51" s="1" t="s">
        <v>479</v>
      </c>
      <c r="BM51" s="12" t="s">
        <v>470</v>
      </c>
      <c r="BN51" s="12" t="s">
        <v>470</v>
      </c>
      <c r="BO51" s="12"/>
      <c r="BP51" s="12" t="s">
        <v>467</v>
      </c>
      <c r="BQ51" s="12" t="s">
        <v>467</v>
      </c>
      <c r="BR51" s="12" t="s">
        <v>467</v>
      </c>
      <c r="BS51" s="12"/>
      <c r="BU51" s="12"/>
      <c r="BV51" s="12" t="s">
        <v>496</v>
      </c>
      <c r="BW51" s="12"/>
      <c r="BX51" s="1" t="s">
        <v>474</v>
      </c>
      <c r="BY51" s="1" t="s">
        <v>474</v>
      </c>
      <c r="BZ51" s="1" t="s">
        <v>473</v>
      </c>
      <c r="CA51" s="1" t="s">
        <v>465</v>
      </c>
      <c r="CB51" s="1" t="s">
        <v>504</v>
      </c>
      <c r="CC51" s="1" t="s">
        <v>499</v>
      </c>
      <c r="CD51" s="1" t="s">
        <v>500</v>
      </c>
      <c r="CE51" s="1" t="s">
        <v>499</v>
      </c>
      <c r="CG51" s="1" t="s">
        <v>499</v>
      </c>
    </row>
    <row r="52" spans="1:85" x14ac:dyDescent="0.2">
      <c r="A52" s="1" t="s">
        <v>211</v>
      </c>
      <c r="B52" s="1" t="s">
        <v>129</v>
      </c>
      <c r="C52" s="1" t="s">
        <v>495</v>
      </c>
      <c r="D52" s="1">
        <v>2030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M52" s="18"/>
      <c r="N52" s="18">
        <v>147</v>
      </c>
      <c r="O52" s="18"/>
      <c r="P52" s="18"/>
      <c r="Q52" s="18"/>
      <c r="R52" s="18">
        <v>73</v>
      </c>
      <c r="S52" s="18"/>
      <c r="T52" s="18"/>
      <c r="U52" s="8">
        <v>0.5</v>
      </c>
      <c r="V52" s="8"/>
      <c r="W52" s="8">
        <v>0.5</v>
      </c>
      <c r="X52" s="8"/>
      <c r="Y52" s="8">
        <f>7008/8760</f>
        <v>0.8</v>
      </c>
      <c r="Z5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2" s="8"/>
      <c r="AB52" s="19"/>
      <c r="AC52" s="18"/>
      <c r="AD52" s="8"/>
      <c r="AE52" s="18"/>
      <c r="AF52" s="41">
        <v>0.97</v>
      </c>
      <c r="AG52" s="41">
        <v>0.97</v>
      </c>
      <c r="AH52" s="8"/>
      <c r="AL52" s="1">
        <v>1</v>
      </c>
      <c r="AO52" s="1">
        <v>1</v>
      </c>
      <c r="AR52" s="1">
        <v>2</v>
      </c>
      <c r="AS52" s="1">
        <v>4</v>
      </c>
      <c r="AT52" s="1" t="s">
        <v>375</v>
      </c>
      <c r="AU52" s="1" t="s">
        <v>277</v>
      </c>
      <c r="AV52" s="1">
        <f t="shared" si="3"/>
        <v>4</v>
      </c>
      <c r="AX52" s="1">
        <v>1095</v>
      </c>
      <c r="AY52" s="18"/>
      <c r="AZ52" s="18"/>
      <c r="BA52" s="18">
        <f>10*Umrechnungsfaktoren!$B$15/Umrechnungsfaktoren!$B$12</f>
        <v>10.38</v>
      </c>
      <c r="BB52" s="7"/>
      <c r="BC52" s="18">
        <f>5*Umrechnungsfaktoren!$B$15/Umrechnungsfaktoren!$B$12</f>
        <v>5.19</v>
      </c>
      <c r="BD52" s="7"/>
      <c r="BE52" s="7">
        <f>0.03*Tabelle58971115[[#This Row],[Investitionsausgaben €_2018/kW]]</f>
        <v>0.31140000000000001</v>
      </c>
      <c r="BG52" s="6">
        <v>0.08</v>
      </c>
      <c r="BH52" s="1" t="s">
        <v>384</v>
      </c>
      <c r="BI52" s="1" t="s">
        <v>479</v>
      </c>
      <c r="BJ52" s="1" t="s">
        <v>479</v>
      </c>
      <c r="BK52" s="1" t="s">
        <v>479</v>
      </c>
      <c r="BM52" s="12" t="s">
        <v>471</v>
      </c>
      <c r="BN52" s="12" t="s">
        <v>471</v>
      </c>
      <c r="BO52" s="12"/>
      <c r="BP52" s="12" t="s">
        <v>467</v>
      </c>
      <c r="BQ52" s="12" t="s">
        <v>467</v>
      </c>
      <c r="BR52" s="12" t="s">
        <v>467</v>
      </c>
      <c r="BS52" s="12"/>
      <c r="BU52" s="12"/>
      <c r="BV52" s="12" t="s">
        <v>496</v>
      </c>
      <c r="BW52" s="12"/>
      <c r="BX52" s="1" t="s">
        <v>474</v>
      </c>
      <c r="BY52" s="1" t="s">
        <v>474</v>
      </c>
      <c r="BZ52" s="1" t="s">
        <v>473</v>
      </c>
      <c r="CA52" s="1" t="s">
        <v>465</v>
      </c>
      <c r="CB52" s="1" t="s">
        <v>504</v>
      </c>
      <c r="CC52" s="1" t="s">
        <v>499</v>
      </c>
      <c r="CD52" s="1" t="s">
        <v>500</v>
      </c>
      <c r="CE52" s="1" t="s">
        <v>499</v>
      </c>
      <c r="CG52" s="1" t="s">
        <v>499</v>
      </c>
    </row>
    <row r="53" spans="1:85" x14ac:dyDescent="0.2">
      <c r="A53" s="1" t="s">
        <v>211</v>
      </c>
      <c r="B53" s="1" t="s">
        <v>129</v>
      </c>
      <c r="C53" s="1" t="s">
        <v>495</v>
      </c>
      <c r="D53" s="1">
        <v>2050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M53" s="18"/>
      <c r="N53" s="18">
        <v>147</v>
      </c>
      <c r="O53" s="18"/>
      <c r="P53" s="18"/>
      <c r="Q53" s="18"/>
      <c r="R53" s="18">
        <v>73</v>
      </c>
      <c r="S53" s="18"/>
      <c r="T53" s="18"/>
      <c r="U53" s="8">
        <v>0.5</v>
      </c>
      <c r="V53" s="8"/>
      <c r="W53" s="8">
        <v>0.5</v>
      </c>
      <c r="X53" s="8"/>
      <c r="Y53" s="8">
        <f>7008/8760</f>
        <v>0.8</v>
      </c>
      <c r="Z5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3" s="8"/>
      <c r="AB53" s="19"/>
      <c r="AC53" s="18"/>
      <c r="AD53" s="8"/>
      <c r="AE53" s="18"/>
      <c r="AF53" s="41">
        <v>0.97</v>
      </c>
      <c r="AG53" s="41">
        <v>0.97</v>
      </c>
      <c r="AH53" s="8"/>
      <c r="AL53" s="1">
        <v>1</v>
      </c>
      <c r="AO53" s="1">
        <v>1</v>
      </c>
      <c r="AR53" s="1">
        <v>2</v>
      </c>
      <c r="AS53" s="1">
        <v>4</v>
      </c>
      <c r="AT53" s="1" t="s">
        <v>375</v>
      </c>
      <c r="AU53" s="1" t="s">
        <v>277</v>
      </c>
      <c r="AV53" s="1">
        <f t="shared" si="3"/>
        <v>4</v>
      </c>
      <c r="AX53" s="1">
        <v>1095</v>
      </c>
      <c r="AY53" s="18"/>
      <c r="AZ53" s="18"/>
      <c r="BA53" s="18">
        <f>10*Umrechnungsfaktoren!$B$15/Umrechnungsfaktoren!$B$12</f>
        <v>10.38</v>
      </c>
      <c r="BB53" s="7"/>
      <c r="BC53" s="18">
        <f>5*Umrechnungsfaktoren!$B$15/Umrechnungsfaktoren!$B$12</f>
        <v>5.19</v>
      </c>
      <c r="BD53" s="7"/>
      <c r="BE53" s="7">
        <f>0.03*Tabelle58971115[[#This Row],[Investitionsausgaben €_2018/kW]]</f>
        <v>0.31140000000000001</v>
      </c>
      <c r="BG53" s="6">
        <v>0.08</v>
      </c>
      <c r="BH53" s="1" t="s">
        <v>384</v>
      </c>
      <c r="BI53" s="1" t="s">
        <v>479</v>
      </c>
      <c r="BJ53" s="1" t="s">
        <v>479</v>
      </c>
      <c r="BK53" s="1" t="s">
        <v>479</v>
      </c>
      <c r="BM53" s="12" t="s">
        <v>472</v>
      </c>
      <c r="BN53" s="12" t="s">
        <v>472</v>
      </c>
      <c r="BO53" s="12"/>
      <c r="BP53" s="12" t="s">
        <v>467</v>
      </c>
      <c r="BQ53" s="12" t="s">
        <v>467</v>
      </c>
      <c r="BR53" s="12" t="s">
        <v>467</v>
      </c>
      <c r="BS53" s="12"/>
      <c r="BU53" s="12"/>
      <c r="BV53" s="12" t="s">
        <v>496</v>
      </c>
      <c r="BW53" s="12"/>
      <c r="BX53" s="1" t="s">
        <v>474</v>
      </c>
      <c r="BY53" s="1" t="s">
        <v>474</v>
      </c>
      <c r="BZ53" s="1" t="s">
        <v>473</v>
      </c>
      <c r="CA53" s="1" t="s">
        <v>465</v>
      </c>
      <c r="CB53" s="1" t="s">
        <v>504</v>
      </c>
      <c r="CC53" s="1" t="s">
        <v>499</v>
      </c>
      <c r="CD53" s="1" t="s">
        <v>500</v>
      </c>
      <c r="CE53" s="1" t="s">
        <v>499</v>
      </c>
      <c r="CG53" s="1" t="s">
        <v>499</v>
      </c>
    </row>
    <row r="54" spans="1:85" x14ac:dyDescent="0.2">
      <c r="A54" s="1" t="s">
        <v>406</v>
      </c>
      <c r="B54" s="1" t="s">
        <v>130</v>
      </c>
      <c r="C54" s="1" t="s">
        <v>495</v>
      </c>
      <c r="D54" s="1">
        <v>2010</v>
      </c>
      <c r="E54" s="1">
        <v>1</v>
      </c>
      <c r="F54" s="1">
        <v>0</v>
      </c>
      <c r="G54" s="1">
        <v>0</v>
      </c>
      <c r="H54" s="1">
        <v>0</v>
      </c>
      <c r="I54" s="1">
        <v>1</v>
      </c>
      <c r="M54" s="18"/>
      <c r="N54" s="18">
        <v>779</v>
      </c>
      <c r="O54" s="18"/>
      <c r="P54" s="18"/>
      <c r="Q54" s="18"/>
      <c r="R54" s="18">
        <v>389</v>
      </c>
      <c r="S54" s="18"/>
      <c r="T54" s="18"/>
      <c r="U54" s="8"/>
      <c r="V54" s="8"/>
      <c r="W54" s="8"/>
      <c r="X54" s="8"/>
      <c r="Y54" s="8">
        <f>5840/8760</f>
        <v>0.66666666666666663</v>
      </c>
      <c r="Z54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4" s="8"/>
      <c r="AB54" s="19"/>
      <c r="AC54" s="18"/>
      <c r="AD54" s="8"/>
      <c r="AE54" s="18"/>
      <c r="AF54" s="41">
        <v>0.97</v>
      </c>
      <c r="AG54" s="41">
        <v>0.97</v>
      </c>
      <c r="AH54" s="8"/>
      <c r="AL54" s="1">
        <v>1</v>
      </c>
      <c r="AO54" s="1">
        <v>1</v>
      </c>
      <c r="AR54" s="1">
        <v>2</v>
      </c>
      <c r="AS54" s="1">
        <v>4</v>
      </c>
      <c r="AT54" s="1" t="s">
        <v>478</v>
      </c>
      <c r="AU54" s="1" t="s">
        <v>277</v>
      </c>
      <c r="AV54" s="1">
        <f t="shared" si="3"/>
        <v>4</v>
      </c>
      <c r="AX54" s="1">
        <v>1095</v>
      </c>
      <c r="AY54" s="18"/>
      <c r="AZ54" s="18"/>
      <c r="BA54" s="18">
        <f>10*Umrechnungsfaktoren!$B$15/Umrechnungsfaktoren!$B$12</f>
        <v>10.38</v>
      </c>
      <c r="BB54" s="7"/>
      <c r="BC54" s="18">
        <f>5*Umrechnungsfaktoren!$B$15/Umrechnungsfaktoren!$B$12</f>
        <v>5.19</v>
      </c>
      <c r="BD54" s="7"/>
      <c r="BE54" s="7">
        <f>0.03*Tabelle58971115[[#This Row],[Investitionsausgaben €_2018/kW]]</f>
        <v>0.31140000000000001</v>
      </c>
      <c r="BG54" s="6">
        <v>0.08</v>
      </c>
      <c r="BH54" s="1" t="s">
        <v>386</v>
      </c>
      <c r="BI54" s="1" t="s">
        <v>479</v>
      </c>
      <c r="BJ54" s="1" t="s">
        <v>479</v>
      </c>
      <c r="BK54" s="1" t="s">
        <v>479</v>
      </c>
      <c r="BM54" s="12" t="s">
        <v>476</v>
      </c>
      <c r="BN54" s="12" t="s">
        <v>477</v>
      </c>
      <c r="BO54" s="12"/>
      <c r="BP54" s="12"/>
      <c r="BQ54" s="12" t="s">
        <v>468</v>
      </c>
      <c r="BR54" s="12" t="s">
        <v>468</v>
      </c>
      <c r="BS54" s="12"/>
      <c r="BU54" s="12"/>
      <c r="BV54" s="12" t="s">
        <v>496</v>
      </c>
      <c r="BW54" s="12"/>
      <c r="BX54" s="1" t="s">
        <v>474</v>
      </c>
      <c r="BY54" s="1" t="s">
        <v>474</v>
      </c>
      <c r="BZ54" s="1" t="s">
        <v>473</v>
      </c>
      <c r="CA54" s="1" t="s">
        <v>479</v>
      </c>
      <c r="CB54" s="1" t="s">
        <v>504</v>
      </c>
      <c r="CC54" s="1" t="s">
        <v>499</v>
      </c>
      <c r="CD54" s="1" t="s">
        <v>500</v>
      </c>
      <c r="CE54" s="1" t="s">
        <v>499</v>
      </c>
      <c r="CG54" s="1" t="s">
        <v>499</v>
      </c>
    </row>
    <row r="55" spans="1:85" x14ac:dyDescent="0.2">
      <c r="A55" s="1" t="s">
        <v>406</v>
      </c>
      <c r="B55" s="1" t="s">
        <v>130</v>
      </c>
      <c r="C55" s="1" t="s">
        <v>495</v>
      </c>
      <c r="D55" s="1">
        <v>2020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M55" s="18"/>
      <c r="N55" s="18">
        <v>395</v>
      </c>
      <c r="O55" s="18"/>
      <c r="P55" s="18"/>
      <c r="Q55" s="18"/>
      <c r="R55" s="18">
        <v>439</v>
      </c>
      <c r="S55" s="18"/>
      <c r="T55" s="18"/>
      <c r="U55" s="8"/>
      <c r="V55" s="8"/>
      <c r="W55" s="8">
        <v>0.45</v>
      </c>
      <c r="X55" s="8">
        <v>1</v>
      </c>
      <c r="Y55" s="8"/>
      <c r="Z55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5" s="8"/>
      <c r="AB55" s="19"/>
      <c r="AC55" s="18"/>
      <c r="AD55" s="8"/>
      <c r="AE55" s="18"/>
      <c r="AF55" s="41">
        <v>0.97</v>
      </c>
      <c r="AG55" s="41">
        <v>0.97</v>
      </c>
      <c r="AH55" s="8"/>
      <c r="AL55" s="1">
        <v>1</v>
      </c>
      <c r="AO55" s="1">
        <v>1</v>
      </c>
      <c r="AR55" s="1">
        <v>2</v>
      </c>
      <c r="AS55" s="1">
        <v>4</v>
      </c>
      <c r="AT55" s="1" t="s">
        <v>478</v>
      </c>
      <c r="AU55" s="1" t="s">
        <v>277</v>
      </c>
      <c r="AV55" s="1">
        <f t="shared" si="3"/>
        <v>4</v>
      </c>
      <c r="AX55" s="1">
        <v>1095</v>
      </c>
      <c r="AY55" s="18"/>
      <c r="AZ55" s="18"/>
      <c r="BA55" s="18">
        <f>10*Umrechnungsfaktoren!$B$15/Umrechnungsfaktoren!$B$12</f>
        <v>10.38</v>
      </c>
      <c r="BB55" s="7"/>
      <c r="BC55" s="18">
        <f>5*Umrechnungsfaktoren!$B$15/Umrechnungsfaktoren!$B$12</f>
        <v>5.19</v>
      </c>
      <c r="BD55" s="7"/>
      <c r="BE55" s="7">
        <f>0.03*Tabelle58971115[[#This Row],[Investitionsausgaben €_2018/kW]]</f>
        <v>0.31140000000000001</v>
      </c>
      <c r="BG55" s="6">
        <v>0.08</v>
      </c>
      <c r="BH55" s="1" t="s">
        <v>386</v>
      </c>
      <c r="BI55" s="1" t="s">
        <v>479</v>
      </c>
      <c r="BJ55" s="1" t="s">
        <v>479</v>
      </c>
      <c r="BK55" s="1" t="s">
        <v>479</v>
      </c>
      <c r="BM55" s="12" t="s">
        <v>470</v>
      </c>
      <c r="BN55" s="12" t="s">
        <v>470</v>
      </c>
      <c r="BO55" s="12"/>
      <c r="BP55" s="12"/>
      <c r="BQ55" s="12" t="s">
        <v>468</v>
      </c>
      <c r="BR55" s="12" t="s">
        <v>468</v>
      </c>
      <c r="BS55" s="12"/>
      <c r="BU55" s="12"/>
      <c r="BV55" s="12" t="s">
        <v>496</v>
      </c>
      <c r="BW55" s="12"/>
      <c r="BX55" s="1" t="s">
        <v>474</v>
      </c>
      <c r="BY55" s="1" t="s">
        <v>474</v>
      </c>
      <c r="BZ55" s="1" t="s">
        <v>473</v>
      </c>
      <c r="CA55" s="1" t="s">
        <v>479</v>
      </c>
      <c r="CB55" s="1" t="s">
        <v>504</v>
      </c>
      <c r="CC55" s="1" t="s">
        <v>499</v>
      </c>
      <c r="CD55" s="1" t="s">
        <v>500</v>
      </c>
      <c r="CE55" s="1" t="s">
        <v>499</v>
      </c>
      <c r="CG55" s="1" t="s">
        <v>499</v>
      </c>
    </row>
    <row r="56" spans="1:85" x14ac:dyDescent="0.2">
      <c r="A56" s="1" t="s">
        <v>406</v>
      </c>
      <c r="B56" s="1" t="s">
        <v>130</v>
      </c>
      <c r="C56" s="1" t="s">
        <v>495</v>
      </c>
      <c r="D56" s="1">
        <v>2030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M56" s="18"/>
      <c r="N56" s="18">
        <v>478</v>
      </c>
      <c r="O56" s="18"/>
      <c r="P56" s="18"/>
      <c r="Q56" s="18"/>
      <c r="R56" s="18">
        <v>478</v>
      </c>
      <c r="S56" s="18"/>
      <c r="T56" s="18"/>
      <c r="U56" s="8"/>
      <c r="V56" s="8"/>
      <c r="W56" s="8">
        <v>0.5</v>
      </c>
      <c r="X56" s="8">
        <v>1</v>
      </c>
      <c r="Y56" s="8"/>
      <c r="Z56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6" s="8"/>
      <c r="AB56" s="19"/>
      <c r="AC56" s="18"/>
      <c r="AD56" s="8"/>
      <c r="AE56" s="18"/>
      <c r="AF56" s="41">
        <v>0.97</v>
      </c>
      <c r="AG56" s="41">
        <v>0.97</v>
      </c>
      <c r="AH56" s="8"/>
      <c r="AL56" s="1">
        <v>1</v>
      </c>
      <c r="AO56" s="1">
        <v>1</v>
      </c>
      <c r="AR56" s="1">
        <v>2</v>
      </c>
      <c r="AS56" s="1">
        <v>4</v>
      </c>
      <c r="AT56" s="1" t="s">
        <v>478</v>
      </c>
      <c r="AU56" s="1" t="s">
        <v>277</v>
      </c>
      <c r="AV56" s="1">
        <f t="shared" si="3"/>
        <v>4</v>
      </c>
      <c r="AX56" s="1">
        <v>1095</v>
      </c>
      <c r="AY56" s="18"/>
      <c r="AZ56" s="18"/>
      <c r="BA56" s="18">
        <f>10*Umrechnungsfaktoren!$B$15/Umrechnungsfaktoren!$B$12</f>
        <v>10.38</v>
      </c>
      <c r="BB56" s="7"/>
      <c r="BC56" s="18">
        <f>5*Umrechnungsfaktoren!$B$15/Umrechnungsfaktoren!$B$12</f>
        <v>5.19</v>
      </c>
      <c r="BD56" s="7"/>
      <c r="BE56" s="7">
        <f>0.03*Tabelle58971115[[#This Row],[Investitionsausgaben €_2018/kW]]</f>
        <v>0.31140000000000001</v>
      </c>
      <c r="BG56" s="6">
        <v>0.08</v>
      </c>
      <c r="BH56" s="1" t="s">
        <v>386</v>
      </c>
      <c r="BI56" s="1" t="s">
        <v>479</v>
      </c>
      <c r="BJ56" s="1" t="s">
        <v>479</v>
      </c>
      <c r="BK56" s="1" t="s">
        <v>479</v>
      </c>
      <c r="BM56" s="12" t="s">
        <v>471</v>
      </c>
      <c r="BN56" s="12" t="s">
        <v>471</v>
      </c>
      <c r="BO56" s="12"/>
      <c r="BP56" s="12"/>
      <c r="BQ56" s="12" t="s">
        <v>468</v>
      </c>
      <c r="BR56" s="12" t="s">
        <v>468</v>
      </c>
      <c r="BS56" s="12"/>
      <c r="BU56" s="12"/>
      <c r="BV56" s="12" t="s">
        <v>496</v>
      </c>
      <c r="BW56" s="12"/>
      <c r="BX56" s="1" t="s">
        <v>474</v>
      </c>
      <c r="BY56" s="1" t="s">
        <v>474</v>
      </c>
      <c r="BZ56" s="1" t="s">
        <v>473</v>
      </c>
      <c r="CA56" s="1" t="s">
        <v>479</v>
      </c>
      <c r="CB56" s="1" t="s">
        <v>504</v>
      </c>
      <c r="CC56" s="1" t="s">
        <v>499</v>
      </c>
      <c r="CD56" s="1" t="s">
        <v>500</v>
      </c>
      <c r="CE56" s="1" t="s">
        <v>499</v>
      </c>
      <c r="CG56" s="1" t="s">
        <v>499</v>
      </c>
    </row>
    <row r="57" spans="1:85" x14ac:dyDescent="0.2">
      <c r="A57" s="1" t="s">
        <v>406</v>
      </c>
      <c r="B57" s="1" t="s">
        <v>130</v>
      </c>
      <c r="C57" s="1" t="s">
        <v>495</v>
      </c>
      <c r="D57" s="1">
        <v>2050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M57" s="18"/>
      <c r="N57" s="18">
        <v>535</v>
      </c>
      <c r="O57" s="18"/>
      <c r="P57" s="18"/>
      <c r="Q57" s="18"/>
      <c r="R57" s="18">
        <v>446</v>
      </c>
      <c r="S57" s="18"/>
      <c r="T57" s="18"/>
      <c r="U57" s="8"/>
      <c r="V57" s="8"/>
      <c r="W57" s="8">
        <v>0.6</v>
      </c>
      <c r="X57" s="8">
        <v>1</v>
      </c>
      <c r="Y57" s="8"/>
      <c r="Z5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7" s="8"/>
      <c r="AB57" s="19"/>
      <c r="AC57" s="18"/>
      <c r="AD57" s="8"/>
      <c r="AE57" s="18"/>
      <c r="AF57" s="41">
        <v>0.97</v>
      </c>
      <c r="AG57" s="41">
        <v>0.97</v>
      </c>
      <c r="AH57" s="8"/>
      <c r="AL57" s="1">
        <v>1</v>
      </c>
      <c r="AO57" s="1">
        <v>1</v>
      </c>
      <c r="AR57" s="1">
        <v>2</v>
      </c>
      <c r="AS57" s="1">
        <v>4</v>
      </c>
      <c r="AT57" s="1" t="s">
        <v>478</v>
      </c>
      <c r="AU57" s="1" t="s">
        <v>277</v>
      </c>
      <c r="AV57" s="1">
        <f t="shared" si="3"/>
        <v>4</v>
      </c>
      <c r="AX57" s="1">
        <v>1095</v>
      </c>
      <c r="AY57" s="18"/>
      <c r="AZ57" s="18"/>
      <c r="BA57" s="18">
        <f>10*Umrechnungsfaktoren!$B$15/Umrechnungsfaktoren!$B$12</f>
        <v>10.38</v>
      </c>
      <c r="BB57" s="7"/>
      <c r="BC57" s="18">
        <f>5*Umrechnungsfaktoren!$B$15/Umrechnungsfaktoren!$B$12</f>
        <v>5.19</v>
      </c>
      <c r="BD57" s="7"/>
      <c r="BE57" s="7">
        <f>0.03*Tabelle58971115[[#This Row],[Investitionsausgaben €_2018/kW]]</f>
        <v>0.31140000000000001</v>
      </c>
      <c r="BG57" s="6">
        <v>0.08</v>
      </c>
      <c r="BH57" s="1" t="s">
        <v>386</v>
      </c>
      <c r="BI57" s="1" t="s">
        <v>479</v>
      </c>
      <c r="BJ57" s="1" t="s">
        <v>479</v>
      </c>
      <c r="BK57" s="1" t="s">
        <v>479</v>
      </c>
      <c r="BM57" s="12" t="s">
        <v>472</v>
      </c>
      <c r="BN57" s="12" t="s">
        <v>472</v>
      </c>
      <c r="BO57" s="12"/>
      <c r="BP57" s="12"/>
      <c r="BQ57" s="12" t="s">
        <v>468</v>
      </c>
      <c r="BR57" s="12" t="s">
        <v>468</v>
      </c>
      <c r="BS57" s="12"/>
      <c r="BU57" s="12"/>
      <c r="BV57" s="12" t="s">
        <v>496</v>
      </c>
      <c r="BW57" s="12"/>
      <c r="BX57" s="1" t="s">
        <v>474</v>
      </c>
      <c r="BY57" s="1" t="s">
        <v>474</v>
      </c>
      <c r="BZ57" s="1" t="s">
        <v>473</v>
      </c>
      <c r="CA57" s="1" t="s">
        <v>479</v>
      </c>
      <c r="CB57" s="1" t="s">
        <v>504</v>
      </c>
      <c r="CC57" s="1" t="s">
        <v>499</v>
      </c>
      <c r="CD57" s="1" t="s">
        <v>500</v>
      </c>
      <c r="CE57" s="1" t="s">
        <v>499</v>
      </c>
      <c r="CG57" s="1" t="s">
        <v>499</v>
      </c>
    </row>
    <row r="58" spans="1:85" x14ac:dyDescent="0.2">
      <c r="A58" s="1" t="s">
        <v>1087</v>
      </c>
      <c r="B58" s="1" t="s">
        <v>130</v>
      </c>
      <c r="C58" s="1" t="e">
        <f>VLOOKUP(Tabelle58971115[[#This Row],[Prozess]],#REF!,3,FALSE)</f>
        <v>#REF!</v>
      </c>
      <c r="D58" s="1">
        <v>2010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M58" s="18"/>
      <c r="N58" s="18">
        <v>104</v>
      </c>
      <c r="O58" s="18"/>
      <c r="P58" s="18"/>
      <c r="Q58" s="18"/>
      <c r="R58" s="18">
        <v>78</v>
      </c>
      <c r="S58" s="18"/>
      <c r="T58" s="18"/>
      <c r="U58" s="8"/>
      <c r="V58" s="8"/>
      <c r="W58" s="8"/>
      <c r="X58" s="8"/>
      <c r="Y58" s="8">
        <f>5000/8760</f>
        <v>0.57077625570776258</v>
      </c>
      <c r="Z5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8" s="8"/>
      <c r="AB58" s="19"/>
      <c r="AC58" s="18"/>
      <c r="AD58" s="8"/>
      <c r="AE58" s="18"/>
      <c r="AF58" s="42">
        <v>0.95499999999999996</v>
      </c>
      <c r="AG58" s="42">
        <v>0.98</v>
      </c>
      <c r="AH58" s="8"/>
      <c r="AL58" s="1">
        <v>2</v>
      </c>
      <c r="AO58" s="1">
        <v>2</v>
      </c>
      <c r="AP58" s="1">
        <v>2</v>
      </c>
      <c r="AQ58" s="1">
        <v>6</v>
      </c>
      <c r="AR58" s="1">
        <v>2</v>
      </c>
      <c r="AS58" s="1">
        <v>8</v>
      </c>
      <c r="AT58" s="1" t="s">
        <v>478</v>
      </c>
      <c r="AU58" s="1" t="s">
        <v>277</v>
      </c>
      <c r="AV58" s="1">
        <f t="shared" ref="AV58:AV65" si="4">8/2</f>
        <v>4</v>
      </c>
      <c r="AX58" s="1">
        <v>1095</v>
      </c>
      <c r="AY58" s="18"/>
      <c r="AZ58" s="18"/>
      <c r="BA58" s="18">
        <f>5*Umrechnungsfaktoren!$B$15/Umrechnungsfaktoren!$B$12</f>
        <v>5.19</v>
      </c>
      <c r="BB58" s="7"/>
      <c r="BC58" s="3">
        <f>20*Umrechnungsfaktoren!$B$15/Umrechnungsfaktoren!$B$11</f>
        <v>20.8643216080402</v>
      </c>
      <c r="BD58" s="7">
        <f>0.03*Tabelle58971115[[#This Row],[Investitionsausgaben €_2018/kW]]</f>
        <v>0.15570000000000001</v>
      </c>
      <c r="BE58" s="7"/>
      <c r="BG58" s="6">
        <v>0.31</v>
      </c>
      <c r="BH58" s="1" t="s">
        <v>386</v>
      </c>
      <c r="BI58" s="1" t="s">
        <v>479</v>
      </c>
      <c r="BJ58" s="1" t="s">
        <v>479</v>
      </c>
      <c r="BK58" s="1" t="s">
        <v>479</v>
      </c>
      <c r="BM58" s="12" t="s">
        <v>476</v>
      </c>
      <c r="BN58" s="12" t="s">
        <v>477</v>
      </c>
      <c r="BO58" s="12"/>
      <c r="BP58" s="12"/>
      <c r="BQ58" s="12" t="s">
        <v>468</v>
      </c>
      <c r="BR58" s="12" t="s">
        <v>468</v>
      </c>
      <c r="BS58" s="12"/>
      <c r="BU58" s="12"/>
      <c r="BV58" s="12" t="s">
        <v>496</v>
      </c>
      <c r="BW58" s="12"/>
      <c r="BX58" s="1" t="s">
        <v>474</v>
      </c>
      <c r="BY58" s="1" t="s">
        <v>474</v>
      </c>
      <c r="BZ58" s="1" t="s">
        <v>473</v>
      </c>
      <c r="CA58" s="1" t="s">
        <v>479</v>
      </c>
      <c r="CB58" s="1" t="s">
        <v>504</v>
      </c>
      <c r="CC58" s="1" t="s">
        <v>499</v>
      </c>
      <c r="CD58" s="1" t="s">
        <v>500</v>
      </c>
      <c r="CE58" s="1" t="s">
        <v>499</v>
      </c>
      <c r="CG58" s="1" t="s">
        <v>499</v>
      </c>
    </row>
    <row r="59" spans="1:85" x14ac:dyDescent="0.2">
      <c r="A59" s="1" t="s">
        <v>1087</v>
      </c>
      <c r="B59" s="1" t="s">
        <v>130</v>
      </c>
      <c r="C59" s="1" t="e">
        <f>VLOOKUP(Tabelle58971115[[#This Row],[Prozess]],#REF!,3,FALSE)</f>
        <v>#REF!</v>
      </c>
      <c r="D59" s="1">
        <v>2020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M59" s="18"/>
      <c r="N59" s="18">
        <v>64</v>
      </c>
      <c r="O59" s="18"/>
      <c r="P59" s="18"/>
      <c r="Q59" s="18"/>
      <c r="R59" s="18">
        <v>79</v>
      </c>
      <c r="S59" s="18"/>
      <c r="T59" s="18"/>
      <c r="U59" s="8"/>
      <c r="V59" s="8"/>
      <c r="W59" s="8">
        <v>0.55000000000000004</v>
      </c>
      <c r="X59" s="8">
        <v>0.9</v>
      </c>
      <c r="Y59" s="8"/>
      <c r="Z5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59" s="8"/>
      <c r="AB59" s="19"/>
      <c r="AC59" s="18"/>
      <c r="AD59" s="8"/>
      <c r="AE59" s="18"/>
      <c r="AF59" s="42">
        <v>0.95499999999999996</v>
      </c>
      <c r="AG59" s="42">
        <v>0.98</v>
      </c>
      <c r="AH59" s="8"/>
      <c r="AL59" s="1">
        <v>2</v>
      </c>
      <c r="AO59" s="1">
        <v>2</v>
      </c>
      <c r="AP59" s="1">
        <v>2</v>
      </c>
      <c r="AQ59" s="1">
        <v>6</v>
      </c>
      <c r="AR59" s="1">
        <v>2</v>
      </c>
      <c r="AS59" s="1">
        <v>8</v>
      </c>
      <c r="AT59" s="1" t="s">
        <v>478</v>
      </c>
      <c r="AU59" s="1" t="s">
        <v>277</v>
      </c>
      <c r="AV59" s="1">
        <f t="shared" si="4"/>
        <v>4</v>
      </c>
      <c r="AX59" s="1">
        <v>1095</v>
      </c>
      <c r="AY59" s="18"/>
      <c r="AZ59" s="18"/>
      <c r="BA59" s="18">
        <f>5*Umrechnungsfaktoren!$B$15/Umrechnungsfaktoren!$B$12</f>
        <v>5.19</v>
      </c>
      <c r="BB59" s="7"/>
      <c r="BC59" s="3">
        <f>20*Umrechnungsfaktoren!$B$15/Umrechnungsfaktoren!$B$11</f>
        <v>20.8643216080402</v>
      </c>
      <c r="BD59" s="7">
        <f>0.03*Tabelle58971115[[#This Row],[Investitionsausgaben €_2018/kW]]</f>
        <v>0.15570000000000001</v>
      </c>
      <c r="BE59" s="7"/>
      <c r="BG59" s="6">
        <v>0.31</v>
      </c>
      <c r="BH59" s="1" t="s">
        <v>386</v>
      </c>
      <c r="BI59" s="1" t="s">
        <v>479</v>
      </c>
      <c r="BJ59" s="1" t="s">
        <v>479</v>
      </c>
      <c r="BK59" s="1" t="s">
        <v>479</v>
      </c>
      <c r="BM59" s="12" t="s">
        <v>470</v>
      </c>
      <c r="BN59" s="12" t="s">
        <v>470</v>
      </c>
      <c r="BO59" s="12"/>
      <c r="BP59" s="12"/>
      <c r="BQ59" s="12" t="s">
        <v>468</v>
      </c>
      <c r="BR59" s="12" t="s">
        <v>468</v>
      </c>
      <c r="BS59" s="12"/>
      <c r="BU59" s="12"/>
      <c r="BV59" s="12" t="s">
        <v>496</v>
      </c>
      <c r="BW59" s="12"/>
      <c r="BX59" s="1" t="s">
        <v>474</v>
      </c>
      <c r="BY59" s="1" t="s">
        <v>474</v>
      </c>
      <c r="BZ59" s="1" t="s">
        <v>473</v>
      </c>
      <c r="CA59" s="1" t="s">
        <v>479</v>
      </c>
      <c r="CB59" s="1" t="s">
        <v>504</v>
      </c>
      <c r="CC59" s="1" t="s">
        <v>499</v>
      </c>
      <c r="CD59" s="1" t="s">
        <v>500</v>
      </c>
      <c r="CE59" s="1" t="s">
        <v>499</v>
      </c>
      <c r="CG59" s="1" t="s">
        <v>499</v>
      </c>
    </row>
    <row r="60" spans="1:85" x14ac:dyDescent="0.2">
      <c r="A60" s="1" t="s">
        <v>1087</v>
      </c>
      <c r="B60" s="1" t="s">
        <v>130</v>
      </c>
      <c r="C60" s="1" t="e">
        <f>VLOOKUP(Tabelle58971115[[#This Row],[Prozess]],#REF!,3,FALSE)</f>
        <v>#REF!</v>
      </c>
      <c r="D60" s="1">
        <v>2030</v>
      </c>
      <c r="E60" s="1">
        <v>1</v>
      </c>
      <c r="F60" s="1">
        <v>0</v>
      </c>
      <c r="G60" s="1">
        <v>0</v>
      </c>
      <c r="H60" s="1">
        <v>1</v>
      </c>
      <c r="I60" s="1">
        <v>1</v>
      </c>
      <c r="M60" s="18"/>
      <c r="N60" s="18">
        <v>76</v>
      </c>
      <c r="O60" s="18"/>
      <c r="P60" s="18"/>
      <c r="Q60" s="18"/>
      <c r="R60" s="18">
        <v>86</v>
      </c>
      <c r="S60" s="18"/>
      <c r="T60" s="18"/>
      <c r="U60" s="8"/>
      <c r="V60" s="8"/>
      <c r="W60" s="8">
        <v>0.6</v>
      </c>
      <c r="X60" s="8">
        <v>0.9</v>
      </c>
      <c r="Y60" s="8"/>
      <c r="Z6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0" s="8"/>
      <c r="AB60" s="19"/>
      <c r="AC60" s="18"/>
      <c r="AD60" s="8"/>
      <c r="AE60" s="18"/>
      <c r="AF60" s="42">
        <v>0.95499999999999996</v>
      </c>
      <c r="AG60" s="42">
        <v>0.98</v>
      </c>
      <c r="AH60" s="8"/>
      <c r="AL60" s="1">
        <v>2</v>
      </c>
      <c r="AO60" s="1">
        <v>2</v>
      </c>
      <c r="AP60" s="1">
        <v>2</v>
      </c>
      <c r="AQ60" s="1">
        <v>6</v>
      </c>
      <c r="AR60" s="1">
        <v>2</v>
      </c>
      <c r="AS60" s="1">
        <v>8</v>
      </c>
      <c r="AT60" s="1" t="s">
        <v>478</v>
      </c>
      <c r="AU60" s="1" t="s">
        <v>277</v>
      </c>
      <c r="AV60" s="1">
        <f t="shared" si="4"/>
        <v>4</v>
      </c>
      <c r="AX60" s="1">
        <v>1095</v>
      </c>
      <c r="AY60" s="18"/>
      <c r="AZ60" s="18"/>
      <c r="BA60" s="18">
        <f>5*Umrechnungsfaktoren!$B$15/Umrechnungsfaktoren!$B$12</f>
        <v>5.19</v>
      </c>
      <c r="BB60" s="7"/>
      <c r="BC60" s="3">
        <f>20*Umrechnungsfaktoren!$B$15/Umrechnungsfaktoren!$B$11</f>
        <v>20.8643216080402</v>
      </c>
      <c r="BD60" s="7">
        <f>0.03*Tabelle58971115[[#This Row],[Investitionsausgaben €_2018/kW]]</f>
        <v>0.15570000000000001</v>
      </c>
      <c r="BE60" s="7"/>
      <c r="BG60" s="6">
        <v>0.31</v>
      </c>
      <c r="BH60" s="1" t="s">
        <v>386</v>
      </c>
      <c r="BI60" s="1" t="s">
        <v>479</v>
      </c>
      <c r="BJ60" s="1" t="s">
        <v>479</v>
      </c>
      <c r="BK60" s="1" t="s">
        <v>479</v>
      </c>
      <c r="BM60" s="12" t="s">
        <v>471</v>
      </c>
      <c r="BN60" s="12" t="s">
        <v>471</v>
      </c>
      <c r="BO60" s="12"/>
      <c r="BP60" s="12"/>
      <c r="BQ60" s="12" t="s">
        <v>468</v>
      </c>
      <c r="BR60" s="12" t="s">
        <v>468</v>
      </c>
      <c r="BS60" s="12"/>
      <c r="BU60" s="12"/>
      <c r="BV60" s="12" t="s">
        <v>496</v>
      </c>
      <c r="BW60" s="12"/>
      <c r="BX60" s="1" t="s">
        <v>474</v>
      </c>
      <c r="BY60" s="1" t="s">
        <v>474</v>
      </c>
      <c r="BZ60" s="1" t="s">
        <v>473</v>
      </c>
      <c r="CA60" s="1" t="s">
        <v>479</v>
      </c>
      <c r="CB60" s="1" t="s">
        <v>504</v>
      </c>
      <c r="CC60" s="1" t="s">
        <v>499</v>
      </c>
      <c r="CD60" s="1" t="s">
        <v>500</v>
      </c>
      <c r="CE60" s="1" t="s">
        <v>499</v>
      </c>
      <c r="CG60" s="1" t="s">
        <v>499</v>
      </c>
    </row>
    <row r="61" spans="1:85" x14ac:dyDescent="0.2">
      <c r="A61" s="1" t="s">
        <v>1087</v>
      </c>
      <c r="B61" s="1" t="s">
        <v>130</v>
      </c>
      <c r="C61" s="1" t="e">
        <f>VLOOKUP(Tabelle58971115[[#This Row],[Prozess]],#REF!,3,FALSE)</f>
        <v>#REF!</v>
      </c>
      <c r="D61" s="1">
        <v>2050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M61" s="18"/>
      <c r="N61" s="18">
        <v>83</v>
      </c>
      <c r="O61" s="18"/>
      <c r="P61" s="18"/>
      <c r="Q61" s="18"/>
      <c r="R61" s="18">
        <v>80</v>
      </c>
      <c r="S61" s="18"/>
      <c r="T61" s="18"/>
      <c r="U61" s="8"/>
      <c r="V61" s="8"/>
      <c r="W61" s="8">
        <v>0.7</v>
      </c>
      <c r="X61" s="8">
        <v>0.9</v>
      </c>
      <c r="Y61" s="8"/>
      <c r="Z6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1" s="8"/>
      <c r="AB61" s="19"/>
      <c r="AC61" s="18"/>
      <c r="AD61" s="8"/>
      <c r="AE61" s="18"/>
      <c r="AF61" s="42">
        <v>0.95499999999999996</v>
      </c>
      <c r="AG61" s="42">
        <v>0.98</v>
      </c>
      <c r="AH61" s="8"/>
      <c r="AL61" s="1">
        <v>2</v>
      </c>
      <c r="AO61" s="1">
        <v>2</v>
      </c>
      <c r="AP61" s="1">
        <v>2</v>
      </c>
      <c r="AQ61" s="1">
        <v>6</v>
      </c>
      <c r="AR61" s="1">
        <v>2</v>
      </c>
      <c r="AS61" s="1">
        <v>8</v>
      </c>
      <c r="AT61" s="1" t="s">
        <v>478</v>
      </c>
      <c r="AU61" s="1" t="s">
        <v>277</v>
      </c>
      <c r="AV61" s="1">
        <f t="shared" si="4"/>
        <v>4</v>
      </c>
      <c r="AX61" s="1">
        <v>1095</v>
      </c>
      <c r="AY61" s="18"/>
      <c r="AZ61" s="18"/>
      <c r="BA61" s="18">
        <f>5*Umrechnungsfaktoren!$B$15/Umrechnungsfaktoren!$B$12</f>
        <v>5.19</v>
      </c>
      <c r="BB61" s="7"/>
      <c r="BC61" s="3">
        <f>20*Umrechnungsfaktoren!$B$15/Umrechnungsfaktoren!$B$11</f>
        <v>20.8643216080402</v>
      </c>
      <c r="BD61" s="7">
        <f>0.03*Tabelle58971115[[#This Row],[Investitionsausgaben €_2018/kW]]</f>
        <v>0.15570000000000001</v>
      </c>
      <c r="BE61" s="7"/>
      <c r="BG61" s="6">
        <v>0.31</v>
      </c>
      <c r="BH61" s="1" t="s">
        <v>386</v>
      </c>
      <c r="BI61" s="1" t="s">
        <v>479</v>
      </c>
      <c r="BJ61" s="1" t="s">
        <v>479</v>
      </c>
      <c r="BK61" s="1" t="s">
        <v>479</v>
      </c>
      <c r="BM61" s="12" t="s">
        <v>472</v>
      </c>
      <c r="BN61" s="12" t="s">
        <v>472</v>
      </c>
      <c r="BO61" s="12"/>
      <c r="BP61" s="12"/>
      <c r="BQ61" s="12" t="s">
        <v>468</v>
      </c>
      <c r="BR61" s="12" t="s">
        <v>468</v>
      </c>
      <c r="BS61" s="12"/>
      <c r="BU61" s="12"/>
      <c r="BV61" s="12" t="s">
        <v>496</v>
      </c>
      <c r="BW61" s="12"/>
      <c r="BX61" s="1" t="s">
        <v>474</v>
      </c>
      <c r="BY61" s="1" t="s">
        <v>474</v>
      </c>
      <c r="BZ61" s="1" t="s">
        <v>473</v>
      </c>
      <c r="CA61" s="1" t="s">
        <v>479</v>
      </c>
      <c r="CB61" s="1" t="s">
        <v>504</v>
      </c>
      <c r="CC61" s="1" t="s">
        <v>499</v>
      </c>
      <c r="CD61" s="1" t="s">
        <v>500</v>
      </c>
      <c r="CE61" s="1" t="s">
        <v>499</v>
      </c>
      <c r="CG61" s="1" t="s">
        <v>499</v>
      </c>
    </row>
    <row r="62" spans="1:85" x14ac:dyDescent="0.2">
      <c r="A62" s="1" t="s">
        <v>376</v>
      </c>
      <c r="B62" s="1" t="s">
        <v>130</v>
      </c>
      <c r="C62" s="1" t="e">
        <f>VLOOKUP(Tabelle58971115[[#This Row],[Prozess]],#REF!,3,FALSE)</f>
        <v>#REF!</v>
      </c>
      <c r="D62" s="1">
        <v>2010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M62" s="18"/>
      <c r="N62" s="18">
        <v>156</v>
      </c>
      <c r="O62" s="18"/>
      <c r="P62" s="18"/>
      <c r="Q62" s="18"/>
      <c r="R62" s="18">
        <v>117</v>
      </c>
      <c r="S62" s="18"/>
      <c r="T62" s="18"/>
      <c r="U62" s="8"/>
      <c r="V62" s="8"/>
      <c r="W62" s="8"/>
      <c r="X62" s="8"/>
      <c r="Y62" s="8">
        <f>5000/8760</f>
        <v>0.57077625570776258</v>
      </c>
      <c r="Z6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2" s="8"/>
      <c r="AB62" s="19"/>
      <c r="AC62" s="18"/>
      <c r="AD62" s="8"/>
      <c r="AE62" s="18"/>
      <c r="AF62" s="42">
        <v>0.95499999999999996</v>
      </c>
      <c r="AG62" s="42">
        <v>0.98</v>
      </c>
      <c r="AH62" s="8"/>
      <c r="AL62" s="1">
        <v>2</v>
      </c>
      <c r="AO62" s="1">
        <v>2</v>
      </c>
      <c r="AP62" s="1">
        <v>2</v>
      </c>
      <c r="AQ62" s="1">
        <v>6</v>
      </c>
      <c r="AR62" s="1">
        <v>2</v>
      </c>
      <c r="AS62" s="1">
        <v>8</v>
      </c>
      <c r="AT62" s="1" t="s">
        <v>478</v>
      </c>
      <c r="AU62" s="1" t="s">
        <v>277</v>
      </c>
      <c r="AV62" s="1">
        <f t="shared" si="4"/>
        <v>4</v>
      </c>
      <c r="AX62" s="1">
        <v>1095</v>
      </c>
      <c r="AY62" s="18"/>
      <c r="AZ62" s="18"/>
      <c r="BA62" s="18">
        <f>5*Umrechnungsfaktoren!$B$15/Umrechnungsfaktoren!$B$12</f>
        <v>5.19</v>
      </c>
      <c r="BB62" s="7"/>
      <c r="BC62" s="3">
        <f>20*Umrechnungsfaktoren!$B$15/Umrechnungsfaktoren!$B$11</f>
        <v>20.8643216080402</v>
      </c>
      <c r="BD62" s="7">
        <f>0.03*Tabelle58971115[[#This Row],[Investitionsausgaben €_2018/kW]]</f>
        <v>0.15570000000000001</v>
      </c>
      <c r="BE62" s="7"/>
      <c r="BG62" s="6">
        <v>0.31</v>
      </c>
      <c r="BH62" s="1" t="s">
        <v>386</v>
      </c>
      <c r="BI62" s="1" t="s">
        <v>479</v>
      </c>
      <c r="BJ62" s="1" t="s">
        <v>479</v>
      </c>
      <c r="BK62" s="1" t="s">
        <v>479</v>
      </c>
      <c r="BM62" s="12" t="s">
        <v>476</v>
      </c>
      <c r="BN62" s="12" t="s">
        <v>477</v>
      </c>
      <c r="BO62" s="12"/>
      <c r="BP62" s="12"/>
      <c r="BQ62" s="12" t="s">
        <v>468</v>
      </c>
      <c r="BR62" s="12" t="s">
        <v>468</v>
      </c>
      <c r="BS62" s="12"/>
      <c r="BU62" s="12"/>
      <c r="BV62" s="12" t="s">
        <v>496</v>
      </c>
      <c r="BW62" s="12"/>
      <c r="BX62" s="1" t="s">
        <v>474</v>
      </c>
      <c r="BY62" s="1" t="s">
        <v>474</v>
      </c>
      <c r="BZ62" s="1" t="s">
        <v>473</v>
      </c>
      <c r="CA62" s="1" t="s">
        <v>479</v>
      </c>
      <c r="CB62" s="1" t="s">
        <v>504</v>
      </c>
      <c r="CC62" s="1" t="s">
        <v>499</v>
      </c>
      <c r="CD62" s="1" t="s">
        <v>500</v>
      </c>
      <c r="CE62" s="1" t="s">
        <v>499</v>
      </c>
      <c r="CG62" s="1" t="s">
        <v>499</v>
      </c>
    </row>
    <row r="63" spans="1:85" x14ac:dyDescent="0.2">
      <c r="A63" s="1" t="s">
        <v>376</v>
      </c>
      <c r="B63" s="1" t="s">
        <v>130</v>
      </c>
      <c r="C63" s="1" t="e">
        <f>VLOOKUP(Tabelle58971115[[#This Row],[Prozess]],#REF!,3,FALSE)</f>
        <v>#REF!</v>
      </c>
      <c r="D63" s="1">
        <v>2020</v>
      </c>
      <c r="E63" s="1">
        <v>1</v>
      </c>
      <c r="F63" s="1">
        <v>0</v>
      </c>
      <c r="G63" s="1">
        <v>0</v>
      </c>
      <c r="H63" s="1">
        <v>1</v>
      </c>
      <c r="I63" s="1">
        <v>1</v>
      </c>
      <c r="M63" s="18"/>
      <c r="N63" s="18">
        <v>40</v>
      </c>
      <c r="O63" s="18"/>
      <c r="P63" s="18"/>
      <c r="Q63" s="18"/>
      <c r="R63" s="18">
        <v>118</v>
      </c>
      <c r="S63" s="18"/>
      <c r="T63" s="18"/>
      <c r="U63" s="8"/>
      <c r="V63" s="8"/>
      <c r="W63" s="8">
        <v>0.23</v>
      </c>
      <c r="X63" s="8">
        <v>0.9</v>
      </c>
      <c r="Y63" s="8"/>
      <c r="Z6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3" s="8"/>
      <c r="AB63" s="19"/>
      <c r="AC63" s="18"/>
      <c r="AD63" s="8"/>
      <c r="AE63" s="18"/>
      <c r="AF63" s="42">
        <v>0.95499999999999996</v>
      </c>
      <c r="AG63" s="42">
        <v>0.98</v>
      </c>
      <c r="AH63" s="8"/>
      <c r="AL63" s="1">
        <v>2</v>
      </c>
      <c r="AO63" s="1">
        <v>2</v>
      </c>
      <c r="AP63" s="1">
        <v>2</v>
      </c>
      <c r="AQ63" s="1">
        <v>6</v>
      </c>
      <c r="AR63" s="1">
        <v>2</v>
      </c>
      <c r="AS63" s="1">
        <v>8</v>
      </c>
      <c r="AT63" s="1" t="s">
        <v>478</v>
      </c>
      <c r="AU63" s="1" t="s">
        <v>277</v>
      </c>
      <c r="AV63" s="1">
        <f t="shared" si="4"/>
        <v>4</v>
      </c>
      <c r="AX63" s="1">
        <v>1095</v>
      </c>
      <c r="AY63" s="18"/>
      <c r="AZ63" s="18"/>
      <c r="BA63" s="18">
        <f>5*Umrechnungsfaktoren!$B$15/Umrechnungsfaktoren!$B$12</f>
        <v>5.19</v>
      </c>
      <c r="BB63" s="7"/>
      <c r="BC63" s="3">
        <f>20*Umrechnungsfaktoren!$B$15/Umrechnungsfaktoren!$B$11</f>
        <v>20.8643216080402</v>
      </c>
      <c r="BD63" s="7">
        <f>0.03*Tabelle58971115[[#This Row],[Investitionsausgaben €_2018/kW]]</f>
        <v>0.15570000000000001</v>
      </c>
      <c r="BE63" s="7"/>
      <c r="BG63" s="6">
        <v>0.31</v>
      </c>
      <c r="BH63" s="1" t="s">
        <v>386</v>
      </c>
      <c r="BI63" s="1" t="s">
        <v>479</v>
      </c>
      <c r="BJ63" s="1" t="s">
        <v>479</v>
      </c>
      <c r="BK63" s="1" t="s">
        <v>479</v>
      </c>
      <c r="BM63" s="12" t="s">
        <v>470</v>
      </c>
      <c r="BN63" s="12" t="s">
        <v>470</v>
      </c>
      <c r="BO63" s="12"/>
      <c r="BP63" s="12"/>
      <c r="BQ63" s="12" t="s">
        <v>468</v>
      </c>
      <c r="BR63" s="12" t="s">
        <v>468</v>
      </c>
      <c r="BS63" s="12"/>
      <c r="BU63" s="12"/>
      <c r="BV63" s="12" t="s">
        <v>496</v>
      </c>
      <c r="BW63" s="12"/>
      <c r="BX63" s="1" t="s">
        <v>474</v>
      </c>
      <c r="BY63" s="1" t="s">
        <v>474</v>
      </c>
      <c r="BZ63" s="1" t="s">
        <v>473</v>
      </c>
      <c r="CA63" s="1" t="s">
        <v>479</v>
      </c>
      <c r="CB63" s="1" t="s">
        <v>504</v>
      </c>
      <c r="CC63" s="1" t="s">
        <v>499</v>
      </c>
      <c r="CD63" s="1" t="s">
        <v>500</v>
      </c>
      <c r="CE63" s="1" t="s">
        <v>499</v>
      </c>
      <c r="CG63" s="1" t="s">
        <v>499</v>
      </c>
    </row>
    <row r="64" spans="1:85" x14ac:dyDescent="0.2">
      <c r="A64" s="1" t="s">
        <v>376</v>
      </c>
      <c r="B64" s="1" t="s">
        <v>130</v>
      </c>
      <c r="C64" s="1" t="e">
        <f>VLOOKUP(Tabelle58971115[[#This Row],[Prozess]],#REF!,3,FALSE)</f>
        <v>#REF!</v>
      </c>
      <c r="D64" s="1">
        <v>2030</v>
      </c>
      <c r="E64" s="1">
        <v>1</v>
      </c>
      <c r="F64" s="1">
        <v>0</v>
      </c>
      <c r="G64" s="1">
        <v>0</v>
      </c>
      <c r="H64" s="1">
        <v>1</v>
      </c>
      <c r="I64" s="1">
        <v>1</v>
      </c>
      <c r="M64" s="18"/>
      <c r="N64" s="18">
        <v>48</v>
      </c>
      <c r="O64" s="18"/>
      <c r="P64" s="18"/>
      <c r="Q64" s="18"/>
      <c r="R64" s="18">
        <v>129</v>
      </c>
      <c r="S64" s="18"/>
      <c r="T64" s="18"/>
      <c r="U64" s="8"/>
      <c r="V64" s="8"/>
      <c r="W64" s="8">
        <v>0.25</v>
      </c>
      <c r="X64" s="8">
        <v>0.9</v>
      </c>
      <c r="Y64" s="8"/>
      <c r="Z64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4" s="8"/>
      <c r="AB64" s="19"/>
      <c r="AC64" s="18"/>
      <c r="AD64" s="8"/>
      <c r="AE64" s="18"/>
      <c r="AF64" s="42">
        <v>0.95499999999999996</v>
      </c>
      <c r="AG64" s="42">
        <v>0.98</v>
      </c>
      <c r="AH64" s="8"/>
      <c r="AL64" s="1">
        <v>2</v>
      </c>
      <c r="AO64" s="1">
        <v>2</v>
      </c>
      <c r="AP64" s="1">
        <v>2</v>
      </c>
      <c r="AQ64" s="1">
        <v>6</v>
      </c>
      <c r="AR64" s="1">
        <v>2</v>
      </c>
      <c r="AS64" s="1">
        <v>8</v>
      </c>
      <c r="AT64" s="1" t="s">
        <v>478</v>
      </c>
      <c r="AU64" s="1" t="s">
        <v>277</v>
      </c>
      <c r="AV64" s="1">
        <f t="shared" si="4"/>
        <v>4</v>
      </c>
      <c r="AX64" s="1">
        <v>1095</v>
      </c>
      <c r="AY64" s="18"/>
      <c r="AZ64" s="18"/>
      <c r="BA64" s="18">
        <f>5*Umrechnungsfaktoren!$B$15/Umrechnungsfaktoren!$B$12</f>
        <v>5.19</v>
      </c>
      <c r="BB64" s="7"/>
      <c r="BC64" s="3">
        <f>20*Umrechnungsfaktoren!$B$15/Umrechnungsfaktoren!$B$11</f>
        <v>20.8643216080402</v>
      </c>
      <c r="BD64" s="7">
        <f>0.03*Tabelle58971115[[#This Row],[Investitionsausgaben €_2018/kW]]</f>
        <v>0.15570000000000001</v>
      </c>
      <c r="BE64" s="7"/>
      <c r="BG64" s="6">
        <v>0.31</v>
      </c>
      <c r="BH64" s="1" t="s">
        <v>386</v>
      </c>
      <c r="BI64" s="1" t="s">
        <v>479</v>
      </c>
      <c r="BJ64" s="1" t="s">
        <v>479</v>
      </c>
      <c r="BK64" s="1" t="s">
        <v>479</v>
      </c>
      <c r="BM64" s="12" t="s">
        <v>471</v>
      </c>
      <c r="BN64" s="12" t="s">
        <v>471</v>
      </c>
      <c r="BO64" s="12"/>
      <c r="BP64" s="12"/>
      <c r="BQ64" s="12" t="s">
        <v>468</v>
      </c>
      <c r="BR64" s="12" t="s">
        <v>468</v>
      </c>
      <c r="BS64" s="12"/>
      <c r="BU64" s="12"/>
      <c r="BV64" s="12" t="s">
        <v>496</v>
      </c>
      <c r="BW64" s="12"/>
      <c r="BX64" s="1" t="s">
        <v>474</v>
      </c>
      <c r="BY64" s="1" t="s">
        <v>474</v>
      </c>
      <c r="BZ64" s="1" t="s">
        <v>473</v>
      </c>
      <c r="CA64" s="1" t="s">
        <v>479</v>
      </c>
      <c r="CB64" s="1" t="s">
        <v>504</v>
      </c>
      <c r="CC64" s="1" t="s">
        <v>499</v>
      </c>
      <c r="CD64" s="1" t="s">
        <v>500</v>
      </c>
      <c r="CE64" s="1" t="s">
        <v>499</v>
      </c>
      <c r="CG64" s="1" t="s">
        <v>499</v>
      </c>
    </row>
    <row r="65" spans="1:87" x14ac:dyDescent="0.2">
      <c r="A65" s="1" t="s">
        <v>376</v>
      </c>
      <c r="B65" s="1" t="s">
        <v>130</v>
      </c>
      <c r="C65" s="1" t="e">
        <f>VLOOKUP(Tabelle58971115[[#This Row],[Prozess]],#REF!,3,FALSE)</f>
        <v>#REF!</v>
      </c>
      <c r="D65" s="1">
        <v>2050</v>
      </c>
      <c r="E65" s="1">
        <v>1</v>
      </c>
      <c r="F65" s="1">
        <v>0</v>
      </c>
      <c r="G65" s="1">
        <v>0</v>
      </c>
      <c r="H65" s="1">
        <v>1</v>
      </c>
      <c r="I65" s="1">
        <v>1</v>
      </c>
      <c r="M65" s="18"/>
      <c r="N65" s="18">
        <v>53</v>
      </c>
      <c r="O65" s="18"/>
      <c r="P65" s="18"/>
      <c r="Q65" s="18"/>
      <c r="R65" s="18">
        <v>120</v>
      </c>
      <c r="S65" s="18"/>
      <c r="T65" s="18"/>
      <c r="U65" s="8"/>
      <c r="V65" s="8"/>
      <c r="W65" s="8">
        <v>0.3</v>
      </c>
      <c r="X65" s="8">
        <v>0.9</v>
      </c>
      <c r="Y65" s="8"/>
      <c r="Z65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5" s="8"/>
      <c r="AB65" s="19"/>
      <c r="AC65" s="18"/>
      <c r="AD65" s="8"/>
      <c r="AE65" s="18"/>
      <c r="AF65" s="42">
        <v>0.95499999999999996</v>
      </c>
      <c r="AG65" s="42">
        <v>0.98</v>
      </c>
      <c r="AH65" s="8"/>
      <c r="AL65" s="1">
        <v>2</v>
      </c>
      <c r="AO65" s="1">
        <v>2</v>
      </c>
      <c r="AP65" s="1">
        <v>2</v>
      </c>
      <c r="AQ65" s="1">
        <v>6</v>
      </c>
      <c r="AR65" s="1">
        <v>2</v>
      </c>
      <c r="AS65" s="1">
        <v>8</v>
      </c>
      <c r="AT65" s="1" t="s">
        <v>478</v>
      </c>
      <c r="AU65" s="1" t="s">
        <v>277</v>
      </c>
      <c r="AV65" s="1">
        <f t="shared" si="4"/>
        <v>4</v>
      </c>
      <c r="AX65" s="1">
        <v>1095</v>
      </c>
      <c r="AY65" s="18"/>
      <c r="AZ65" s="18"/>
      <c r="BA65" s="18">
        <f>5*Umrechnungsfaktoren!$B$15/Umrechnungsfaktoren!$B$12</f>
        <v>5.19</v>
      </c>
      <c r="BB65" s="7"/>
      <c r="BC65" s="3">
        <f>20*Umrechnungsfaktoren!$B$15/Umrechnungsfaktoren!$B$11</f>
        <v>20.8643216080402</v>
      </c>
      <c r="BD65" s="7">
        <f>0.03*Tabelle58971115[[#This Row],[Investitionsausgaben €_2018/kW]]</f>
        <v>0.15570000000000001</v>
      </c>
      <c r="BE65" s="7"/>
      <c r="BG65" s="6">
        <v>0.31</v>
      </c>
      <c r="BH65" s="1" t="s">
        <v>386</v>
      </c>
      <c r="BI65" s="1" t="s">
        <v>479</v>
      </c>
      <c r="BJ65" s="1" t="s">
        <v>479</v>
      </c>
      <c r="BK65" s="1" t="s">
        <v>479</v>
      </c>
      <c r="BM65" s="12" t="s">
        <v>472</v>
      </c>
      <c r="BN65" s="12" t="s">
        <v>472</v>
      </c>
      <c r="BO65" s="12"/>
      <c r="BP65" s="12"/>
      <c r="BQ65" s="12" t="s">
        <v>468</v>
      </c>
      <c r="BR65" s="12" t="s">
        <v>468</v>
      </c>
      <c r="BS65" s="12"/>
      <c r="BU65" s="12"/>
      <c r="BV65" s="12" t="s">
        <v>496</v>
      </c>
      <c r="BW65" s="12"/>
      <c r="BX65" s="1" t="s">
        <v>474</v>
      </c>
      <c r="BY65" s="1" t="s">
        <v>474</v>
      </c>
      <c r="BZ65" s="1" t="s">
        <v>473</v>
      </c>
      <c r="CA65" s="1" t="s">
        <v>479</v>
      </c>
      <c r="CB65" s="1" t="s">
        <v>504</v>
      </c>
      <c r="CC65" s="1" t="s">
        <v>499</v>
      </c>
      <c r="CD65" s="1" t="s">
        <v>500</v>
      </c>
      <c r="CE65" s="1" t="s">
        <v>499</v>
      </c>
      <c r="CG65" s="1" t="s">
        <v>499</v>
      </c>
    </row>
    <row r="66" spans="1:87" x14ac:dyDescent="0.2">
      <c r="A66" s="1" t="s">
        <v>211</v>
      </c>
      <c r="B66" s="1" t="s">
        <v>130</v>
      </c>
      <c r="C66" s="1" t="s">
        <v>495</v>
      </c>
      <c r="D66" s="1">
        <v>2010</v>
      </c>
      <c r="E66" s="1">
        <v>1</v>
      </c>
      <c r="F66" s="1">
        <v>0</v>
      </c>
      <c r="G66" s="1">
        <v>0</v>
      </c>
      <c r="H66" s="1">
        <v>0</v>
      </c>
      <c r="I66" s="1">
        <v>1</v>
      </c>
      <c r="M66" s="18"/>
      <c r="N66" s="18">
        <v>1962</v>
      </c>
      <c r="O66" s="18"/>
      <c r="P66" s="18"/>
      <c r="Q66" s="18"/>
      <c r="R66" s="18">
        <v>1962</v>
      </c>
      <c r="S66" s="18"/>
      <c r="T66" s="18"/>
      <c r="U66" s="8"/>
      <c r="V66" s="8"/>
      <c r="W66" s="8"/>
      <c r="X66" s="8"/>
      <c r="Y66" s="8">
        <f>4380/8760</f>
        <v>0.5</v>
      </c>
      <c r="Z66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6" s="8"/>
      <c r="AB66" s="19"/>
      <c r="AC66" s="18"/>
      <c r="AD66" s="8"/>
      <c r="AE66" s="18"/>
      <c r="AF66" s="41"/>
      <c r="AG66" s="41"/>
      <c r="AH66" s="8">
        <v>0.97</v>
      </c>
      <c r="AL66" s="1">
        <v>1</v>
      </c>
      <c r="AO66" s="1">
        <v>1</v>
      </c>
      <c r="AR66" s="1">
        <v>2</v>
      </c>
      <c r="AS66" s="1">
        <v>4</v>
      </c>
      <c r="AT66" s="1" t="s">
        <v>480</v>
      </c>
      <c r="AU66" s="1" t="s">
        <v>277</v>
      </c>
      <c r="AV66" s="1">
        <f t="shared" ref="AV66:AV73" si="5">4/1</f>
        <v>4</v>
      </c>
      <c r="AX66" s="1">
        <v>1095</v>
      </c>
      <c r="AY66" s="18"/>
      <c r="AZ66" s="18"/>
      <c r="BA66" s="18">
        <f>10*Umrechnungsfaktoren!$B$15/Umrechnungsfaktoren!$B$12</f>
        <v>10.38</v>
      </c>
      <c r="BB66" s="7"/>
      <c r="BC66" s="18">
        <f>5*Umrechnungsfaktoren!$B$15/Umrechnungsfaktoren!$B$12</f>
        <v>5.19</v>
      </c>
      <c r="BD66" s="7"/>
      <c r="BE66" s="7">
        <f>0.03*Tabelle58971115[[#This Row],[Investitionsausgaben €_2018/kW]]</f>
        <v>0.31140000000000001</v>
      </c>
      <c r="BG66" s="6">
        <v>0.08</v>
      </c>
      <c r="BH66" s="1" t="s">
        <v>385</v>
      </c>
      <c r="BI66" s="1" t="s">
        <v>479</v>
      </c>
      <c r="BJ66" s="1" t="s">
        <v>479</v>
      </c>
      <c r="BK66" s="1" t="s">
        <v>479</v>
      </c>
      <c r="BM66" s="12" t="s">
        <v>476</v>
      </c>
      <c r="BN66" s="12" t="s">
        <v>477</v>
      </c>
      <c r="BO66" s="12"/>
      <c r="BP66" s="12"/>
      <c r="BQ66" s="12" t="s">
        <v>468</v>
      </c>
      <c r="BR66" s="12" t="s">
        <v>468</v>
      </c>
      <c r="BS66" s="12"/>
      <c r="BU66" s="12"/>
      <c r="BV66" s="12" t="s">
        <v>496</v>
      </c>
      <c r="BW66" s="12"/>
      <c r="BX66" s="1" t="s">
        <v>474</v>
      </c>
      <c r="BY66" s="1" t="s">
        <v>474</v>
      </c>
      <c r="BZ66" s="1" t="s">
        <v>473</v>
      </c>
      <c r="CA66" s="1" t="s">
        <v>479</v>
      </c>
      <c r="CB66" s="1" t="s">
        <v>504</v>
      </c>
      <c r="CC66" s="1" t="s">
        <v>499</v>
      </c>
      <c r="CD66" s="1" t="s">
        <v>500</v>
      </c>
      <c r="CE66" s="1" t="s">
        <v>499</v>
      </c>
      <c r="CG66" s="1" t="s">
        <v>499</v>
      </c>
    </row>
    <row r="67" spans="1:87" x14ac:dyDescent="0.2">
      <c r="A67" s="1" t="s">
        <v>211</v>
      </c>
      <c r="B67" s="1" t="s">
        <v>130</v>
      </c>
      <c r="C67" s="1" t="s">
        <v>495</v>
      </c>
      <c r="D67" s="1">
        <v>2020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M67" s="18"/>
      <c r="N67" s="18">
        <v>488</v>
      </c>
      <c r="O67" s="18"/>
      <c r="P67" s="18"/>
      <c r="Q67" s="18"/>
      <c r="R67" s="18">
        <v>2123</v>
      </c>
      <c r="S67" s="18"/>
      <c r="T67" s="18"/>
      <c r="U67" s="8"/>
      <c r="V67" s="8"/>
      <c r="W67" s="8">
        <v>0.23</v>
      </c>
      <c r="X67" s="8">
        <v>1</v>
      </c>
      <c r="Y67" s="8"/>
      <c r="Z6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7" s="8"/>
      <c r="AB67" s="19"/>
      <c r="AC67" s="18"/>
      <c r="AD67" s="8"/>
      <c r="AE67" s="18"/>
      <c r="AF67" s="41"/>
      <c r="AG67" s="41"/>
      <c r="AH67" s="8">
        <v>0.97</v>
      </c>
      <c r="AL67" s="1">
        <v>1</v>
      </c>
      <c r="AO67" s="1">
        <v>1</v>
      </c>
      <c r="AR67" s="1">
        <v>2</v>
      </c>
      <c r="AS67" s="1">
        <v>4</v>
      </c>
      <c r="AT67" s="1" t="s">
        <v>480</v>
      </c>
      <c r="AU67" s="1" t="s">
        <v>277</v>
      </c>
      <c r="AV67" s="1">
        <f t="shared" si="5"/>
        <v>4</v>
      </c>
      <c r="AX67" s="1">
        <v>1095</v>
      </c>
      <c r="AY67" s="18"/>
      <c r="AZ67" s="18"/>
      <c r="BA67" s="18">
        <f>10*Umrechnungsfaktoren!$B$15/Umrechnungsfaktoren!$B$12</f>
        <v>10.38</v>
      </c>
      <c r="BB67" s="7"/>
      <c r="BC67" s="18">
        <f>5*Umrechnungsfaktoren!$B$15/Umrechnungsfaktoren!$B$12</f>
        <v>5.19</v>
      </c>
      <c r="BD67" s="7"/>
      <c r="BE67" s="7">
        <f>0.03*Tabelle58971115[[#This Row],[Investitionsausgaben €_2018/kW]]</f>
        <v>0.31140000000000001</v>
      </c>
      <c r="BG67" s="6">
        <v>0.08</v>
      </c>
      <c r="BH67" s="1" t="s">
        <v>385</v>
      </c>
      <c r="BI67" s="1" t="s">
        <v>479</v>
      </c>
      <c r="BJ67" s="1" t="s">
        <v>479</v>
      </c>
      <c r="BK67" s="1" t="s">
        <v>479</v>
      </c>
      <c r="BM67" s="12" t="s">
        <v>470</v>
      </c>
      <c r="BN67" s="12" t="s">
        <v>470</v>
      </c>
      <c r="BO67" s="12"/>
      <c r="BP67" s="12"/>
      <c r="BQ67" s="12" t="s">
        <v>468</v>
      </c>
      <c r="BR67" s="12" t="s">
        <v>468</v>
      </c>
      <c r="BS67" s="12"/>
      <c r="BU67" s="12"/>
      <c r="BV67" s="12" t="s">
        <v>496</v>
      </c>
      <c r="BW67" s="12"/>
      <c r="BX67" s="1" t="s">
        <v>474</v>
      </c>
      <c r="BY67" s="1" t="s">
        <v>474</v>
      </c>
      <c r="BZ67" s="1" t="s">
        <v>473</v>
      </c>
      <c r="CA67" s="1" t="s">
        <v>479</v>
      </c>
      <c r="CB67" s="1" t="s">
        <v>504</v>
      </c>
      <c r="CC67" s="1" t="s">
        <v>499</v>
      </c>
      <c r="CD67" s="1" t="s">
        <v>500</v>
      </c>
      <c r="CE67" s="1" t="s">
        <v>499</v>
      </c>
      <c r="CG67" s="1" t="s">
        <v>499</v>
      </c>
    </row>
    <row r="68" spans="1:87" x14ac:dyDescent="0.2">
      <c r="A68" s="1" t="s">
        <v>211</v>
      </c>
      <c r="B68" s="1" t="s">
        <v>130</v>
      </c>
      <c r="C68" s="1" t="s">
        <v>495</v>
      </c>
      <c r="D68" s="1">
        <v>2030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M68" s="18"/>
      <c r="N68" s="18">
        <v>551</v>
      </c>
      <c r="O68" s="18"/>
      <c r="P68" s="18"/>
      <c r="Q68" s="18"/>
      <c r="R68" s="18">
        <v>2204</v>
      </c>
      <c r="S68" s="18"/>
      <c r="T68" s="18"/>
      <c r="U68" s="8"/>
      <c r="V68" s="8"/>
      <c r="W68" s="8">
        <v>0.25</v>
      </c>
      <c r="X68" s="8">
        <v>1</v>
      </c>
      <c r="Y68" s="8"/>
      <c r="Z6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8" s="8"/>
      <c r="AB68" s="19"/>
      <c r="AC68" s="18"/>
      <c r="AD68" s="8"/>
      <c r="AE68" s="18"/>
      <c r="AF68" s="41"/>
      <c r="AG68" s="41"/>
      <c r="AH68" s="8">
        <v>0.97</v>
      </c>
      <c r="AL68" s="1">
        <v>1</v>
      </c>
      <c r="AO68" s="1">
        <v>1</v>
      </c>
      <c r="AR68" s="1">
        <v>2</v>
      </c>
      <c r="AS68" s="1">
        <v>4</v>
      </c>
      <c r="AT68" s="1" t="s">
        <v>480</v>
      </c>
      <c r="AU68" s="1" t="s">
        <v>277</v>
      </c>
      <c r="AV68" s="1">
        <f t="shared" si="5"/>
        <v>4</v>
      </c>
      <c r="AX68" s="1">
        <v>1095</v>
      </c>
      <c r="AY68" s="18"/>
      <c r="AZ68" s="18"/>
      <c r="BA68" s="18">
        <f>10*Umrechnungsfaktoren!$B$15/Umrechnungsfaktoren!$B$12</f>
        <v>10.38</v>
      </c>
      <c r="BB68" s="7"/>
      <c r="BC68" s="18">
        <f>5*Umrechnungsfaktoren!$B$15/Umrechnungsfaktoren!$B$12</f>
        <v>5.19</v>
      </c>
      <c r="BD68" s="7"/>
      <c r="BE68" s="7">
        <f>0.03*Tabelle58971115[[#This Row],[Investitionsausgaben €_2018/kW]]</f>
        <v>0.31140000000000001</v>
      </c>
      <c r="BG68" s="6">
        <v>0.08</v>
      </c>
      <c r="BH68" s="1" t="s">
        <v>385</v>
      </c>
      <c r="BI68" s="1" t="s">
        <v>479</v>
      </c>
      <c r="BJ68" s="1" t="s">
        <v>479</v>
      </c>
      <c r="BK68" s="1" t="s">
        <v>479</v>
      </c>
      <c r="BM68" s="12" t="s">
        <v>471</v>
      </c>
      <c r="BN68" s="12" t="s">
        <v>471</v>
      </c>
      <c r="BO68" s="12"/>
      <c r="BP68" s="12"/>
      <c r="BQ68" s="12" t="s">
        <v>468</v>
      </c>
      <c r="BR68" s="12" t="s">
        <v>468</v>
      </c>
      <c r="BS68" s="12"/>
      <c r="BU68" s="12"/>
      <c r="BV68" s="12" t="s">
        <v>496</v>
      </c>
      <c r="BW68" s="12"/>
      <c r="BX68" s="1" t="s">
        <v>474</v>
      </c>
      <c r="BY68" s="1" t="s">
        <v>474</v>
      </c>
      <c r="BZ68" s="1" t="s">
        <v>473</v>
      </c>
      <c r="CA68" s="1" t="s">
        <v>479</v>
      </c>
      <c r="CB68" s="1" t="s">
        <v>504</v>
      </c>
      <c r="CC68" s="1" t="s">
        <v>499</v>
      </c>
      <c r="CD68" s="1" t="s">
        <v>500</v>
      </c>
      <c r="CE68" s="1" t="s">
        <v>499</v>
      </c>
      <c r="CG68" s="1" t="s">
        <v>499</v>
      </c>
    </row>
    <row r="69" spans="1:87" x14ac:dyDescent="0.2">
      <c r="A69" s="1" t="s">
        <v>211</v>
      </c>
      <c r="B69" s="1" t="s">
        <v>130</v>
      </c>
      <c r="C69" s="1" t="s">
        <v>495</v>
      </c>
      <c r="D69" s="1">
        <v>2050</v>
      </c>
      <c r="E69" s="1">
        <v>1</v>
      </c>
      <c r="F69" s="1">
        <v>0</v>
      </c>
      <c r="G69" s="1">
        <v>0</v>
      </c>
      <c r="H69" s="1">
        <v>0</v>
      </c>
      <c r="I69" s="1">
        <v>1</v>
      </c>
      <c r="M69" s="18"/>
      <c r="N69" s="18">
        <v>587</v>
      </c>
      <c r="O69" s="18"/>
      <c r="P69" s="18"/>
      <c r="Q69" s="18"/>
      <c r="R69" s="18">
        <v>1956</v>
      </c>
      <c r="S69" s="18"/>
      <c r="T69" s="18"/>
      <c r="U69" s="8"/>
      <c r="V69" s="8"/>
      <c r="W69" s="8">
        <v>0.3</v>
      </c>
      <c r="X69" s="8">
        <v>1</v>
      </c>
      <c r="Y69" s="8"/>
      <c r="Z6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69" s="8"/>
      <c r="AB69" s="19"/>
      <c r="AC69" s="18"/>
      <c r="AD69" s="8"/>
      <c r="AE69" s="18"/>
      <c r="AF69" s="41"/>
      <c r="AG69" s="41"/>
      <c r="AH69" s="8">
        <v>0.97</v>
      </c>
      <c r="AL69" s="1">
        <v>1</v>
      </c>
      <c r="AO69" s="1">
        <v>1</v>
      </c>
      <c r="AR69" s="1">
        <v>2</v>
      </c>
      <c r="AS69" s="1">
        <v>4</v>
      </c>
      <c r="AT69" s="1" t="s">
        <v>480</v>
      </c>
      <c r="AU69" s="1" t="s">
        <v>277</v>
      </c>
      <c r="AV69" s="1">
        <f t="shared" si="5"/>
        <v>4</v>
      </c>
      <c r="AX69" s="1">
        <v>1095</v>
      </c>
      <c r="AY69" s="18"/>
      <c r="AZ69" s="18"/>
      <c r="BA69" s="18">
        <f>10*Umrechnungsfaktoren!$B$15/Umrechnungsfaktoren!$B$12</f>
        <v>10.38</v>
      </c>
      <c r="BB69" s="7"/>
      <c r="BC69" s="18">
        <f>5*Umrechnungsfaktoren!$B$15/Umrechnungsfaktoren!$B$12</f>
        <v>5.19</v>
      </c>
      <c r="BD69" s="7"/>
      <c r="BE69" s="7">
        <f>0.03*Tabelle58971115[[#This Row],[Investitionsausgaben €_2018/kW]]</f>
        <v>0.31140000000000001</v>
      </c>
      <c r="BG69" s="6">
        <v>0.08</v>
      </c>
      <c r="BH69" s="1" t="s">
        <v>385</v>
      </c>
      <c r="BI69" s="1" t="s">
        <v>479</v>
      </c>
      <c r="BJ69" s="1" t="s">
        <v>479</v>
      </c>
      <c r="BK69" s="1" t="s">
        <v>479</v>
      </c>
      <c r="BM69" s="12" t="s">
        <v>472</v>
      </c>
      <c r="BN69" s="12" t="s">
        <v>472</v>
      </c>
      <c r="BO69" s="12"/>
      <c r="BP69" s="12"/>
      <c r="BQ69" s="12" t="s">
        <v>468</v>
      </c>
      <c r="BR69" s="12" t="s">
        <v>468</v>
      </c>
      <c r="BS69" s="12"/>
      <c r="BU69" s="12"/>
      <c r="BV69" s="12" t="s">
        <v>496</v>
      </c>
      <c r="BW69" s="12"/>
      <c r="BX69" s="1" t="s">
        <v>474</v>
      </c>
      <c r="BY69" s="1" t="s">
        <v>474</v>
      </c>
      <c r="BZ69" s="1" t="s">
        <v>473</v>
      </c>
      <c r="CA69" s="1" t="s">
        <v>479</v>
      </c>
      <c r="CB69" s="1" t="s">
        <v>504</v>
      </c>
      <c r="CC69" s="1" t="s">
        <v>499</v>
      </c>
      <c r="CD69" s="1" t="s">
        <v>500</v>
      </c>
      <c r="CE69" s="1" t="s">
        <v>499</v>
      </c>
      <c r="CG69" s="1" t="s">
        <v>499</v>
      </c>
    </row>
    <row r="70" spans="1:87" x14ac:dyDescent="0.2">
      <c r="A70" s="32" t="s">
        <v>212</v>
      </c>
      <c r="B70" s="1" t="s">
        <v>130</v>
      </c>
      <c r="C70" s="1" t="s">
        <v>495</v>
      </c>
      <c r="D70" s="1">
        <v>2010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M70" s="18"/>
      <c r="N70" s="18">
        <v>249</v>
      </c>
      <c r="O70" s="18"/>
      <c r="P70" s="18"/>
      <c r="Q70" s="18"/>
      <c r="R70" s="18">
        <v>7674</v>
      </c>
      <c r="S70" s="18"/>
      <c r="T70" s="18"/>
      <c r="U70" s="8"/>
      <c r="V70" s="8"/>
      <c r="W70" s="8"/>
      <c r="X70" s="8"/>
      <c r="Y70" s="8"/>
      <c r="Z7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0" s="8"/>
      <c r="AB70" s="19"/>
      <c r="AC70" s="18"/>
      <c r="AD70" s="8"/>
      <c r="AE70" s="18"/>
      <c r="AF70" s="41"/>
      <c r="AG70" s="41"/>
      <c r="AH70" s="8">
        <v>0.97</v>
      </c>
      <c r="AL70" s="1">
        <v>1</v>
      </c>
      <c r="AO70" s="1">
        <v>1</v>
      </c>
      <c r="AR70" s="1">
        <v>2</v>
      </c>
      <c r="AS70" s="1">
        <v>4</v>
      </c>
      <c r="AT70" s="1" t="s">
        <v>380</v>
      </c>
      <c r="AU70" s="1" t="s">
        <v>276</v>
      </c>
      <c r="AV70" s="1">
        <f t="shared" si="5"/>
        <v>4</v>
      </c>
      <c r="AX70" s="1">
        <v>1095</v>
      </c>
      <c r="AY70" s="18"/>
      <c r="AZ70" s="18"/>
      <c r="BA70" s="18">
        <f>10*Umrechnungsfaktoren!$B$15/Umrechnungsfaktoren!$B$12</f>
        <v>10.38</v>
      </c>
      <c r="BB70" s="7"/>
      <c r="BC70" s="18">
        <f>5*Umrechnungsfaktoren!$B$15/Umrechnungsfaktoren!$B$12</f>
        <v>5.19</v>
      </c>
      <c r="BD70" s="7"/>
      <c r="BE70" s="7">
        <f>0.03*Tabelle58971115[[#This Row],[Investitionsausgaben €_2018/kW]]</f>
        <v>0.31140000000000001</v>
      </c>
      <c r="BG70" s="6">
        <v>0.08</v>
      </c>
      <c r="BI70" s="1" t="s">
        <v>479</v>
      </c>
      <c r="BJ70" s="1" t="s">
        <v>479</v>
      </c>
      <c r="BK70" s="1" t="s">
        <v>479</v>
      </c>
      <c r="BM70" s="12" t="s">
        <v>476</v>
      </c>
      <c r="BN70" s="12" t="s">
        <v>477</v>
      </c>
      <c r="BO70" s="12"/>
      <c r="BP70" s="12"/>
      <c r="BQ70" s="12" t="s">
        <v>468</v>
      </c>
      <c r="BR70" s="12" t="s">
        <v>468</v>
      </c>
      <c r="BS70" s="12"/>
      <c r="BU70" s="12"/>
      <c r="BV70" s="12" t="s">
        <v>496</v>
      </c>
      <c r="BW70" s="12"/>
      <c r="BX70" s="1" t="s">
        <v>474</v>
      </c>
      <c r="BY70" s="1" t="s">
        <v>474</v>
      </c>
      <c r="BZ70" s="1" t="s">
        <v>473</v>
      </c>
      <c r="CA70" s="1" t="s">
        <v>465</v>
      </c>
      <c r="CB70" s="1" t="s">
        <v>504</v>
      </c>
      <c r="CC70" s="1" t="s">
        <v>499</v>
      </c>
      <c r="CD70" s="1" t="s">
        <v>500</v>
      </c>
      <c r="CE70" s="1" t="s">
        <v>499</v>
      </c>
      <c r="CG70" s="1" t="s">
        <v>499</v>
      </c>
      <c r="CI70" s="1" t="s">
        <v>395</v>
      </c>
    </row>
    <row r="71" spans="1:87" x14ac:dyDescent="0.2">
      <c r="A71" s="32" t="s">
        <v>212</v>
      </c>
      <c r="B71" s="1" t="s">
        <v>130</v>
      </c>
      <c r="C71" s="1" t="s">
        <v>495</v>
      </c>
      <c r="D71" s="1">
        <v>2020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M71" s="18"/>
      <c r="N71" s="18">
        <v>54</v>
      </c>
      <c r="O71" s="18"/>
      <c r="P71" s="18"/>
      <c r="Q71" s="18"/>
      <c r="R71" s="18">
        <v>8885</v>
      </c>
      <c r="S71" s="18"/>
      <c r="T71" s="18"/>
      <c r="U71" s="8"/>
      <c r="V71" s="8"/>
      <c r="W71" s="8">
        <v>0.18</v>
      </c>
      <c r="X71" s="8">
        <v>1</v>
      </c>
      <c r="Y71" s="8">
        <f>287/8760</f>
        <v>3.276255707762557E-2</v>
      </c>
      <c r="Z7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1" s="8"/>
      <c r="AB71" s="19"/>
      <c r="AC71" s="18"/>
      <c r="AD71" s="8"/>
      <c r="AE71" s="18"/>
      <c r="AF71" s="41"/>
      <c r="AG71" s="41"/>
      <c r="AH71" s="8">
        <v>0.97</v>
      </c>
      <c r="AL71" s="1">
        <v>1</v>
      </c>
      <c r="AO71" s="1">
        <v>1</v>
      </c>
      <c r="AR71" s="1">
        <v>2</v>
      </c>
      <c r="AS71" s="1">
        <v>4</v>
      </c>
      <c r="AT71" s="1" t="s">
        <v>380</v>
      </c>
      <c r="AU71" s="1" t="s">
        <v>276</v>
      </c>
      <c r="AV71" s="1">
        <f t="shared" si="5"/>
        <v>4</v>
      </c>
      <c r="AX71" s="1">
        <v>1095</v>
      </c>
      <c r="AY71" s="18"/>
      <c r="AZ71" s="18"/>
      <c r="BA71" s="18">
        <f>10*Umrechnungsfaktoren!$B$15/Umrechnungsfaktoren!$B$12</f>
        <v>10.38</v>
      </c>
      <c r="BB71" s="7"/>
      <c r="BC71" s="18">
        <f>5*Umrechnungsfaktoren!$B$15/Umrechnungsfaktoren!$B$12</f>
        <v>5.19</v>
      </c>
      <c r="BD71" s="7"/>
      <c r="BE71" s="7">
        <f>0.03*Tabelle58971115[[#This Row],[Investitionsausgaben €_2018/kW]]</f>
        <v>0.31140000000000001</v>
      </c>
      <c r="BG71" s="6">
        <v>0.08</v>
      </c>
      <c r="BI71" s="1" t="s">
        <v>479</v>
      </c>
      <c r="BJ71" s="1" t="s">
        <v>479</v>
      </c>
      <c r="BK71" s="1" t="s">
        <v>479</v>
      </c>
      <c r="BM71" s="12" t="s">
        <v>470</v>
      </c>
      <c r="BN71" s="12" t="s">
        <v>470</v>
      </c>
      <c r="BO71" s="12"/>
      <c r="BP71" s="12"/>
      <c r="BQ71" s="12" t="s">
        <v>468</v>
      </c>
      <c r="BR71" s="12" t="s">
        <v>468</v>
      </c>
      <c r="BS71" s="12"/>
      <c r="BU71" s="12"/>
      <c r="BV71" s="12" t="s">
        <v>496</v>
      </c>
      <c r="BW71" s="12"/>
      <c r="BX71" s="1" t="s">
        <v>474</v>
      </c>
      <c r="BY71" s="1" t="s">
        <v>474</v>
      </c>
      <c r="BZ71" s="1" t="s">
        <v>473</v>
      </c>
      <c r="CA71" s="1" t="s">
        <v>465</v>
      </c>
      <c r="CB71" s="1" t="s">
        <v>504</v>
      </c>
      <c r="CC71" s="1" t="s">
        <v>499</v>
      </c>
      <c r="CD71" s="1" t="s">
        <v>500</v>
      </c>
      <c r="CE71" s="1" t="s">
        <v>499</v>
      </c>
      <c r="CG71" s="1" t="s">
        <v>499</v>
      </c>
    </row>
    <row r="72" spans="1:87" x14ac:dyDescent="0.2">
      <c r="A72" s="32" t="s">
        <v>212</v>
      </c>
      <c r="B72" s="1" t="s">
        <v>130</v>
      </c>
      <c r="C72" s="1" t="s">
        <v>495</v>
      </c>
      <c r="D72" s="1">
        <v>2030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M72" s="18"/>
      <c r="N72" s="18">
        <v>69</v>
      </c>
      <c r="O72" s="18"/>
      <c r="P72" s="18"/>
      <c r="Q72" s="18"/>
      <c r="R72" s="18">
        <v>9713</v>
      </c>
      <c r="S72" s="18"/>
      <c r="T72" s="18"/>
      <c r="U72" s="8"/>
      <c r="V72" s="8"/>
      <c r="W72" s="8">
        <v>0.2</v>
      </c>
      <c r="X72" s="8">
        <v>1</v>
      </c>
      <c r="Y72" s="8">
        <f>300/8760</f>
        <v>3.4246575342465752E-2</v>
      </c>
      <c r="Z7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2" s="8"/>
      <c r="AB72" s="19"/>
      <c r="AC72" s="18"/>
      <c r="AD72" s="8"/>
      <c r="AE72" s="18"/>
      <c r="AF72" s="41"/>
      <c r="AG72" s="41"/>
      <c r="AH72" s="8">
        <v>0.97</v>
      </c>
      <c r="AL72" s="1">
        <v>1</v>
      </c>
      <c r="AO72" s="1">
        <v>1</v>
      </c>
      <c r="AR72" s="1">
        <v>2</v>
      </c>
      <c r="AS72" s="1">
        <v>4</v>
      </c>
      <c r="AT72" s="1" t="s">
        <v>380</v>
      </c>
      <c r="AU72" s="1" t="s">
        <v>276</v>
      </c>
      <c r="AV72" s="1">
        <f t="shared" si="5"/>
        <v>4</v>
      </c>
      <c r="AX72" s="1">
        <v>1095</v>
      </c>
      <c r="AY72" s="18"/>
      <c r="AZ72" s="18"/>
      <c r="BA72" s="18">
        <f>10*Umrechnungsfaktoren!$B$15/Umrechnungsfaktoren!$B$12</f>
        <v>10.38</v>
      </c>
      <c r="BB72" s="7"/>
      <c r="BC72" s="18">
        <f>5*Umrechnungsfaktoren!$B$15/Umrechnungsfaktoren!$B$12</f>
        <v>5.19</v>
      </c>
      <c r="BD72" s="7"/>
      <c r="BE72" s="7">
        <f>0.03*Tabelle58971115[[#This Row],[Investitionsausgaben €_2018/kW]]</f>
        <v>0.31140000000000001</v>
      </c>
      <c r="BG72" s="6">
        <v>0.08</v>
      </c>
      <c r="BI72" s="1" t="s">
        <v>479</v>
      </c>
      <c r="BJ72" s="1" t="s">
        <v>479</v>
      </c>
      <c r="BK72" s="1" t="s">
        <v>479</v>
      </c>
      <c r="BM72" s="12" t="s">
        <v>471</v>
      </c>
      <c r="BN72" s="12" t="s">
        <v>471</v>
      </c>
      <c r="BO72" s="12"/>
      <c r="BP72" s="12"/>
      <c r="BQ72" s="12" t="s">
        <v>468</v>
      </c>
      <c r="BR72" s="12" t="s">
        <v>468</v>
      </c>
      <c r="BS72" s="12"/>
      <c r="BU72" s="12"/>
      <c r="BV72" s="12" t="s">
        <v>496</v>
      </c>
      <c r="BW72" s="12"/>
      <c r="BX72" s="1" t="s">
        <v>474</v>
      </c>
      <c r="BY72" s="1" t="s">
        <v>474</v>
      </c>
      <c r="BZ72" s="1" t="s">
        <v>473</v>
      </c>
      <c r="CA72" s="1" t="s">
        <v>465</v>
      </c>
      <c r="CB72" s="1" t="s">
        <v>504</v>
      </c>
      <c r="CC72" s="1" t="s">
        <v>499</v>
      </c>
      <c r="CD72" s="1" t="s">
        <v>500</v>
      </c>
      <c r="CE72" s="1" t="s">
        <v>499</v>
      </c>
      <c r="CG72" s="1" t="s">
        <v>499</v>
      </c>
    </row>
    <row r="73" spans="1:87" x14ac:dyDescent="0.2">
      <c r="A73" s="32" t="s">
        <v>212</v>
      </c>
      <c r="B73" s="1" t="s">
        <v>130</v>
      </c>
      <c r="C73" s="1" t="s">
        <v>495</v>
      </c>
      <c r="D73" s="1">
        <v>2050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M73" s="18"/>
      <c r="N73" s="18">
        <v>90</v>
      </c>
      <c r="O73" s="18"/>
      <c r="P73" s="18"/>
      <c r="Q73" s="18"/>
      <c r="R73" s="18">
        <v>9255</v>
      </c>
      <c r="S73" s="18"/>
      <c r="T73" s="18"/>
      <c r="U73" s="8"/>
      <c r="V73" s="8"/>
      <c r="W73" s="8">
        <v>0.25</v>
      </c>
      <c r="X73" s="8">
        <v>1</v>
      </c>
      <c r="Y73" s="8">
        <f>329/8760</f>
        <v>3.7557077625570777E-2</v>
      </c>
      <c r="Z7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3" s="8"/>
      <c r="AB73" s="19"/>
      <c r="AC73" s="18"/>
      <c r="AD73" s="8"/>
      <c r="AE73" s="18"/>
      <c r="AF73" s="41"/>
      <c r="AG73" s="41"/>
      <c r="AH73" s="8">
        <v>0.97</v>
      </c>
      <c r="AL73" s="1">
        <v>1</v>
      </c>
      <c r="AO73" s="1">
        <v>1</v>
      </c>
      <c r="AR73" s="1">
        <v>2</v>
      </c>
      <c r="AS73" s="1">
        <v>4</v>
      </c>
      <c r="AT73" s="1" t="s">
        <v>380</v>
      </c>
      <c r="AU73" s="1" t="s">
        <v>276</v>
      </c>
      <c r="AV73" s="1">
        <f t="shared" si="5"/>
        <v>4</v>
      </c>
      <c r="AX73" s="1">
        <v>1095</v>
      </c>
      <c r="AY73" s="18"/>
      <c r="AZ73" s="18"/>
      <c r="BA73" s="18">
        <f>10*Umrechnungsfaktoren!$B$15/Umrechnungsfaktoren!$B$12</f>
        <v>10.38</v>
      </c>
      <c r="BB73" s="7"/>
      <c r="BC73" s="18">
        <f>5*Umrechnungsfaktoren!$B$15/Umrechnungsfaktoren!$B$12</f>
        <v>5.19</v>
      </c>
      <c r="BD73" s="7"/>
      <c r="BE73" s="7">
        <f>0.03*Tabelle58971115[[#This Row],[Investitionsausgaben €_2018/kW]]</f>
        <v>0.31140000000000001</v>
      </c>
      <c r="BG73" s="6">
        <v>0.08</v>
      </c>
      <c r="BI73" s="1" t="s">
        <v>479</v>
      </c>
      <c r="BJ73" s="1" t="s">
        <v>479</v>
      </c>
      <c r="BK73" s="1" t="s">
        <v>479</v>
      </c>
      <c r="BM73" s="12" t="s">
        <v>472</v>
      </c>
      <c r="BN73" s="12" t="s">
        <v>472</v>
      </c>
      <c r="BO73" s="12"/>
      <c r="BP73" s="12"/>
      <c r="BQ73" s="12" t="s">
        <v>468</v>
      </c>
      <c r="BR73" s="12" t="s">
        <v>468</v>
      </c>
      <c r="BS73" s="12"/>
      <c r="BU73" s="12"/>
      <c r="BV73" s="12" t="s">
        <v>496</v>
      </c>
      <c r="BW73" s="12"/>
      <c r="BX73" s="1" t="s">
        <v>474</v>
      </c>
      <c r="BY73" s="1" t="s">
        <v>474</v>
      </c>
      <c r="BZ73" s="1" t="s">
        <v>473</v>
      </c>
      <c r="CA73" s="1" t="s">
        <v>465</v>
      </c>
      <c r="CB73" s="1" t="s">
        <v>504</v>
      </c>
      <c r="CC73" s="1" t="s">
        <v>499</v>
      </c>
      <c r="CD73" s="1" t="s">
        <v>500</v>
      </c>
      <c r="CE73" s="1" t="s">
        <v>499</v>
      </c>
      <c r="CG73" s="1" t="s">
        <v>499</v>
      </c>
    </row>
    <row r="74" spans="1:87" x14ac:dyDescent="0.2">
      <c r="A74" s="1" t="s">
        <v>139</v>
      </c>
      <c r="B74" s="1" t="s">
        <v>130</v>
      </c>
      <c r="C74" s="1" t="e">
        <f>VLOOKUP(Tabelle58971115[[#This Row],[Prozess]],#REF!,3,FALSE)</f>
        <v>#REF!</v>
      </c>
      <c r="D74" s="1">
        <v>2010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M74" s="18"/>
      <c r="N74" s="18">
        <v>113</v>
      </c>
      <c r="O74" s="18"/>
      <c r="P74" s="18"/>
      <c r="Q74" s="18"/>
      <c r="R74" s="18">
        <v>3841</v>
      </c>
      <c r="S74" s="18"/>
      <c r="T74" s="18"/>
      <c r="U74" s="8"/>
      <c r="V74" s="8"/>
      <c r="W74" s="8"/>
      <c r="X74" s="8"/>
      <c r="Y74" s="8">
        <f>AVERAGE(175,275)/8760</f>
        <v>2.5684931506849314E-2</v>
      </c>
      <c r="Z74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4" s="8"/>
      <c r="AB74" s="19"/>
      <c r="AC74" s="18"/>
      <c r="AD74" s="8"/>
      <c r="AE74" s="18"/>
      <c r="AF74" s="42">
        <v>0.95</v>
      </c>
      <c r="AG74" s="8">
        <v>0.98</v>
      </c>
      <c r="AH74" s="8">
        <v>0.96</v>
      </c>
      <c r="AL74" s="1">
        <v>12</v>
      </c>
      <c r="AO74" s="1">
        <v>12</v>
      </c>
      <c r="AP74" s="1">
        <v>4</v>
      </c>
      <c r="AQ74" s="1">
        <v>12</v>
      </c>
      <c r="AR74" s="1">
        <v>8</v>
      </c>
      <c r="AS74" s="1">
        <v>0</v>
      </c>
      <c r="AT74" s="1" t="s">
        <v>380</v>
      </c>
      <c r="AU74" s="1" t="s">
        <v>276</v>
      </c>
      <c r="AX74" s="1">
        <v>1095</v>
      </c>
      <c r="AY74" s="18"/>
      <c r="AZ74" s="18"/>
      <c r="BA74" s="18"/>
      <c r="BB74" s="7"/>
      <c r="BC74" s="7">
        <v>0</v>
      </c>
      <c r="BD74" s="7"/>
      <c r="BE74" s="7"/>
      <c r="BI74" s="1" t="s">
        <v>479</v>
      </c>
      <c r="BJ74" s="1" t="s">
        <v>479</v>
      </c>
      <c r="BK74" s="1" t="s">
        <v>479</v>
      </c>
      <c r="BM74" s="12" t="s">
        <v>476</v>
      </c>
      <c r="BN74" s="12" t="s">
        <v>477</v>
      </c>
      <c r="BO74" s="12"/>
      <c r="BP74" s="12"/>
      <c r="BQ74" s="12" t="s">
        <v>468</v>
      </c>
      <c r="BR74" s="12" t="s">
        <v>468</v>
      </c>
      <c r="BS74" s="12"/>
      <c r="BU74" s="12"/>
      <c r="BV74" s="12" t="s">
        <v>496</v>
      </c>
      <c r="BW74" s="12"/>
      <c r="BX74" s="1" t="s">
        <v>474</v>
      </c>
      <c r="BY74" s="1" t="s">
        <v>474</v>
      </c>
      <c r="BZ74" s="1" t="s">
        <v>473</v>
      </c>
      <c r="CA74" s="1" t="s">
        <v>465</v>
      </c>
      <c r="CB74" s="1" t="s">
        <v>503</v>
      </c>
      <c r="CC74" s="1" t="s">
        <v>499</v>
      </c>
      <c r="CD74" s="1" t="s">
        <v>500</v>
      </c>
      <c r="CE74" s="1" t="s">
        <v>499</v>
      </c>
      <c r="CG74" s="1" t="s">
        <v>499</v>
      </c>
    </row>
    <row r="75" spans="1:87" x14ac:dyDescent="0.2">
      <c r="A75" s="1" t="s">
        <v>139</v>
      </c>
      <c r="B75" s="1" t="s">
        <v>130</v>
      </c>
      <c r="C75" s="1" t="e">
        <f>VLOOKUP(Tabelle58971115[[#This Row],[Prozess]],#REF!,3,FALSE)</f>
        <v>#REF!</v>
      </c>
      <c r="D75" s="1">
        <v>2020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M75" s="18"/>
      <c r="N75" s="18">
        <v>286</v>
      </c>
      <c r="O75" s="18"/>
      <c r="P75" s="18"/>
      <c r="Q75" s="18"/>
      <c r="R75" s="18">
        <v>8759</v>
      </c>
      <c r="S75" s="18"/>
      <c r="T75" s="18"/>
      <c r="U75" s="8"/>
      <c r="V75" s="8"/>
      <c r="W75" s="8">
        <v>1</v>
      </c>
      <c r="X75" s="8">
        <v>0.9</v>
      </c>
      <c r="Y75" s="8"/>
      <c r="Z75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5" s="8"/>
      <c r="AB75" s="19"/>
      <c r="AC75" s="18"/>
      <c r="AD75" s="8"/>
      <c r="AE75" s="18"/>
      <c r="AF75" s="42">
        <v>0.95</v>
      </c>
      <c r="AG75" s="8">
        <v>0.98</v>
      </c>
      <c r="AH75" s="8">
        <v>0.96</v>
      </c>
      <c r="AL75" s="1">
        <v>12</v>
      </c>
      <c r="AO75" s="1">
        <v>12</v>
      </c>
      <c r="AP75" s="1">
        <v>4</v>
      </c>
      <c r="AQ75" s="1">
        <v>12</v>
      </c>
      <c r="AR75" s="1">
        <v>8</v>
      </c>
      <c r="AS75" s="1">
        <v>0</v>
      </c>
      <c r="AT75" s="1" t="s">
        <v>380</v>
      </c>
      <c r="AU75" s="1" t="s">
        <v>276</v>
      </c>
      <c r="AX75" s="1">
        <v>1095</v>
      </c>
      <c r="AY75" s="18"/>
      <c r="AZ75" s="18"/>
      <c r="BA75" s="18"/>
      <c r="BB75" s="7"/>
      <c r="BC75" s="7">
        <v>0</v>
      </c>
      <c r="BD75" s="7"/>
      <c r="BE75" s="7"/>
      <c r="BI75" s="1" t="s">
        <v>479</v>
      </c>
      <c r="BJ75" s="1" t="s">
        <v>479</v>
      </c>
      <c r="BK75" s="1" t="s">
        <v>479</v>
      </c>
      <c r="BM75" s="12" t="s">
        <v>470</v>
      </c>
      <c r="BN75" s="12" t="s">
        <v>470</v>
      </c>
      <c r="BO75" s="12"/>
      <c r="BP75" s="12"/>
      <c r="BQ75" s="12" t="s">
        <v>468</v>
      </c>
      <c r="BR75" s="12" t="s">
        <v>468</v>
      </c>
      <c r="BS75" s="12"/>
      <c r="BU75" s="12"/>
      <c r="BV75" s="12" t="s">
        <v>496</v>
      </c>
      <c r="BW75" s="12"/>
      <c r="BX75" s="1" t="s">
        <v>474</v>
      </c>
      <c r="BY75" s="1" t="s">
        <v>474</v>
      </c>
      <c r="BZ75" s="1" t="s">
        <v>473</v>
      </c>
      <c r="CA75" s="1" t="s">
        <v>465</v>
      </c>
      <c r="CB75" s="1" t="s">
        <v>503</v>
      </c>
      <c r="CC75" s="1" t="s">
        <v>499</v>
      </c>
      <c r="CD75" s="1" t="s">
        <v>500</v>
      </c>
      <c r="CE75" s="1" t="s">
        <v>499</v>
      </c>
      <c r="CG75" s="1" t="s">
        <v>499</v>
      </c>
    </row>
    <row r="76" spans="1:87" x14ac:dyDescent="0.2">
      <c r="A76" s="1" t="s">
        <v>139</v>
      </c>
      <c r="B76" s="1" t="s">
        <v>130</v>
      </c>
      <c r="C76" s="1" t="e">
        <f>VLOOKUP(Tabelle58971115[[#This Row],[Prozess]],#REF!,3,FALSE)</f>
        <v>#REF!</v>
      </c>
      <c r="D76" s="1">
        <v>2030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M76" s="18"/>
      <c r="N76" s="18">
        <v>310</v>
      </c>
      <c r="O76" s="18"/>
      <c r="P76" s="18"/>
      <c r="Q76" s="18"/>
      <c r="R76" s="18">
        <v>9497</v>
      </c>
      <c r="S76" s="18"/>
      <c r="T76" s="18"/>
      <c r="U76" s="8"/>
      <c r="V76" s="8"/>
      <c r="W76" s="8">
        <v>1</v>
      </c>
      <c r="X76" s="8">
        <v>0.9</v>
      </c>
      <c r="Y76" s="8"/>
      <c r="Z76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6" s="8"/>
      <c r="AB76" s="19"/>
      <c r="AC76" s="18"/>
      <c r="AD76" s="8"/>
      <c r="AE76" s="18"/>
      <c r="AF76" s="42">
        <v>0.95</v>
      </c>
      <c r="AG76" s="8">
        <v>0.98</v>
      </c>
      <c r="AH76" s="8">
        <v>0.96</v>
      </c>
      <c r="AL76" s="1">
        <v>12</v>
      </c>
      <c r="AO76" s="1">
        <v>12</v>
      </c>
      <c r="AP76" s="1">
        <v>4</v>
      </c>
      <c r="AQ76" s="1">
        <v>12</v>
      </c>
      <c r="AR76" s="1">
        <v>8</v>
      </c>
      <c r="AS76" s="1">
        <v>0</v>
      </c>
      <c r="AT76" s="1" t="s">
        <v>380</v>
      </c>
      <c r="AU76" s="1" t="s">
        <v>276</v>
      </c>
      <c r="AX76" s="1">
        <v>1095</v>
      </c>
      <c r="AY76" s="18"/>
      <c r="AZ76" s="18"/>
      <c r="BA76" s="18"/>
      <c r="BB76" s="7"/>
      <c r="BC76" s="7">
        <v>0</v>
      </c>
      <c r="BD76" s="7"/>
      <c r="BE76" s="7"/>
      <c r="BI76" s="1" t="s">
        <v>479</v>
      </c>
      <c r="BJ76" s="1" t="s">
        <v>479</v>
      </c>
      <c r="BK76" s="1" t="s">
        <v>479</v>
      </c>
      <c r="BM76" s="12" t="s">
        <v>471</v>
      </c>
      <c r="BN76" s="12" t="s">
        <v>471</v>
      </c>
      <c r="BO76" s="12"/>
      <c r="BP76" s="12"/>
      <c r="BQ76" s="12" t="s">
        <v>468</v>
      </c>
      <c r="BR76" s="12" t="s">
        <v>468</v>
      </c>
      <c r="BS76" s="12"/>
      <c r="BU76" s="12"/>
      <c r="BV76" s="12" t="s">
        <v>496</v>
      </c>
      <c r="BW76" s="12"/>
      <c r="BX76" s="1" t="s">
        <v>474</v>
      </c>
      <c r="BY76" s="1" t="s">
        <v>474</v>
      </c>
      <c r="BZ76" s="1" t="s">
        <v>473</v>
      </c>
      <c r="CA76" s="1" t="s">
        <v>465</v>
      </c>
      <c r="CB76" s="1" t="s">
        <v>503</v>
      </c>
      <c r="CC76" s="1" t="s">
        <v>499</v>
      </c>
      <c r="CD76" s="1" t="s">
        <v>500</v>
      </c>
      <c r="CE76" s="1" t="s">
        <v>499</v>
      </c>
      <c r="CG76" s="1" t="s">
        <v>499</v>
      </c>
    </row>
    <row r="77" spans="1:87" x14ac:dyDescent="0.2">
      <c r="A77" s="1" t="s">
        <v>139</v>
      </c>
      <c r="B77" s="1" t="s">
        <v>130</v>
      </c>
      <c r="C77" s="1" t="e">
        <f>VLOOKUP(Tabelle58971115[[#This Row],[Prozess]],#REF!,3,FALSE)</f>
        <v>#REF!</v>
      </c>
      <c r="D77" s="1">
        <v>2050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M77" s="18"/>
      <c r="N77" s="18">
        <v>271</v>
      </c>
      <c r="O77" s="18"/>
      <c r="P77" s="18"/>
      <c r="Q77" s="18"/>
      <c r="R77" s="18">
        <v>8299</v>
      </c>
      <c r="S77" s="18"/>
      <c r="T77" s="18"/>
      <c r="U77" s="8"/>
      <c r="V77" s="8"/>
      <c r="W77" s="8">
        <v>1</v>
      </c>
      <c r="X77" s="8">
        <v>0.9</v>
      </c>
      <c r="Y77" s="8"/>
      <c r="Z7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7" s="8"/>
      <c r="AB77" s="19"/>
      <c r="AC77" s="18"/>
      <c r="AD77" s="8"/>
      <c r="AE77" s="18"/>
      <c r="AF77" s="42">
        <v>0.95</v>
      </c>
      <c r="AG77" s="8">
        <v>0.98</v>
      </c>
      <c r="AH77" s="8">
        <v>0.96</v>
      </c>
      <c r="AL77" s="1">
        <v>12</v>
      </c>
      <c r="AO77" s="1">
        <v>12</v>
      </c>
      <c r="AP77" s="1">
        <v>4</v>
      </c>
      <c r="AQ77" s="1">
        <v>12</v>
      </c>
      <c r="AR77" s="1">
        <v>8</v>
      </c>
      <c r="AS77" s="1">
        <v>0</v>
      </c>
      <c r="AT77" s="1" t="s">
        <v>380</v>
      </c>
      <c r="AU77" s="1" t="s">
        <v>276</v>
      </c>
      <c r="AX77" s="1">
        <v>1095</v>
      </c>
      <c r="AY77" s="18"/>
      <c r="AZ77" s="18"/>
      <c r="BA77" s="18"/>
      <c r="BB77" s="7"/>
      <c r="BC77" s="7">
        <v>0</v>
      </c>
      <c r="BD77" s="7"/>
      <c r="BE77" s="7"/>
      <c r="BI77" s="1" t="s">
        <v>479</v>
      </c>
      <c r="BJ77" s="1" t="s">
        <v>479</v>
      </c>
      <c r="BK77" s="1" t="s">
        <v>479</v>
      </c>
      <c r="BM77" s="12" t="s">
        <v>472</v>
      </c>
      <c r="BN77" s="12" t="s">
        <v>472</v>
      </c>
      <c r="BO77" s="12"/>
      <c r="BP77" s="12"/>
      <c r="BQ77" s="12" t="s">
        <v>468</v>
      </c>
      <c r="BR77" s="12" t="s">
        <v>468</v>
      </c>
      <c r="BS77" s="12"/>
      <c r="BU77" s="12"/>
      <c r="BV77" s="12" t="s">
        <v>496</v>
      </c>
      <c r="BW77" s="12"/>
      <c r="BX77" s="1" t="s">
        <v>474</v>
      </c>
      <c r="BY77" s="1" t="s">
        <v>474</v>
      </c>
      <c r="BZ77" s="1" t="s">
        <v>473</v>
      </c>
      <c r="CA77" s="1" t="s">
        <v>465</v>
      </c>
      <c r="CB77" s="1" t="s">
        <v>503</v>
      </c>
      <c r="CC77" s="1" t="s">
        <v>499</v>
      </c>
      <c r="CD77" s="1" t="s">
        <v>500</v>
      </c>
      <c r="CE77" s="1" t="s">
        <v>499</v>
      </c>
      <c r="CG77" s="1" t="s">
        <v>499</v>
      </c>
    </row>
    <row r="78" spans="1:87" x14ac:dyDescent="0.2">
      <c r="A78" s="1" t="s">
        <v>140</v>
      </c>
      <c r="B78" s="1" t="s">
        <v>130</v>
      </c>
      <c r="C78" s="1" t="e">
        <f>VLOOKUP(Tabelle58971115[[#This Row],[Prozess]],#REF!,3,FALSE)</f>
        <v>#REF!</v>
      </c>
      <c r="D78" s="1">
        <v>2010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M78" s="18"/>
      <c r="N78" s="18">
        <v>311</v>
      </c>
      <c r="O78" s="18"/>
      <c r="P78" s="18"/>
      <c r="Q78" s="18"/>
      <c r="R78" s="18">
        <v>3879</v>
      </c>
      <c r="S78" s="18"/>
      <c r="T78" s="18"/>
      <c r="U78" s="8"/>
      <c r="V78" s="8"/>
      <c r="W78" s="8"/>
      <c r="X78" s="8"/>
      <c r="Y78" s="8">
        <f>AVERAGE(200,800)/8760</f>
        <v>5.7077625570776253E-2</v>
      </c>
      <c r="Z7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8" s="8"/>
      <c r="AB78" s="19"/>
      <c r="AC78" s="18"/>
      <c r="AD78" s="8"/>
      <c r="AE78" s="18"/>
      <c r="AF78" s="42">
        <v>0.95</v>
      </c>
      <c r="AG78" s="8">
        <v>0.98</v>
      </c>
      <c r="AH78" s="8">
        <v>0.96</v>
      </c>
      <c r="AL78" s="1">
        <v>12</v>
      </c>
      <c r="AO78" s="1">
        <v>12</v>
      </c>
      <c r="AP78" s="1">
        <v>4</v>
      </c>
      <c r="AQ78" s="1">
        <v>12</v>
      </c>
      <c r="AR78" s="1">
        <v>8</v>
      </c>
      <c r="AS78" s="1">
        <v>0</v>
      </c>
      <c r="AT78" s="1" t="s">
        <v>380</v>
      </c>
      <c r="AU78" s="1" t="s">
        <v>276</v>
      </c>
      <c r="AX78" s="1">
        <v>1095</v>
      </c>
      <c r="AY78" s="18"/>
      <c r="AZ78" s="18"/>
      <c r="BA78" s="18"/>
      <c r="BB78" s="7"/>
      <c r="BC78" s="7">
        <v>0</v>
      </c>
      <c r="BD78" s="7"/>
      <c r="BE78" s="7"/>
      <c r="BH78" s="1" t="s">
        <v>389</v>
      </c>
      <c r="BI78" s="1" t="s">
        <v>479</v>
      </c>
      <c r="BJ78" s="1" t="s">
        <v>479</v>
      </c>
      <c r="BK78" s="1" t="s">
        <v>479</v>
      </c>
      <c r="BM78" s="12" t="s">
        <v>476</v>
      </c>
      <c r="BN78" s="12" t="s">
        <v>477</v>
      </c>
      <c r="BO78" s="12"/>
      <c r="BP78" s="12"/>
      <c r="BQ78" s="12" t="s">
        <v>468</v>
      </c>
      <c r="BR78" s="12" t="s">
        <v>468</v>
      </c>
      <c r="BS78" s="12"/>
      <c r="BU78" s="12"/>
      <c r="BV78" s="12" t="s">
        <v>496</v>
      </c>
      <c r="BW78" s="12"/>
      <c r="BX78" s="1" t="s">
        <v>474</v>
      </c>
      <c r="BY78" s="1" t="s">
        <v>474</v>
      </c>
      <c r="BZ78" s="1" t="s">
        <v>473</v>
      </c>
      <c r="CA78" s="1" t="s">
        <v>465</v>
      </c>
      <c r="CB78" s="1" t="s">
        <v>503</v>
      </c>
      <c r="CC78" s="1" t="s">
        <v>499</v>
      </c>
      <c r="CD78" s="1" t="s">
        <v>500</v>
      </c>
      <c r="CE78" s="1" t="s">
        <v>499</v>
      </c>
      <c r="CG78" s="1" t="s">
        <v>499</v>
      </c>
    </row>
    <row r="79" spans="1:87" x14ac:dyDescent="0.2">
      <c r="A79" s="1" t="s">
        <v>140</v>
      </c>
      <c r="B79" s="1" t="s">
        <v>130</v>
      </c>
      <c r="C79" s="1" t="e">
        <f>VLOOKUP(Tabelle58971115[[#This Row],[Prozess]],#REF!,3,FALSE)</f>
        <v>#REF!</v>
      </c>
      <c r="D79" s="1">
        <v>2020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M79" s="18"/>
      <c r="N79" s="18">
        <v>251</v>
      </c>
      <c r="O79" s="18"/>
      <c r="P79" s="18"/>
      <c r="Q79" s="18"/>
      <c r="R79" s="18">
        <v>2816</v>
      </c>
      <c r="S79" s="18"/>
      <c r="T79" s="18"/>
      <c r="U79" s="8"/>
      <c r="V79" s="8"/>
      <c r="W79" s="8">
        <v>1</v>
      </c>
      <c r="X79" s="8">
        <v>0.9</v>
      </c>
      <c r="Y79" s="8"/>
      <c r="Z7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79" s="8"/>
      <c r="AB79" s="19"/>
      <c r="AC79" s="18"/>
      <c r="AD79" s="8"/>
      <c r="AE79" s="18"/>
      <c r="AF79" s="42">
        <v>0.95</v>
      </c>
      <c r="AG79" s="8">
        <v>0.98</v>
      </c>
      <c r="AH79" s="8">
        <v>0.96</v>
      </c>
      <c r="AL79" s="1">
        <v>12</v>
      </c>
      <c r="AO79" s="1">
        <v>12</v>
      </c>
      <c r="AP79" s="1">
        <v>4</v>
      </c>
      <c r="AQ79" s="1">
        <v>12</v>
      </c>
      <c r="AR79" s="1">
        <v>8</v>
      </c>
      <c r="AS79" s="1">
        <v>0</v>
      </c>
      <c r="AT79" s="1" t="s">
        <v>380</v>
      </c>
      <c r="AU79" s="1" t="s">
        <v>276</v>
      </c>
      <c r="AX79" s="1">
        <v>1095</v>
      </c>
      <c r="AY79" s="18"/>
      <c r="AZ79" s="18"/>
      <c r="BA79" s="18"/>
      <c r="BB79" s="7"/>
      <c r="BC79" s="7">
        <v>0</v>
      </c>
      <c r="BD79" s="7"/>
      <c r="BE79" s="7"/>
      <c r="BH79" s="1" t="s">
        <v>389</v>
      </c>
      <c r="BI79" s="1" t="s">
        <v>479</v>
      </c>
      <c r="BJ79" s="1" t="s">
        <v>479</v>
      </c>
      <c r="BK79" s="1" t="s">
        <v>479</v>
      </c>
      <c r="BM79" s="12" t="s">
        <v>470</v>
      </c>
      <c r="BN79" s="12" t="s">
        <v>470</v>
      </c>
      <c r="BO79" s="12"/>
      <c r="BP79" s="12"/>
      <c r="BQ79" s="12" t="s">
        <v>468</v>
      </c>
      <c r="BR79" s="12" t="s">
        <v>468</v>
      </c>
      <c r="BS79" s="12"/>
      <c r="BU79" s="12"/>
      <c r="BV79" s="12" t="s">
        <v>496</v>
      </c>
      <c r="BW79" s="12"/>
      <c r="BX79" s="1" t="s">
        <v>474</v>
      </c>
      <c r="BY79" s="1" t="s">
        <v>474</v>
      </c>
      <c r="BZ79" s="1" t="s">
        <v>473</v>
      </c>
      <c r="CA79" s="1" t="s">
        <v>465</v>
      </c>
      <c r="CB79" s="1" t="s">
        <v>503</v>
      </c>
      <c r="CC79" s="1" t="s">
        <v>499</v>
      </c>
      <c r="CD79" s="1" t="s">
        <v>500</v>
      </c>
      <c r="CE79" s="1" t="s">
        <v>499</v>
      </c>
      <c r="CG79" s="1" t="s">
        <v>499</v>
      </c>
    </row>
    <row r="80" spans="1:87" x14ac:dyDescent="0.2">
      <c r="A80" s="1" t="s">
        <v>140</v>
      </c>
      <c r="B80" s="1" t="s">
        <v>130</v>
      </c>
      <c r="C80" s="1" t="e">
        <f>VLOOKUP(Tabelle58971115[[#This Row],[Prozess]],#REF!,3,FALSE)</f>
        <v>#REF!</v>
      </c>
      <c r="D80" s="1">
        <v>2030</v>
      </c>
      <c r="E80" s="1">
        <v>1</v>
      </c>
      <c r="F80" s="1">
        <v>0</v>
      </c>
      <c r="G80" s="1">
        <v>0</v>
      </c>
      <c r="H80" s="1">
        <v>1</v>
      </c>
      <c r="I80" s="1">
        <v>0</v>
      </c>
      <c r="M80" s="18"/>
      <c r="N80" s="18">
        <v>86</v>
      </c>
      <c r="O80" s="18"/>
      <c r="P80" s="18"/>
      <c r="Q80" s="18"/>
      <c r="R80" s="18">
        <v>967</v>
      </c>
      <c r="S80" s="18"/>
      <c r="T80" s="18"/>
      <c r="U80" s="8"/>
      <c r="V80" s="8"/>
      <c r="W80" s="8">
        <v>1</v>
      </c>
      <c r="X80" s="8">
        <v>0.9</v>
      </c>
      <c r="Y80" s="8"/>
      <c r="Z8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0" s="8"/>
      <c r="AB80" s="19"/>
      <c r="AC80" s="18"/>
      <c r="AD80" s="8"/>
      <c r="AE80" s="18"/>
      <c r="AF80" s="42">
        <v>0.95</v>
      </c>
      <c r="AG80" s="8">
        <v>0.98</v>
      </c>
      <c r="AH80" s="8">
        <v>0.96</v>
      </c>
      <c r="AL80" s="1">
        <v>12</v>
      </c>
      <c r="AO80" s="1">
        <v>12</v>
      </c>
      <c r="AP80" s="1">
        <v>4</v>
      </c>
      <c r="AQ80" s="1">
        <v>12</v>
      </c>
      <c r="AR80" s="1">
        <v>8</v>
      </c>
      <c r="AS80" s="1">
        <v>0</v>
      </c>
      <c r="AT80" s="1" t="s">
        <v>380</v>
      </c>
      <c r="AU80" s="1" t="s">
        <v>276</v>
      </c>
      <c r="AX80" s="1">
        <v>1095</v>
      </c>
      <c r="AY80" s="18"/>
      <c r="AZ80" s="18"/>
      <c r="BA80" s="18"/>
      <c r="BB80" s="7"/>
      <c r="BC80" s="7">
        <v>0</v>
      </c>
      <c r="BD80" s="7"/>
      <c r="BE80" s="7"/>
      <c r="BH80" s="1" t="s">
        <v>389</v>
      </c>
      <c r="BI80" s="1" t="s">
        <v>479</v>
      </c>
      <c r="BJ80" s="1" t="s">
        <v>479</v>
      </c>
      <c r="BK80" s="1" t="s">
        <v>479</v>
      </c>
      <c r="BM80" s="12" t="s">
        <v>471</v>
      </c>
      <c r="BN80" s="12" t="s">
        <v>471</v>
      </c>
      <c r="BO80" s="12"/>
      <c r="BP80" s="12"/>
      <c r="BQ80" s="12" t="s">
        <v>468</v>
      </c>
      <c r="BR80" s="12" t="s">
        <v>468</v>
      </c>
      <c r="BS80" s="12"/>
      <c r="BU80" s="12"/>
      <c r="BV80" s="12" t="s">
        <v>496</v>
      </c>
      <c r="BW80" s="12"/>
      <c r="BX80" s="1" t="s">
        <v>474</v>
      </c>
      <c r="BY80" s="1" t="s">
        <v>474</v>
      </c>
      <c r="BZ80" s="1" t="s">
        <v>473</v>
      </c>
      <c r="CA80" s="1" t="s">
        <v>465</v>
      </c>
      <c r="CB80" s="1" t="s">
        <v>503</v>
      </c>
      <c r="CC80" s="1" t="s">
        <v>499</v>
      </c>
      <c r="CD80" s="1" t="s">
        <v>500</v>
      </c>
      <c r="CE80" s="1" t="s">
        <v>499</v>
      </c>
      <c r="CG80" s="1" t="s">
        <v>499</v>
      </c>
    </row>
    <row r="81" spans="1:87" x14ac:dyDescent="0.2">
      <c r="A81" s="1" t="s">
        <v>140</v>
      </c>
      <c r="B81" s="1" t="s">
        <v>130</v>
      </c>
      <c r="C81" s="1" t="e">
        <f>VLOOKUP(Tabelle58971115[[#This Row],[Prozess]],#REF!,3,FALSE)</f>
        <v>#REF!</v>
      </c>
      <c r="D81" s="1">
        <v>2050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M81" s="18"/>
      <c r="N81" s="18">
        <v>0</v>
      </c>
      <c r="O81" s="18"/>
      <c r="P81" s="18"/>
      <c r="Q81" s="18"/>
      <c r="R81" s="18">
        <v>0</v>
      </c>
      <c r="S81" s="18"/>
      <c r="T81" s="18"/>
      <c r="U81" s="8"/>
      <c r="V81" s="8"/>
      <c r="W81" s="8">
        <v>1</v>
      </c>
      <c r="X81" s="8">
        <v>0.9</v>
      </c>
      <c r="Y81" s="8"/>
      <c r="Z8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1" s="8"/>
      <c r="AB81" s="19"/>
      <c r="AC81" s="18"/>
      <c r="AD81" s="8"/>
      <c r="AE81" s="18"/>
      <c r="AF81" s="42">
        <v>0.95</v>
      </c>
      <c r="AG81" s="8">
        <v>0.98</v>
      </c>
      <c r="AH81" s="8">
        <v>0.96</v>
      </c>
      <c r="AL81" s="1">
        <v>12</v>
      </c>
      <c r="AO81" s="1">
        <v>12</v>
      </c>
      <c r="AP81" s="1">
        <v>4</v>
      </c>
      <c r="AQ81" s="1">
        <v>12</v>
      </c>
      <c r="AR81" s="1">
        <v>8</v>
      </c>
      <c r="AS81" s="1">
        <v>0</v>
      </c>
      <c r="AT81" s="1" t="s">
        <v>380</v>
      </c>
      <c r="AU81" s="1" t="s">
        <v>276</v>
      </c>
      <c r="AX81" s="1">
        <v>1095</v>
      </c>
      <c r="AY81" s="18"/>
      <c r="AZ81" s="18"/>
      <c r="BA81" s="18"/>
      <c r="BB81" s="7"/>
      <c r="BC81" s="7">
        <v>0</v>
      </c>
      <c r="BD81" s="7"/>
      <c r="BE81" s="7"/>
      <c r="BH81" s="1" t="s">
        <v>389</v>
      </c>
      <c r="BI81" s="1" t="s">
        <v>479</v>
      </c>
      <c r="BJ81" s="1" t="s">
        <v>479</v>
      </c>
      <c r="BK81" s="1" t="s">
        <v>479</v>
      </c>
      <c r="BM81" s="12" t="s">
        <v>472</v>
      </c>
      <c r="BN81" s="12" t="s">
        <v>472</v>
      </c>
      <c r="BO81" s="12"/>
      <c r="BP81" s="12"/>
      <c r="BQ81" s="12" t="s">
        <v>468</v>
      </c>
      <c r="BR81" s="12" t="s">
        <v>468</v>
      </c>
      <c r="BS81" s="12"/>
      <c r="BU81" s="12"/>
      <c r="BV81" s="12" t="s">
        <v>496</v>
      </c>
      <c r="BW81" s="12"/>
      <c r="BX81" s="1" t="s">
        <v>474</v>
      </c>
      <c r="BY81" s="1" t="s">
        <v>474</v>
      </c>
      <c r="BZ81" s="1" t="s">
        <v>473</v>
      </c>
      <c r="CA81" s="1" t="s">
        <v>465</v>
      </c>
      <c r="CB81" s="1" t="s">
        <v>503</v>
      </c>
      <c r="CC81" s="1" t="s">
        <v>499</v>
      </c>
      <c r="CD81" s="1" t="s">
        <v>500</v>
      </c>
      <c r="CE81" s="1" t="s">
        <v>499</v>
      </c>
      <c r="CG81" s="1" t="s">
        <v>499</v>
      </c>
    </row>
    <row r="82" spans="1:87" x14ac:dyDescent="0.2">
      <c r="A82" s="32" t="s">
        <v>377</v>
      </c>
      <c r="B82" s="1" t="s">
        <v>130</v>
      </c>
      <c r="C82" s="1" t="e">
        <f>VLOOKUP(Tabelle58971115[[#This Row],[Prozess]],#REF!,3,FALSE)</f>
        <v>#REF!</v>
      </c>
      <c r="D82" s="1">
        <v>2010</v>
      </c>
      <c r="E82" s="1">
        <v>1</v>
      </c>
      <c r="F82" s="1">
        <v>0</v>
      </c>
      <c r="G82" s="1">
        <v>0</v>
      </c>
      <c r="H82" s="1">
        <v>1</v>
      </c>
      <c r="I82" s="1">
        <v>1</v>
      </c>
      <c r="M82" s="18"/>
      <c r="N82" s="18">
        <v>466</v>
      </c>
      <c r="O82" s="18"/>
      <c r="P82" s="18"/>
      <c r="Q82" s="18"/>
      <c r="R82" s="18">
        <v>466</v>
      </c>
      <c r="S82" s="18"/>
      <c r="T82" s="18"/>
      <c r="U82" s="8"/>
      <c r="V82" s="8"/>
      <c r="W82" s="8"/>
      <c r="X82" s="8"/>
      <c r="Y82" s="8">
        <f>4380/8760</f>
        <v>0.5</v>
      </c>
      <c r="Z8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2" s="8"/>
      <c r="AB82" s="19"/>
      <c r="AC82" s="18"/>
      <c r="AD82" s="8"/>
      <c r="AE82" s="18"/>
      <c r="AF82" s="42">
        <v>0.95499999999999996</v>
      </c>
      <c r="AG82" s="42">
        <v>0.98</v>
      </c>
      <c r="AH82" s="8"/>
      <c r="AL82" s="1">
        <v>2</v>
      </c>
      <c r="AO82" s="1">
        <v>2</v>
      </c>
      <c r="AP82" s="1">
        <v>2</v>
      </c>
      <c r="AQ82" s="1">
        <v>6</v>
      </c>
      <c r="AR82" s="1">
        <v>2</v>
      </c>
      <c r="AS82" s="1">
        <v>8</v>
      </c>
      <c r="AT82" s="1" t="s">
        <v>380</v>
      </c>
      <c r="AU82" s="1" t="s">
        <v>277</v>
      </c>
      <c r="AV82" s="1">
        <f t="shared" ref="AV82:AV89" si="6">8/2</f>
        <v>4</v>
      </c>
      <c r="AX82" s="1">
        <v>1095</v>
      </c>
      <c r="AY82" s="18"/>
      <c r="AZ82" s="18"/>
      <c r="BA82" s="18">
        <f>5*Umrechnungsfaktoren!$B$15/Umrechnungsfaktoren!$B$12</f>
        <v>5.19</v>
      </c>
      <c r="BB82" s="7"/>
      <c r="BC82" s="3">
        <f>20*Umrechnungsfaktoren!$B$15/Umrechnungsfaktoren!$B$11</f>
        <v>20.8643216080402</v>
      </c>
      <c r="BD82" s="7">
        <f>0.03*Tabelle58971115[[#This Row],[Investitionsausgaben €_2018/kW]]</f>
        <v>0.15570000000000001</v>
      </c>
      <c r="BE82" s="7"/>
      <c r="BG82" s="6">
        <v>0.31</v>
      </c>
      <c r="BH82" s="1" t="s">
        <v>387</v>
      </c>
      <c r="BI82" s="1" t="s">
        <v>479</v>
      </c>
      <c r="BJ82" s="1" t="s">
        <v>479</v>
      </c>
      <c r="BK82" s="1" t="s">
        <v>479</v>
      </c>
      <c r="BM82" s="12" t="s">
        <v>476</v>
      </c>
      <c r="BN82" s="12" t="s">
        <v>477</v>
      </c>
      <c r="BO82" s="12"/>
      <c r="BP82" s="12"/>
      <c r="BQ82" s="12" t="s">
        <v>468</v>
      </c>
      <c r="BR82" s="12" t="s">
        <v>468</v>
      </c>
      <c r="BS82" s="12"/>
      <c r="BU82" s="12"/>
      <c r="BV82" s="12" t="s">
        <v>496</v>
      </c>
      <c r="BW82" s="12"/>
      <c r="BX82" s="1" t="s">
        <v>474</v>
      </c>
      <c r="BY82" s="1" t="s">
        <v>474</v>
      </c>
      <c r="BZ82" s="1" t="s">
        <v>473</v>
      </c>
      <c r="CA82" s="1" t="s">
        <v>465</v>
      </c>
      <c r="CB82" s="1" t="s">
        <v>504</v>
      </c>
      <c r="CC82" s="1" t="s">
        <v>499</v>
      </c>
      <c r="CD82" s="1" t="s">
        <v>500</v>
      </c>
      <c r="CE82" s="1" t="s">
        <v>499</v>
      </c>
      <c r="CG82" s="1" t="s">
        <v>499</v>
      </c>
    </row>
    <row r="83" spans="1:87" x14ac:dyDescent="0.2">
      <c r="A83" s="32" t="s">
        <v>377</v>
      </c>
      <c r="B83" s="1" t="s">
        <v>130</v>
      </c>
      <c r="C83" s="1" t="e">
        <f>VLOOKUP(Tabelle58971115[[#This Row],[Prozess]],#REF!,3,FALSE)</f>
        <v>#REF!</v>
      </c>
      <c r="D83" s="1">
        <v>2020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M83" s="18"/>
      <c r="N83" s="18">
        <v>451</v>
      </c>
      <c r="O83" s="18"/>
      <c r="P83" s="18"/>
      <c r="Q83" s="18"/>
      <c r="R83" s="18">
        <v>451</v>
      </c>
      <c r="S83" s="18"/>
      <c r="T83" s="18"/>
      <c r="U83" s="8"/>
      <c r="V83" s="8"/>
      <c r="W83" s="8">
        <v>0.9</v>
      </c>
      <c r="X83" s="8">
        <v>0.9</v>
      </c>
      <c r="Y83" s="8"/>
      <c r="Z8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3" s="8"/>
      <c r="AB83" s="19"/>
      <c r="AC83" s="18"/>
      <c r="AD83" s="8"/>
      <c r="AE83" s="18"/>
      <c r="AF83" s="42">
        <v>0.95499999999999996</v>
      </c>
      <c r="AG83" s="42">
        <v>0.98</v>
      </c>
      <c r="AH83" s="8"/>
      <c r="AL83" s="1">
        <v>2</v>
      </c>
      <c r="AO83" s="1">
        <v>2</v>
      </c>
      <c r="AP83" s="1">
        <v>2</v>
      </c>
      <c r="AQ83" s="1">
        <v>6</v>
      </c>
      <c r="AR83" s="1">
        <v>2</v>
      </c>
      <c r="AS83" s="1">
        <v>8</v>
      </c>
      <c r="AT83" s="1" t="s">
        <v>380</v>
      </c>
      <c r="AU83" s="1" t="s">
        <v>277</v>
      </c>
      <c r="AV83" s="1">
        <f t="shared" si="6"/>
        <v>4</v>
      </c>
      <c r="AX83" s="1">
        <v>1095</v>
      </c>
      <c r="AY83" s="18"/>
      <c r="AZ83" s="18"/>
      <c r="BA83" s="18">
        <f>5*Umrechnungsfaktoren!$B$15/Umrechnungsfaktoren!$B$12</f>
        <v>5.19</v>
      </c>
      <c r="BB83" s="7"/>
      <c r="BC83" s="3">
        <f>20*Umrechnungsfaktoren!$B$15/Umrechnungsfaktoren!$B$11</f>
        <v>20.8643216080402</v>
      </c>
      <c r="BD83" s="7">
        <f>0.03*Tabelle58971115[[#This Row],[Investitionsausgaben €_2018/kW]]</f>
        <v>0.15570000000000001</v>
      </c>
      <c r="BE83" s="7"/>
      <c r="BG83" s="6">
        <v>0.31</v>
      </c>
      <c r="BH83" s="1" t="s">
        <v>387</v>
      </c>
      <c r="BI83" s="1" t="s">
        <v>479</v>
      </c>
      <c r="BJ83" s="1" t="s">
        <v>479</v>
      </c>
      <c r="BK83" s="1" t="s">
        <v>479</v>
      </c>
      <c r="BM83" s="12" t="s">
        <v>470</v>
      </c>
      <c r="BN83" s="12" t="s">
        <v>470</v>
      </c>
      <c r="BO83" s="12"/>
      <c r="BP83" s="12"/>
      <c r="BQ83" s="12" t="s">
        <v>468</v>
      </c>
      <c r="BR83" s="12" t="s">
        <v>468</v>
      </c>
      <c r="BS83" s="12"/>
      <c r="BU83" s="12"/>
      <c r="BV83" s="12" t="s">
        <v>496</v>
      </c>
      <c r="BW83" s="12"/>
      <c r="BX83" s="1" t="s">
        <v>474</v>
      </c>
      <c r="BY83" s="1" t="s">
        <v>474</v>
      </c>
      <c r="BZ83" s="1" t="s">
        <v>473</v>
      </c>
      <c r="CA83" s="1" t="s">
        <v>465</v>
      </c>
      <c r="CB83" s="1" t="s">
        <v>504</v>
      </c>
      <c r="CC83" s="1" t="s">
        <v>499</v>
      </c>
      <c r="CD83" s="1" t="s">
        <v>500</v>
      </c>
      <c r="CE83" s="1" t="s">
        <v>499</v>
      </c>
      <c r="CG83" s="1" t="s">
        <v>499</v>
      </c>
    </row>
    <row r="84" spans="1:87" x14ac:dyDescent="0.2">
      <c r="A84" s="32" t="s">
        <v>377</v>
      </c>
      <c r="B84" s="1" t="s">
        <v>130</v>
      </c>
      <c r="C84" s="1" t="e">
        <f>VLOOKUP(Tabelle58971115[[#This Row],[Prozess]],#REF!,3,FALSE)</f>
        <v>#REF!</v>
      </c>
      <c r="D84" s="1">
        <v>2030</v>
      </c>
      <c r="E84" s="1">
        <v>1</v>
      </c>
      <c r="F84" s="1">
        <v>0</v>
      </c>
      <c r="G84" s="1">
        <v>0</v>
      </c>
      <c r="H84" s="1">
        <v>1</v>
      </c>
      <c r="I84" s="1">
        <v>1</v>
      </c>
      <c r="M84" s="18"/>
      <c r="N84" s="18">
        <v>465</v>
      </c>
      <c r="O84" s="18"/>
      <c r="P84" s="18"/>
      <c r="Q84" s="18"/>
      <c r="R84" s="18">
        <v>465</v>
      </c>
      <c r="S84" s="18"/>
      <c r="T84" s="18"/>
      <c r="U84" s="8"/>
      <c r="V84" s="8"/>
      <c r="W84" s="8">
        <v>0.9</v>
      </c>
      <c r="X84" s="8">
        <v>0.9</v>
      </c>
      <c r="Y84" s="8"/>
      <c r="Z84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4" s="8"/>
      <c r="AB84" s="19"/>
      <c r="AC84" s="18"/>
      <c r="AD84" s="8"/>
      <c r="AE84" s="18"/>
      <c r="AF84" s="42">
        <v>0.95499999999999996</v>
      </c>
      <c r="AG84" s="42">
        <v>0.98</v>
      </c>
      <c r="AH84" s="8"/>
      <c r="AL84" s="1">
        <v>2</v>
      </c>
      <c r="AO84" s="1">
        <v>2</v>
      </c>
      <c r="AP84" s="1">
        <v>2</v>
      </c>
      <c r="AQ84" s="1">
        <v>6</v>
      </c>
      <c r="AR84" s="1">
        <v>2</v>
      </c>
      <c r="AS84" s="1">
        <v>8</v>
      </c>
      <c r="AT84" s="1" t="s">
        <v>380</v>
      </c>
      <c r="AU84" s="1" t="s">
        <v>277</v>
      </c>
      <c r="AV84" s="1">
        <f t="shared" si="6"/>
        <v>4</v>
      </c>
      <c r="AX84" s="1">
        <v>1095</v>
      </c>
      <c r="AY84" s="18"/>
      <c r="AZ84" s="18"/>
      <c r="BA84" s="18">
        <f>5*Umrechnungsfaktoren!$B$15/Umrechnungsfaktoren!$B$12</f>
        <v>5.19</v>
      </c>
      <c r="BB84" s="7"/>
      <c r="BC84" s="3">
        <f>20*Umrechnungsfaktoren!$B$15/Umrechnungsfaktoren!$B$11</f>
        <v>20.8643216080402</v>
      </c>
      <c r="BD84" s="7">
        <f>0.03*Tabelle58971115[[#This Row],[Investitionsausgaben €_2018/kW]]</f>
        <v>0.15570000000000001</v>
      </c>
      <c r="BE84" s="7"/>
      <c r="BG84" s="6">
        <v>0.31</v>
      </c>
      <c r="BH84" s="1" t="s">
        <v>387</v>
      </c>
      <c r="BI84" s="1" t="s">
        <v>479</v>
      </c>
      <c r="BJ84" s="1" t="s">
        <v>479</v>
      </c>
      <c r="BK84" s="1" t="s">
        <v>479</v>
      </c>
      <c r="BM84" s="12" t="s">
        <v>471</v>
      </c>
      <c r="BN84" s="12" t="s">
        <v>471</v>
      </c>
      <c r="BO84" s="12"/>
      <c r="BP84" s="12"/>
      <c r="BQ84" s="12" t="s">
        <v>468</v>
      </c>
      <c r="BR84" s="12" t="s">
        <v>468</v>
      </c>
      <c r="BS84" s="12"/>
      <c r="BU84" s="12"/>
      <c r="BV84" s="12" t="s">
        <v>496</v>
      </c>
      <c r="BW84" s="12"/>
      <c r="BX84" s="1" t="s">
        <v>474</v>
      </c>
      <c r="BY84" s="1" t="s">
        <v>474</v>
      </c>
      <c r="BZ84" s="1" t="s">
        <v>473</v>
      </c>
      <c r="CA84" s="1" t="s">
        <v>465</v>
      </c>
      <c r="CB84" s="1" t="s">
        <v>504</v>
      </c>
      <c r="CC84" s="1" t="s">
        <v>499</v>
      </c>
      <c r="CD84" s="1" t="s">
        <v>500</v>
      </c>
      <c r="CE84" s="1" t="s">
        <v>499</v>
      </c>
      <c r="CG84" s="1" t="s">
        <v>499</v>
      </c>
    </row>
    <row r="85" spans="1:87" x14ac:dyDescent="0.2">
      <c r="A85" s="32" t="s">
        <v>377</v>
      </c>
      <c r="B85" s="1" t="s">
        <v>130</v>
      </c>
      <c r="C85" s="1" t="e">
        <f>VLOOKUP(Tabelle58971115[[#This Row],[Prozess]],#REF!,3,FALSE)</f>
        <v>#REF!</v>
      </c>
      <c r="D85" s="1">
        <v>2050</v>
      </c>
      <c r="E85" s="1">
        <v>1</v>
      </c>
      <c r="F85" s="1">
        <v>0</v>
      </c>
      <c r="G85" s="1">
        <v>0</v>
      </c>
      <c r="H85" s="1">
        <v>1</v>
      </c>
      <c r="I85" s="1">
        <v>1</v>
      </c>
      <c r="M85" s="18"/>
      <c r="N85" s="18">
        <v>406</v>
      </c>
      <c r="O85" s="18"/>
      <c r="P85" s="18"/>
      <c r="Q85" s="18"/>
      <c r="R85" s="18">
        <v>406</v>
      </c>
      <c r="S85" s="18"/>
      <c r="T85" s="18"/>
      <c r="U85" s="8"/>
      <c r="V85" s="8"/>
      <c r="W85" s="8">
        <v>0.9</v>
      </c>
      <c r="X85" s="8">
        <v>0.9</v>
      </c>
      <c r="Y85" s="8"/>
      <c r="Z85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5" s="8"/>
      <c r="AB85" s="19"/>
      <c r="AC85" s="18"/>
      <c r="AD85" s="8"/>
      <c r="AE85" s="18"/>
      <c r="AF85" s="42">
        <v>0.95499999999999996</v>
      </c>
      <c r="AG85" s="42">
        <v>0.98</v>
      </c>
      <c r="AH85" s="8"/>
      <c r="AL85" s="1">
        <v>2</v>
      </c>
      <c r="AO85" s="1">
        <v>2</v>
      </c>
      <c r="AP85" s="1">
        <v>2</v>
      </c>
      <c r="AQ85" s="1">
        <v>6</v>
      </c>
      <c r="AR85" s="1">
        <v>2</v>
      </c>
      <c r="AS85" s="1">
        <v>8</v>
      </c>
      <c r="AT85" s="1" t="s">
        <v>380</v>
      </c>
      <c r="AU85" s="1" t="s">
        <v>277</v>
      </c>
      <c r="AV85" s="1">
        <f t="shared" si="6"/>
        <v>4</v>
      </c>
      <c r="AX85" s="1">
        <v>1095</v>
      </c>
      <c r="AY85" s="18"/>
      <c r="AZ85" s="18"/>
      <c r="BA85" s="18">
        <f>5*Umrechnungsfaktoren!$B$15/Umrechnungsfaktoren!$B$12</f>
        <v>5.19</v>
      </c>
      <c r="BB85" s="7"/>
      <c r="BC85" s="3">
        <f>20*Umrechnungsfaktoren!$B$15/Umrechnungsfaktoren!$B$11</f>
        <v>20.8643216080402</v>
      </c>
      <c r="BD85" s="7">
        <f>0.03*Tabelle58971115[[#This Row],[Investitionsausgaben €_2018/kW]]</f>
        <v>0.15570000000000001</v>
      </c>
      <c r="BE85" s="7"/>
      <c r="BG85" s="6">
        <v>0.31</v>
      </c>
      <c r="BH85" s="1" t="s">
        <v>387</v>
      </c>
      <c r="BI85" s="1" t="s">
        <v>479</v>
      </c>
      <c r="BJ85" s="1" t="s">
        <v>479</v>
      </c>
      <c r="BK85" s="1" t="s">
        <v>479</v>
      </c>
      <c r="BM85" s="12" t="s">
        <v>472</v>
      </c>
      <c r="BN85" s="12" t="s">
        <v>472</v>
      </c>
      <c r="BO85" s="12"/>
      <c r="BP85" s="12"/>
      <c r="BQ85" s="12" t="s">
        <v>468</v>
      </c>
      <c r="BR85" s="12" t="s">
        <v>468</v>
      </c>
      <c r="BS85" s="12"/>
      <c r="BU85" s="12"/>
      <c r="BV85" s="12" t="s">
        <v>496</v>
      </c>
      <c r="BW85" s="12"/>
      <c r="BX85" s="1" t="s">
        <v>474</v>
      </c>
      <c r="BY85" s="1" t="s">
        <v>474</v>
      </c>
      <c r="BZ85" s="1" t="s">
        <v>473</v>
      </c>
      <c r="CA85" s="1" t="s">
        <v>465</v>
      </c>
      <c r="CB85" s="1" t="s">
        <v>504</v>
      </c>
      <c r="CC85" s="1" t="s">
        <v>499</v>
      </c>
      <c r="CD85" s="1" t="s">
        <v>500</v>
      </c>
      <c r="CE85" s="1" t="s">
        <v>499</v>
      </c>
      <c r="CG85" s="1" t="s">
        <v>499</v>
      </c>
    </row>
    <row r="86" spans="1:87" x14ac:dyDescent="0.2">
      <c r="A86" s="1" t="s">
        <v>224</v>
      </c>
      <c r="B86" s="1" t="s">
        <v>130</v>
      </c>
      <c r="C86" s="1" t="e">
        <f>VLOOKUP(Tabelle58971115[[#This Row],[Prozess]],#REF!,3,FALSE)</f>
        <v>#REF!</v>
      </c>
      <c r="D86" s="1">
        <v>2010</v>
      </c>
      <c r="E86" s="1">
        <v>1</v>
      </c>
      <c r="F86" s="1">
        <v>0</v>
      </c>
      <c r="G86" s="1">
        <v>0</v>
      </c>
      <c r="H86" s="1">
        <v>1</v>
      </c>
      <c r="I86" s="1">
        <v>1</v>
      </c>
      <c r="M86" s="18"/>
      <c r="N86" s="18">
        <v>93</v>
      </c>
      <c r="O86" s="18"/>
      <c r="P86" s="18"/>
      <c r="Q86" s="18"/>
      <c r="R86" s="18">
        <v>125</v>
      </c>
      <c r="S86" s="18"/>
      <c r="T86" s="18"/>
      <c r="U86" s="8"/>
      <c r="V86" s="8"/>
      <c r="W86" s="8"/>
      <c r="X86" s="8"/>
      <c r="Y86" s="8">
        <f>5694/8760</f>
        <v>0.65</v>
      </c>
      <c r="Z86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6" s="8"/>
      <c r="AB86" s="19"/>
      <c r="AC86" s="18"/>
      <c r="AD86" s="8"/>
      <c r="AE86" s="18"/>
      <c r="AF86" s="42">
        <v>0.95499999999999996</v>
      </c>
      <c r="AG86" s="42">
        <v>0.98</v>
      </c>
      <c r="AH86" s="8"/>
      <c r="AL86" s="1">
        <v>2</v>
      </c>
      <c r="AO86" s="1">
        <v>2</v>
      </c>
      <c r="AP86" s="1">
        <v>2</v>
      </c>
      <c r="AQ86" s="1">
        <v>6</v>
      </c>
      <c r="AR86" s="1">
        <v>2</v>
      </c>
      <c r="AS86" s="1">
        <v>8</v>
      </c>
      <c r="AT86" s="1" t="s">
        <v>371</v>
      </c>
      <c r="AU86" s="1" t="s">
        <v>277</v>
      </c>
      <c r="AV86" s="1">
        <f t="shared" si="6"/>
        <v>4</v>
      </c>
      <c r="AX86" s="1">
        <v>1095</v>
      </c>
      <c r="AY86" s="18"/>
      <c r="AZ86" s="18"/>
      <c r="BA86" s="18">
        <f>5*Umrechnungsfaktoren!$B$15/Umrechnungsfaktoren!$B$12</f>
        <v>5.19</v>
      </c>
      <c r="BB86" s="7"/>
      <c r="BC86" s="3">
        <f>20*Umrechnungsfaktoren!$B$15/Umrechnungsfaktoren!$B$11</f>
        <v>20.8643216080402</v>
      </c>
      <c r="BD86" s="7">
        <f>0.03*Tabelle58971115[[#This Row],[Investitionsausgaben €_2018/kW]]</f>
        <v>0.15570000000000001</v>
      </c>
      <c r="BE86" s="7"/>
      <c r="BG86" s="6">
        <v>0.31</v>
      </c>
      <c r="BI86" s="1" t="s">
        <v>479</v>
      </c>
      <c r="BJ86" s="1" t="s">
        <v>479</v>
      </c>
      <c r="BK86" s="1" t="s">
        <v>479</v>
      </c>
      <c r="BM86" s="12" t="s">
        <v>476</v>
      </c>
      <c r="BN86" s="12" t="s">
        <v>477</v>
      </c>
      <c r="BO86" s="12"/>
      <c r="BP86" s="12"/>
      <c r="BQ86" s="12" t="s">
        <v>468</v>
      </c>
      <c r="BR86" s="12" t="s">
        <v>468</v>
      </c>
      <c r="BS86" s="12"/>
      <c r="BU86" s="12"/>
      <c r="BV86" s="12" t="s">
        <v>496</v>
      </c>
      <c r="BW86" s="12"/>
      <c r="BX86" s="1" t="s">
        <v>474</v>
      </c>
      <c r="BY86" s="1" t="s">
        <v>474</v>
      </c>
      <c r="BZ86" s="1" t="s">
        <v>473</v>
      </c>
      <c r="CA86" s="1" t="s">
        <v>465</v>
      </c>
      <c r="CB86" s="1" t="s">
        <v>504</v>
      </c>
      <c r="CC86" s="1" t="s">
        <v>499</v>
      </c>
      <c r="CD86" s="1" t="s">
        <v>500</v>
      </c>
      <c r="CE86" s="1" t="s">
        <v>499</v>
      </c>
      <c r="CG86" s="1" t="s">
        <v>499</v>
      </c>
    </row>
    <row r="87" spans="1:87" x14ac:dyDescent="0.2">
      <c r="A87" s="1" t="s">
        <v>224</v>
      </c>
      <c r="B87" s="1" t="s">
        <v>130</v>
      </c>
      <c r="C87" s="1" t="e">
        <f>VLOOKUP(Tabelle58971115[[#This Row],[Prozess]],#REF!,3,FALSE)</f>
        <v>#REF!</v>
      </c>
      <c r="D87" s="1">
        <v>2020</v>
      </c>
      <c r="E87" s="1">
        <v>1</v>
      </c>
      <c r="F87" s="1">
        <v>0</v>
      </c>
      <c r="G87" s="1">
        <v>0</v>
      </c>
      <c r="H87" s="1">
        <v>1</v>
      </c>
      <c r="I87" s="1">
        <v>1</v>
      </c>
      <c r="M87" s="18"/>
      <c r="N87" s="18">
        <v>100</v>
      </c>
      <c r="O87" s="18"/>
      <c r="P87" s="18"/>
      <c r="Q87" s="18"/>
      <c r="R87" s="18">
        <v>135</v>
      </c>
      <c r="S87" s="18"/>
      <c r="T87" s="18"/>
      <c r="U87" s="8"/>
      <c r="V87" s="8"/>
      <c r="W87" s="8">
        <v>0.2</v>
      </c>
      <c r="X87" s="8">
        <v>0.5</v>
      </c>
      <c r="Y87" s="8"/>
      <c r="Z8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7" s="8"/>
      <c r="AB87" s="19"/>
      <c r="AC87" s="18"/>
      <c r="AD87" s="8"/>
      <c r="AE87" s="18"/>
      <c r="AF87" s="42">
        <v>0.95499999999999996</v>
      </c>
      <c r="AG87" s="42">
        <v>0.98</v>
      </c>
      <c r="AH87" s="8"/>
      <c r="AL87" s="1">
        <v>2</v>
      </c>
      <c r="AO87" s="1">
        <v>2</v>
      </c>
      <c r="AP87" s="1">
        <v>2</v>
      </c>
      <c r="AQ87" s="1">
        <v>6</v>
      </c>
      <c r="AR87" s="1">
        <v>2</v>
      </c>
      <c r="AS87" s="1">
        <v>8</v>
      </c>
      <c r="AT87" s="1" t="s">
        <v>371</v>
      </c>
      <c r="AU87" s="1" t="s">
        <v>277</v>
      </c>
      <c r="AV87" s="1">
        <f t="shared" si="6"/>
        <v>4</v>
      </c>
      <c r="AX87" s="1">
        <v>1095</v>
      </c>
      <c r="AY87" s="18"/>
      <c r="AZ87" s="18"/>
      <c r="BA87" s="18">
        <f>5*Umrechnungsfaktoren!$B$15/Umrechnungsfaktoren!$B$12</f>
        <v>5.19</v>
      </c>
      <c r="BB87" s="7"/>
      <c r="BC87" s="3">
        <f>20*Umrechnungsfaktoren!$B$15/Umrechnungsfaktoren!$B$11</f>
        <v>20.8643216080402</v>
      </c>
      <c r="BD87" s="7">
        <f>0.03*Tabelle58971115[[#This Row],[Investitionsausgaben €_2018/kW]]</f>
        <v>0.15570000000000001</v>
      </c>
      <c r="BE87" s="7"/>
      <c r="BG87" s="6">
        <v>0.31</v>
      </c>
      <c r="BI87" s="1" t="s">
        <v>479</v>
      </c>
      <c r="BJ87" s="1" t="s">
        <v>479</v>
      </c>
      <c r="BK87" s="1" t="s">
        <v>479</v>
      </c>
      <c r="BM87" s="12" t="s">
        <v>470</v>
      </c>
      <c r="BN87" s="12" t="s">
        <v>470</v>
      </c>
      <c r="BO87" s="12"/>
      <c r="BP87" s="12"/>
      <c r="BQ87" s="12" t="s">
        <v>468</v>
      </c>
      <c r="BR87" s="12" t="s">
        <v>468</v>
      </c>
      <c r="BS87" s="12"/>
      <c r="BU87" s="12"/>
      <c r="BV87" s="12" t="s">
        <v>496</v>
      </c>
      <c r="BW87" s="12"/>
      <c r="BX87" s="1" t="s">
        <v>474</v>
      </c>
      <c r="BY87" s="1" t="s">
        <v>474</v>
      </c>
      <c r="BZ87" s="1" t="s">
        <v>473</v>
      </c>
      <c r="CA87" s="1" t="s">
        <v>465</v>
      </c>
      <c r="CB87" s="1" t="s">
        <v>504</v>
      </c>
      <c r="CC87" s="1" t="s">
        <v>499</v>
      </c>
      <c r="CD87" s="1" t="s">
        <v>500</v>
      </c>
      <c r="CE87" s="1" t="s">
        <v>499</v>
      </c>
      <c r="CG87" s="1" t="s">
        <v>499</v>
      </c>
    </row>
    <row r="88" spans="1:87" x14ac:dyDescent="0.2">
      <c r="A88" s="1" t="s">
        <v>224</v>
      </c>
      <c r="B88" s="1" t="s">
        <v>130</v>
      </c>
      <c r="C88" s="1" t="e">
        <f>VLOOKUP(Tabelle58971115[[#This Row],[Prozess]],#REF!,3,FALSE)</f>
        <v>#REF!</v>
      </c>
      <c r="D88" s="1">
        <v>2030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M88" s="18"/>
      <c r="N88" s="18">
        <v>103</v>
      </c>
      <c r="O88" s="18"/>
      <c r="P88" s="18"/>
      <c r="Q88" s="18"/>
      <c r="R88" s="18">
        <v>139</v>
      </c>
      <c r="S88" s="18"/>
      <c r="T88" s="18"/>
      <c r="U88" s="8"/>
      <c r="V88" s="8"/>
      <c r="W88" s="8">
        <v>0.2</v>
      </c>
      <c r="X88" s="8">
        <v>0.5</v>
      </c>
      <c r="Y88" s="8"/>
      <c r="Z8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8" s="8"/>
      <c r="AB88" s="19"/>
      <c r="AC88" s="18"/>
      <c r="AD88" s="8"/>
      <c r="AE88" s="18"/>
      <c r="AF88" s="42">
        <v>0.95499999999999996</v>
      </c>
      <c r="AG88" s="42">
        <v>0.98</v>
      </c>
      <c r="AH88" s="8"/>
      <c r="AL88" s="1">
        <v>2</v>
      </c>
      <c r="AO88" s="1">
        <v>2</v>
      </c>
      <c r="AP88" s="1">
        <v>2</v>
      </c>
      <c r="AQ88" s="1">
        <v>6</v>
      </c>
      <c r="AR88" s="1">
        <v>2</v>
      </c>
      <c r="AS88" s="1">
        <v>8</v>
      </c>
      <c r="AT88" s="1" t="s">
        <v>371</v>
      </c>
      <c r="AU88" s="1" t="s">
        <v>277</v>
      </c>
      <c r="AV88" s="1">
        <f t="shared" si="6"/>
        <v>4</v>
      </c>
      <c r="AX88" s="1">
        <v>1095</v>
      </c>
      <c r="AY88" s="18"/>
      <c r="AZ88" s="18"/>
      <c r="BA88" s="18">
        <f>5*Umrechnungsfaktoren!$B$15/Umrechnungsfaktoren!$B$12</f>
        <v>5.19</v>
      </c>
      <c r="BB88" s="7"/>
      <c r="BC88" s="3">
        <f>20*Umrechnungsfaktoren!$B$15/Umrechnungsfaktoren!$B$11</f>
        <v>20.8643216080402</v>
      </c>
      <c r="BD88" s="7">
        <f>0.03*Tabelle58971115[[#This Row],[Investitionsausgaben €_2018/kW]]</f>
        <v>0.15570000000000001</v>
      </c>
      <c r="BE88" s="7"/>
      <c r="BG88" s="6">
        <v>0.31</v>
      </c>
      <c r="BI88" s="1" t="s">
        <v>479</v>
      </c>
      <c r="BJ88" s="1" t="s">
        <v>479</v>
      </c>
      <c r="BK88" s="1" t="s">
        <v>479</v>
      </c>
      <c r="BM88" s="12" t="s">
        <v>471</v>
      </c>
      <c r="BN88" s="12" t="s">
        <v>471</v>
      </c>
      <c r="BO88" s="12"/>
      <c r="BP88" s="12"/>
      <c r="BQ88" s="12" t="s">
        <v>468</v>
      </c>
      <c r="BR88" s="12" t="s">
        <v>468</v>
      </c>
      <c r="BS88" s="12"/>
      <c r="BU88" s="12"/>
      <c r="BV88" s="12" t="s">
        <v>496</v>
      </c>
      <c r="BW88" s="12"/>
      <c r="BX88" s="1" t="s">
        <v>474</v>
      </c>
      <c r="BY88" s="1" t="s">
        <v>474</v>
      </c>
      <c r="BZ88" s="1" t="s">
        <v>473</v>
      </c>
      <c r="CA88" s="1" t="s">
        <v>465</v>
      </c>
      <c r="CB88" s="1" t="s">
        <v>504</v>
      </c>
      <c r="CC88" s="1" t="s">
        <v>499</v>
      </c>
      <c r="CD88" s="1" t="s">
        <v>500</v>
      </c>
      <c r="CE88" s="1" t="s">
        <v>499</v>
      </c>
      <c r="CG88" s="1" t="s">
        <v>499</v>
      </c>
    </row>
    <row r="89" spans="1:87" x14ac:dyDescent="0.2">
      <c r="A89" s="1" t="s">
        <v>224</v>
      </c>
      <c r="B89" s="1" t="s">
        <v>130</v>
      </c>
      <c r="C89" s="1" t="e">
        <f>VLOOKUP(Tabelle58971115[[#This Row],[Prozess]],#REF!,3,FALSE)</f>
        <v>#REF!</v>
      </c>
      <c r="D89" s="1">
        <v>2050</v>
      </c>
      <c r="E89" s="1">
        <v>1</v>
      </c>
      <c r="F89" s="1">
        <v>0</v>
      </c>
      <c r="G89" s="1">
        <v>0</v>
      </c>
      <c r="H89" s="1">
        <v>1</v>
      </c>
      <c r="I89" s="1">
        <v>1</v>
      </c>
      <c r="M89" s="18"/>
      <c r="N89" s="18">
        <v>90</v>
      </c>
      <c r="O89" s="18"/>
      <c r="P89" s="18"/>
      <c r="Q89" s="18"/>
      <c r="R89" s="18">
        <v>121</v>
      </c>
      <c r="S89" s="18"/>
      <c r="T89" s="18"/>
      <c r="U89" s="8"/>
      <c r="V89" s="8"/>
      <c r="W89" s="8">
        <v>0.2</v>
      </c>
      <c r="X89" s="8">
        <v>0.5</v>
      </c>
      <c r="Y89" s="8"/>
      <c r="Z8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89" s="8"/>
      <c r="AB89" s="19"/>
      <c r="AC89" s="18"/>
      <c r="AD89" s="8"/>
      <c r="AE89" s="18"/>
      <c r="AF89" s="42">
        <v>0.95499999999999996</v>
      </c>
      <c r="AG89" s="42">
        <v>0.98</v>
      </c>
      <c r="AH89" s="8"/>
      <c r="AL89" s="1">
        <v>2</v>
      </c>
      <c r="AO89" s="1">
        <v>2</v>
      </c>
      <c r="AP89" s="1">
        <v>2</v>
      </c>
      <c r="AQ89" s="1">
        <v>6</v>
      </c>
      <c r="AR89" s="1">
        <v>2</v>
      </c>
      <c r="AS89" s="1">
        <v>8</v>
      </c>
      <c r="AT89" s="1" t="s">
        <v>371</v>
      </c>
      <c r="AU89" s="1" t="s">
        <v>277</v>
      </c>
      <c r="AV89" s="1">
        <f t="shared" si="6"/>
        <v>4</v>
      </c>
      <c r="AX89" s="1">
        <v>1095</v>
      </c>
      <c r="AY89" s="18"/>
      <c r="AZ89" s="18"/>
      <c r="BA89" s="18">
        <f>5*Umrechnungsfaktoren!$B$15/Umrechnungsfaktoren!$B$12</f>
        <v>5.19</v>
      </c>
      <c r="BB89" s="7"/>
      <c r="BC89" s="3">
        <f>20*Umrechnungsfaktoren!$B$15/Umrechnungsfaktoren!$B$11</f>
        <v>20.8643216080402</v>
      </c>
      <c r="BD89" s="7">
        <f>0.03*Tabelle58971115[[#This Row],[Investitionsausgaben €_2018/kW]]</f>
        <v>0.15570000000000001</v>
      </c>
      <c r="BE89" s="7"/>
      <c r="BG89" s="6">
        <v>0.31</v>
      </c>
      <c r="BI89" s="1" t="s">
        <v>479</v>
      </c>
      <c r="BJ89" s="1" t="s">
        <v>479</v>
      </c>
      <c r="BK89" s="1" t="s">
        <v>479</v>
      </c>
      <c r="BM89" s="12" t="s">
        <v>472</v>
      </c>
      <c r="BN89" s="12" t="s">
        <v>472</v>
      </c>
      <c r="BO89" s="12"/>
      <c r="BP89" s="12"/>
      <c r="BQ89" s="12" t="s">
        <v>468</v>
      </c>
      <c r="BR89" s="12" t="s">
        <v>468</v>
      </c>
      <c r="BS89" s="12"/>
      <c r="BU89" s="12"/>
      <c r="BV89" s="12" t="s">
        <v>496</v>
      </c>
      <c r="BW89" s="12"/>
      <c r="BX89" s="1" t="s">
        <v>474</v>
      </c>
      <c r="BY89" s="1" t="s">
        <v>474</v>
      </c>
      <c r="BZ89" s="1" t="s">
        <v>473</v>
      </c>
      <c r="CA89" s="1" t="s">
        <v>465</v>
      </c>
      <c r="CB89" s="1" t="s">
        <v>504</v>
      </c>
      <c r="CC89" s="1" t="s">
        <v>499</v>
      </c>
      <c r="CD89" s="1" t="s">
        <v>500</v>
      </c>
      <c r="CE89" s="1" t="s">
        <v>499</v>
      </c>
      <c r="CG89" s="1" t="s">
        <v>499</v>
      </c>
    </row>
    <row r="90" spans="1:87" x14ac:dyDescent="0.2">
      <c r="A90" s="32" t="s">
        <v>365</v>
      </c>
      <c r="B90" s="32" t="s">
        <v>142</v>
      </c>
      <c r="C90" s="1" t="s">
        <v>494</v>
      </c>
      <c r="D90" s="1">
        <v>2010</v>
      </c>
      <c r="E90" s="32">
        <v>1</v>
      </c>
      <c r="F90" s="32">
        <v>0</v>
      </c>
      <c r="G90" s="1">
        <v>0</v>
      </c>
      <c r="H90" s="1">
        <v>0</v>
      </c>
      <c r="I90" s="1">
        <v>1</v>
      </c>
      <c r="J90" s="1">
        <v>0.36118499999999992</v>
      </c>
      <c r="M90" s="33"/>
      <c r="N90" s="33">
        <v>32</v>
      </c>
      <c r="O90" s="18"/>
      <c r="P90" s="33"/>
      <c r="Q90" s="33"/>
      <c r="R90" s="33">
        <v>985</v>
      </c>
      <c r="S90" s="33"/>
      <c r="T90" s="33"/>
      <c r="U90" s="8"/>
      <c r="V90" s="35"/>
      <c r="W90" s="35"/>
      <c r="X90" s="35"/>
      <c r="Y90" s="8"/>
      <c r="Z9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0" s="8"/>
      <c r="AB90" s="34"/>
      <c r="AC90" s="33"/>
      <c r="AD90" s="35"/>
      <c r="AE90" s="33"/>
      <c r="AF90" s="8"/>
      <c r="AG90" s="8"/>
      <c r="AH90" s="8">
        <v>0.97</v>
      </c>
      <c r="AI90" s="32"/>
      <c r="AJ90" s="32"/>
      <c r="AK90" s="32"/>
      <c r="AL90" s="1">
        <v>1</v>
      </c>
      <c r="AM90" s="32"/>
      <c r="AN90" s="32"/>
      <c r="AO90" s="1">
        <v>1</v>
      </c>
      <c r="AP90" s="32"/>
      <c r="AQ90" s="32"/>
      <c r="AR90" s="1">
        <v>2</v>
      </c>
      <c r="AS90" s="1">
        <v>4</v>
      </c>
      <c r="AT90" s="1" t="s">
        <v>380</v>
      </c>
      <c r="AU90" s="1" t="s">
        <v>277</v>
      </c>
      <c r="AV90" s="1">
        <f>4/1</f>
        <v>4</v>
      </c>
      <c r="AW90" s="32"/>
      <c r="AX90" s="1">
        <v>1095</v>
      </c>
      <c r="AY90" s="33"/>
      <c r="AZ90" s="33"/>
      <c r="BA90" s="33">
        <f>250*Umrechnungsfaktoren!$B$15/Umrechnungsfaktoren!$B$12</f>
        <v>259.5</v>
      </c>
      <c r="BB90" s="36"/>
      <c r="BC90" s="7">
        <f>10*Umrechnungsfaktoren!$B$15/Umrechnungsfaktoren!$B$12</f>
        <v>10.38</v>
      </c>
      <c r="BD90" s="36"/>
      <c r="BE90" s="36">
        <f>0.03*Tabelle58971115[[#This Row],[Investitionsausgaben €_2018/kW]]</f>
        <v>7.7850000000000001</v>
      </c>
      <c r="BF90" s="32"/>
      <c r="BG90" s="47">
        <v>0.09</v>
      </c>
      <c r="BH90" s="32"/>
      <c r="BI90" s="1" t="s">
        <v>479</v>
      </c>
      <c r="BJ90" s="1" t="s">
        <v>479</v>
      </c>
      <c r="BK90" s="1" t="s">
        <v>479</v>
      </c>
      <c r="BL90" s="1" t="s">
        <v>493</v>
      </c>
      <c r="BM90" s="12" t="s">
        <v>476</v>
      </c>
      <c r="BN90" s="12" t="s">
        <v>477</v>
      </c>
      <c r="BO90" s="37"/>
      <c r="BP90" s="37"/>
      <c r="BQ90" s="12" t="s">
        <v>468</v>
      </c>
      <c r="BR90" s="12" t="s">
        <v>468</v>
      </c>
      <c r="BS90" s="37"/>
      <c r="BT90" s="32"/>
      <c r="BU90" s="37"/>
      <c r="BV90" s="12" t="s">
        <v>496</v>
      </c>
      <c r="BW90" s="37"/>
      <c r="BX90" s="1" t="s">
        <v>474</v>
      </c>
      <c r="BY90" s="1" t="s">
        <v>474</v>
      </c>
      <c r="BZ90" s="1" t="s">
        <v>473</v>
      </c>
      <c r="CA90" s="1" t="s">
        <v>465</v>
      </c>
      <c r="CB90" s="1" t="s">
        <v>504</v>
      </c>
      <c r="CC90" s="1" t="s">
        <v>499</v>
      </c>
      <c r="CD90" s="1" t="s">
        <v>500</v>
      </c>
      <c r="CE90" s="1" t="s">
        <v>499</v>
      </c>
      <c r="CF90" s="32"/>
      <c r="CG90" s="1" t="s">
        <v>499</v>
      </c>
      <c r="CH90" s="32"/>
      <c r="CI90" s="32"/>
    </row>
    <row r="91" spans="1:87" x14ac:dyDescent="0.2">
      <c r="A91" s="32" t="s">
        <v>365</v>
      </c>
      <c r="B91" s="32" t="s">
        <v>142</v>
      </c>
      <c r="C91" s="1" t="s">
        <v>494</v>
      </c>
      <c r="D91" s="1">
        <v>2020</v>
      </c>
      <c r="E91" s="32">
        <v>1</v>
      </c>
      <c r="F91" s="32">
        <v>0</v>
      </c>
      <c r="G91" s="1">
        <v>0</v>
      </c>
      <c r="H91" s="1">
        <v>0</v>
      </c>
      <c r="I91" s="1">
        <v>1</v>
      </c>
      <c r="J91" s="1">
        <v>0.70016519999999993</v>
      </c>
      <c r="M91" s="33">
        <v>18</v>
      </c>
      <c r="N91" s="33">
        <v>18</v>
      </c>
      <c r="O91" s="33"/>
      <c r="P91" s="33"/>
      <c r="Q91" s="33"/>
      <c r="R91" s="33">
        <v>2160</v>
      </c>
      <c r="S91" s="18"/>
      <c r="T91" s="33"/>
      <c r="U91" s="8"/>
      <c r="V91" s="35"/>
      <c r="W91" s="35">
        <v>0.25</v>
      </c>
      <c r="X91" s="35">
        <v>1</v>
      </c>
      <c r="Y91" s="8">
        <f>287/8760</f>
        <v>3.276255707762557E-2</v>
      </c>
      <c r="Z9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1" s="8"/>
      <c r="AB91" s="34"/>
      <c r="AC91" s="33"/>
      <c r="AD91" s="35"/>
      <c r="AE91" s="33"/>
      <c r="AF91" s="8"/>
      <c r="AG91" s="8"/>
      <c r="AH91" s="8">
        <v>0.97</v>
      </c>
      <c r="AI91" s="32"/>
      <c r="AJ91" s="32"/>
      <c r="AK91" s="32"/>
      <c r="AL91" s="1">
        <v>1</v>
      </c>
      <c r="AM91" s="32"/>
      <c r="AN91" s="32"/>
      <c r="AO91" s="1">
        <v>1</v>
      </c>
      <c r="AP91" s="32"/>
      <c r="AQ91" s="32"/>
      <c r="AR91" s="1">
        <v>2</v>
      </c>
      <c r="AS91" s="1">
        <v>4</v>
      </c>
      <c r="AT91" s="1" t="s">
        <v>380</v>
      </c>
      <c r="AU91" s="1" t="s">
        <v>277</v>
      </c>
      <c r="AV91" s="1">
        <f t="shared" ref="AV91:AV97" si="7">4/1</f>
        <v>4</v>
      </c>
      <c r="AW91" s="32"/>
      <c r="AX91" s="1">
        <v>1095</v>
      </c>
      <c r="AY91" s="33"/>
      <c r="AZ91" s="33"/>
      <c r="BA91" s="33">
        <f>250*Umrechnungsfaktoren!$B$15/Umrechnungsfaktoren!$B$12</f>
        <v>259.5</v>
      </c>
      <c r="BB91" s="36"/>
      <c r="BC91" s="7">
        <f>10*Umrechnungsfaktoren!$B$15/Umrechnungsfaktoren!$B$12</f>
        <v>10.38</v>
      </c>
      <c r="BD91" s="36"/>
      <c r="BE91" s="36">
        <f>0.03*Tabelle58971115[[#This Row],[Investitionsausgaben €_2018/kW]]</f>
        <v>7.7850000000000001</v>
      </c>
      <c r="BF91" s="32"/>
      <c r="BG91" s="47">
        <v>0.09</v>
      </c>
      <c r="BH91" s="32"/>
      <c r="BI91" s="1" t="s">
        <v>479</v>
      </c>
      <c r="BJ91" s="1" t="s">
        <v>479</v>
      </c>
      <c r="BK91" s="1" t="s">
        <v>479</v>
      </c>
      <c r="BL91" s="1" t="s">
        <v>493</v>
      </c>
      <c r="BM91" s="12" t="s">
        <v>470</v>
      </c>
      <c r="BN91" s="12" t="s">
        <v>470</v>
      </c>
      <c r="BO91" s="37"/>
      <c r="BP91" s="37"/>
      <c r="BQ91" s="12" t="s">
        <v>468</v>
      </c>
      <c r="BR91" s="37">
        <v>157</v>
      </c>
      <c r="BS91" s="37"/>
      <c r="BT91" s="32"/>
      <c r="BU91" s="37"/>
      <c r="BV91" s="12" t="s">
        <v>496</v>
      </c>
      <c r="BW91" s="37"/>
      <c r="BX91" s="1" t="s">
        <v>474</v>
      </c>
      <c r="BY91" s="1" t="s">
        <v>474</v>
      </c>
      <c r="BZ91" s="1" t="s">
        <v>473</v>
      </c>
      <c r="CA91" s="1" t="s">
        <v>465</v>
      </c>
      <c r="CB91" s="1" t="s">
        <v>504</v>
      </c>
      <c r="CC91" s="1" t="s">
        <v>499</v>
      </c>
      <c r="CD91" s="1" t="s">
        <v>500</v>
      </c>
      <c r="CE91" s="1" t="s">
        <v>499</v>
      </c>
      <c r="CF91" s="32"/>
      <c r="CG91" s="1" t="s">
        <v>499</v>
      </c>
      <c r="CH91" s="32"/>
      <c r="CI91" s="32"/>
    </row>
    <row r="92" spans="1:87" x14ac:dyDescent="0.2">
      <c r="A92" s="32" t="s">
        <v>365</v>
      </c>
      <c r="B92" s="32" t="s">
        <v>142</v>
      </c>
      <c r="C92" s="1" t="s">
        <v>494</v>
      </c>
      <c r="D92" s="1">
        <v>2030</v>
      </c>
      <c r="E92" s="32">
        <v>1</v>
      </c>
      <c r="F92" s="32">
        <v>0</v>
      </c>
      <c r="G92" s="1">
        <v>0</v>
      </c>
      <c r="H92" s="1">
        <v>0</v>
      </c>
      <c r="I92" s="1">
        <v>1</v>
      </c>
      <c r="J92" s="1">
        <v>1.00116</v>
      </c>
      <c r="M92" s="33"/>
      <c r="N92" s="33">
        <v>33</v>
      </c>
      <c r="O92" s="33"/>
      <c r="P92" s="33"/>
      <c r="Q92" s="33"/>
      <c r="R92" s="33">
        <v>3102</v>
      </c>
      <c r="S92" s="18"/>
      <c r="T92" s="33"/>
      <c r="U92" s="8"/>
      <c r="V92" s="35"/>
      <c r="W92" s="35">
        <v>0.25</v>
      </c>
      <c r="X92" s="35">
        <v>1</v>
      </c>
      <c r="Y92" s="8">
        <f>300/8760</f>
        <v>3.4246575342465752E-2</v>
      </c>
      <c r="Z9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2" s="8"/>
      <c r="AB92" s="34"/>
      <c r="AC92" s="33"/>
      <c r="AD92" s="35"/>
      <c r="AE92" s="33"/>
      <c r="AF92" s="8"/>
      <c r="AG92" s="8"/>
      <c r="AH92" s="8">
        <v>0.97</v>
      </c>
      <c r="AI92" s="32"/>
      <c r="AJ92" s="32"/>
      <c r="AK92" s="32"/>
      <c r="AL92" s="1">
        <v>1</v>
      </c>
      <c r="AM92" s="32"/>
      <c r="AN92" s="32"/>
      <c r="AO92" s="1">
        <v>1</v>
      </c>
      <c r="AP92" s="32"/>
      <c r="AQ92" s="32"/>
      <c r="AR92" s="1">
        <v>2</v>
      </c>
      <c r="AS92" s="1">
        <v>4</v>
      </c>
      <c r="AT92" s="1" t="s">
        <v>380</v>
      </c>
      <c r="AU92" s="1" t="s">
        <v>277</v>
      </c>
      <c r="AV92" s="1">
        <f t="shared" si="7"/>
        <v>4</v>
      </c>
      <c r="AW92" s="32"/>
      <c r="AX92" s="1">
        <v>1095</v>
      </c>
      <c r="AY92" s="33"/>
      <c r="AZ92" s="33"/>
      <c r="BA92" s="33">
        <f>250*Umrechnungsfaktoren!$B$15/Umrechnungsfaktoren!$B$12</f>
        <v>259.5</v>
      </c>
      <c r="BB92" s="36"/>
      <c r="BC92" s="7">
        <f>10*Umrechnungsfaktoren!$B$15/Umrechnungsfaktoren!$B$12</f>
        <v>10.38</v>
      </c>
      <c r="BD92" s="36"/>
      <c r="BE92" s="36">
        <f>0.03*Tabelle58971115[[#This Row],[Investitionsausgaben €_2018/kW]]</f>
        <v>7.7850000000000001</v>
      </c>
      <c r="BF92" s="32"/>
      <c r="BG92" s="47">
        <v>0.09</v>
      </c>
      <c r="BH92" s="32"/>
      <c r="BI92" s="1" t="s">
        <v>479</v>
      </c>
      <c r="BJ92" s="1" t="s">
        <v>479</v>
      </c>
      <c r="BK92" s="1" t="s">
        <v>479</v>
      </c>
      <c r="BL92" s="1" t="s">
        <v>493</v>
      </c>
      <c r="BM92" s="12" t="s">
        <v>471</v>
      </c>
      <c r="BN92" s="12" t="s">
        <v>471</v>
      </c>
      <c r="BO92" s="37"/>
      <c r="BP92" s="37"/>
      <c r="BQ92" s="12" t="s">
        <v>468</v>
      </c>
      <c r="BR92" s="37">
        <v>157</v>
      </c>
      <c r="BS92" s="37"/>
      <c r="BT92" s="32"/>
      <c r="BU92" s="37"/>
      <c r="BV92" s="12" t="s">
        <v>496</v>
      </c>
      <c r="BW92" s="37"/>
      <c r="BX92" s="1" t="s">
        <v>474</v>
      </c>
      <c r="BY92" s="1" t="s">
        <v>474</v>
      </c>
      <c r="BZ92" s="1" t="s">
        <v>473</v>
      </c>
      <c r="CA92" s="1" t="s">
        <v>465</v>
      </c>
      <c r="CB92" s="1" t="s">
        <v>504</v>
      </c>
      <c r="CC92" s="1" t="s">
        <v>499</v>
      </c>
      <c r="CD92" s="1" t="s">
        <v>500</v>
      </c>
      <c r="CE92" s="1" t="s">
        <v>499</v>
      </c>
      <c r="CF92" s="32"/>
      <c r="CG92" s="1" t="s">
        <v>499</v>
      </c>
      <c r="CH92" s="32"/>
      <c r="CI92" s="32"/>
    </row>
    <row r="93" spans="1:87" x14ac:dyDescent="0.2">
      <c r="A93" s="32" t="s">
        <v>365</v>
      </c>
      <c r="B93" s="32" t="s">
        <v>142</v>
      </c>
      <c r="C93" s="1" t="s">
        <v>494</v>
      </c>
      <c r="D93" s="1">
        <v>2050</v>
      </c>
      <c r="E93" s="32">
        <v>1</v>
      </c>
      <c r="F93" s="32">
        <v>0</v>
      </c>
      <c r="G93" s="1">
        <v>0</v>
      </c>
      <c r="H93" s="1">
        <v>0</v>
      </c>
      <c r="I93" s="1">
        <v>1</v>
      </c>
      <c r="J93" s="1">
        <v>1.4360192000000003</v>
      </c>
      <c r="M93" s="33"/>
      <c r="N93" s="33">
        <v>66</v>
      </c>
      <c r="O93" s="33"/>
      <c r="P93" s="33"/>
      <c r="Q93" s="33"/>
      <c r="R93" s="33">
        <v>4201</v>
      </c>
      <c r="S93" s="18"/>
      <c r="T93" s="33"/>
      <c r="U93" s="8"/>
      <c r="V93" s="35"/>
      <c r="W93" s="35">
        <v>0.25</v>
      </c>
      <c r="X93" s="35">
        <v>1</v>
      </c>
      <c r="Y93" s="8">
        <f>329/8760</f>
        <v>3.7557077625570777E-2</v>
      </c>
      <c r="Z9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3" s="8"/>
      <c r="AB93" s="34"/>
      <c r="AC93" s="33"/>
      <c r="AD93" s="35"/>
      <c r="AE93" s="33"/>
      <c r="AF93" s="8"/>
      <c r="AG93" s="8"/>
      <c r="AH93" s="8">
        <v>0.97</v>
      </c>
      <c r="AI93" s="32"/>
      <c r="AJ93" s="32"/>
      <c r="AK93" s="32"/>
      <c r="AL93" s="1">
        <v>1</v>
      </c>
      <c r="AM93" s="32"/>
      <c r="AN93" s="32"/>
      <c r="AO93" s="1">
        <v>1</v>
      </c>
      <c r="AP93" s="32"/>
      <c r="AQ93" s="32"/>
      <c r="AR93" s="1">
        <v>2</v>
      </c>
      <c r="AS93" s="1">
        <v>4</v>
      </c>
      <c r="AT93" s="1" t="s">
        <v>380</v>
      </c>
      <c r="AU93" s="1" t="s">
        <v>277</v>
      </c>
      <c r="AV93" s="1">
        <f t="shared" si="7"/>
        <v>4</v>
      </c>
      <c r="AW93" s="32"/>
      <c r="AX93" s="1">
        <v>1095</v>
      </c>
      <c r="AY93" s="33"/>
      <c r="AZ93" s="33"/>
      <c r="BA93" s="33">
        <f>250*Umrechnungsfaktoren!$B$15/Umrechnungsfaktoren!$B$12</f>
        <v>259.5</v>
      </c>
      <c r="BB93" s="36"/>
      <c r="BC93" s="7">
        <f>10*Umrechnungsfaktoren!$B$15/Umrechnungsfaktoren!$B$12</f>
        <v>10.38</v>
      </c>
      <c r="BD93" s="36"/>
      <c r="BE93" s="36">
        <f>0.03*Tabelle58971115[[#This Row],[Investitionsausgaben €_2018/kW]]</f>
        <v>7.7850000000000001</v>
      </c>
      <c r="BF93" s="32"/>
      <c r="BG93" s="47">
        <v>0.09</v>
      </c>
      <c r="BH93" s="32"/>
      <c r="BI93" s="1" t="s">
        <v>479</v>
      </c>
      <c r="BJ93" s="1" t="s">
        <v>479</v>
      </c>
      <c r="BK93" s="1" t="s">
        <v>479</v>
      </c>
      <c r="BL93" s="1" t="s">
        <v>493</v>
      </c>
      <c r="BM93" s="12" t="s">
        <v>472</v>
      </c>
      <c r="BN93" s="12" t="s">
        <v>472</v>
      </c>
      <c r="BO93" s="37"/>
      <c r="BP93" s="37"/>
      <c r="BQ93" s="12" t="s">
        <v>468</v>
      </c>
      <c r="BR93" s="37">
        <v>157</v>
      </c>
      <c r="BS93" s="37"/>
      <c r="BT93" s="32"/>
      <c r="BU93" s="37"/>
      <c r="BV93" s="12" t="s">
        <v>496</v>
      </c>
      <c r="BW93" s="37"/>
      <c r="BX93" s="1" t="s">
        <v>474</v>
      </c>
      <c r="BY93" s="1" t="s">
        <v>474</v>
      </c>
      <c r="BZ93" s="1" t="s">
        <v>473</v>
      </c>
      <c r="CA93" s="1" t="s">
        <v>465</v>
      </c>
      <c r="CB93" s="1" t="s">
        <v>504</v>
      </c>
      <c r="CC93" s="1" t="s">
        <v>499</v>
      </c>
      <c r="CD93" s="1" t="s">
        <v>500</v>
      </c>
      <c r="CE93" s="1" t="s">
        <v>499</v>
      </c>
      <c r="CF93" s="32"/>
      <c r="CG93" s="1" t="s">
        <v>499</v>
      </c>
      <c r="CH93" s="32"/>
      <c r="CI93" s="32"/>
    </row>
    <row r="94" spans="1:87" x14ac:dyDescent="0.2">
      <c r="A94" s="32" t="s">
        <v>392</v>
      </c>
      <c r="B94" s="32" t="s">
        <v>142</v>
      </c>
      <c r="C94" s="1" t="s">
        <v>494</v>
      </c>
      <c r="D94" s="1">
        <v>2010</v>
      </c>
      <c r="E94" s="32">
        <v>1</v>
      </c>
      <c r="F94" s="32">
        <v>0</v>
      </c>
      <c r="G94" s="1">
        <v>0</v>
      </c>
      <c r="H94" s="1">
        <v>0</v>
      </c>
      <c r="I94" s="1">
        <v>1</v>
      </c>
      <c r="J94" s="1">
        <v>25.213299999999997</v>
      </c>
      <c r="M94" s="33"/>
      <c r="N94" s="33">
        <v>2885</v>
      </c>
      <c r="O94" s="33"/>
      <c r="P94" s="33"/>
      <c r="Q94" s="33"/>
      <c r="R94" s="33">
        <v>3614</v>
      </c>
      <c r="S94" s="33"/>
      <c r="T94" s="33"/>
      <c r="U94" s="8"/>
      <c r="V94" s="35"/>
      <c r="W94" s="35"/>
      <c r="X94" s="35"/>
      <c r="Y94" s="35"/>
      <c r="Z94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4" s="35"/>
      <c r="AB94" s="34"/>
      <c r="AC94" s="33"/>
      <c r="AD94" s="35"/>
      <c r="AE94" s="33"/>
      <c r="AF94" s="8"/>
      <c r="AG94" s="8"/>
      <c r="AH94" s="8">
        <v>0.97</v>
      </c>
      <c r="AI94" s="32"/>
      <c r="AJ94" s="32"/>
      <c r="AK94" s="32"/>
      <c r="AL94" s="1">
        <v>1</v>
      </c>
      <c r="AM94" s="32"/>
      <c r="AN94" s="32"/>
      <c r="AO94" s="1">
        <v>1</v>
      </c>
      <c r="AP94" s="32"/>
      <c r="AQ94" s="32"/>
      <c r="AR94" s="1">
        <v>2</v>
      </c>
      <c r="AS94" s="1">
        <v>4</v>
      </c>
      <c r="AT94" s="1" t="s">
        <v>372</v>
      </c>
      <c r="AU94" s="1" t="s">
        <v>277</v>
      </c>
      <c r="AV94" s="1">
        <f t="shared" si="7"/>
        <v>4</v>
      </c>
      <c r="AW94" s="32"/>
      <c r="AX94" s="1">
        <v>1095</v>
      </c>
      <c r="AY94" s="33"/>
      <c r="AZ94" s="33"/>
      <c r="BA94" s="33">
        <f>250*Umrechnungsfaktoren!$B$15/Umrechnungsfaktoren!$B$12</f>
        <v>259.5</v>
      </c>
      <c r="BB94" s="36"/>
      <c r="BC94" s="7">
        <f>10*Umrechnungsfaktoren!$B$15/Umrechnungsfaktoren!$B$12</f>
        <v>10.38</v>
      </c>
      <c r="BD94" s="36"/>
      <c r="BE94" s="36">
        <f>0.03*Tabelle58971115[[#This Row],[Investitionsausgaben €_2018/kW]]</f>
        <v>7.7850000000000001</v>
      </c>
      <c r="BF94" s="32"/>
      <c r="BG94" s="47">
        <v>0.09</v>
      </c>
      <c r="BH94" s="1" t="s">
        <v>386</v>
      </c>
      <c r="BI94" s="1" t="s">
        <v>479</v>
      </c>
      <c r="BJ94" s="1" t="s">
        <v>479</v>
      </c>
      <c r="BK94" s="1" t="s">
        <v>479</v>
      </c>
      <c r="BL94" s="1" t="s">
        <v>493</v>
      </c>
      <c r="BM94" s="12" t="s">
        <v>476</v>
      </c>
      <c r="BN94" s="12" t="s">
        <v>477</v>
      </c>
      <c r="BO94" s="37"/>
      <c r="BP94" s="37"/>
      <c r="BQ94" s="12" t="s">
        <v>469</v>
      </c>
      <c r="BR94" s="12" t="s">
        <v>469</v>
      </c>
      <c r="BS94" s="37"/>
      <c r="BT94" s="37"/>
      <c r="BU94" s="37"/>
      <c r="BV94" s="12" t="s">
        <v>496</v>
      </c>
      <c r="BW94" s="37"/>
      <c r="BX94" s="1" t="s">
        <v>474</v>
      </c>
      <c r="BY94" s="1" t="s">
        <v>474</v>
      </c>
      <c r="BZ94" s="1" t="s">
        <v>473</v>
      </c>
      <c r="CA94" s="1" t="s">
        <v>465</v>
      </c>
      <c r="CB94" s="1" t="s">
        <v>504</v>
      </c>
      <c r="CC94" s="1" t="s">
        <v>499</v>
      </c>
      <c r="CD94" s="1" t="s">
        <v>500</v>
      </c>
      <c r="CE94" s="1" t="s">
        <v>499</v>
      </c>
      <c r="CF94" s="32"/>
      <c r="CG94" s="1" t="s">
        <v>499</v>
      </c>
      <c r="CH94" s="32"/>
      <c r="CI94" s="32"/>
    </row>
    <row r="95" spans="1:87" x14ac:dyDescent="0.2">
      <c r="A95" s="32" t="s">
        <v>392</v>
      </c>
      <c r="B95" s="32" t="s">
        <v>142</v>
      </c>
      <c r="C95" s="1" t="s">
        <v>494</v>
      </c>
      <c r="D95" s="1">
        <v>2020</v>
      </c>
      <c r="E95" s="32">
        <v>1</v>
      </c>
      <c r="F95" s="32">
        <v>0</v>
      </c>
      <c r="G95" s="1">
        <v>0</v>
      </c>
      <c r="H95" s="1">
        <v>0</v>
      </c>
      <c r="I95" s="1">
        <v>1</v>
      </c>
      <c r="J95" s="1">
        <v>18.373237499999998</v>
      </c>
      <c r="M95" s="33"/>
      <c r="N95" s="33">
        <v>1681</v>
      </c>
      <c r="O95" s="33"/>
      <c r="P95" s="33"/>
      <c r="Q95" s="33"/>
      <c r="R95" s="33">
        <v>4524</v>
      </c>
      <c r="S95" s="33"/>
      <c r="T95" s="33"/>
      <c r="U95" s="8"/>
      <c r="V95" s="35"/>
      <c r="W95" s="35">
        <v>0.8</v>
      </c>
      <c r="X95" s="35">
        <v>1</v>
      </c>
      <c r="Y95" s="35"/>
      <c r="Z95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5" s="35"/>
      <c r="AB95" s="34"/>
      <c r="AC95" s="33"/>
      <c r="AD95" s="35"/>
      <c r="AE95" s="33"/>
      <c r="AF95" s="8"/>
      <c r="AG95" s="8"/>
      <c r="AH95" s="8">
        <v>0.97</v>
      </c>
      <c r="AI95" s="32"/>
      <c r="AJ95" s="32"/>
      <c r="AK95" s="32"/>
      <c r="AL95" s="1">
        <v>1</v>
      </c>
      <c r="AM95" s="32"/>
      <c r="AN95" s="32"/>
      <c r="AO95" s="1">
        <v>1</v>
      </c>
      <c r="AP95" s="32"/>
      <c r="AQ95" s="32"/>
      <c r="AR95" s="1">
        <v>2</v>
      </c>
      <c r="AS95" s="1">
        <v>4</v>
      </c>
      <c r="AT95" s="1" t="s">
        <v>372</v>
      </c>
      <c r="AU95" s="1" t="s">
        <v>277</v>
      </c>
      <c r="AV95" s="1">
        <f t="shared" si="7"/>
        <v>4</v>
      </c>
      <c r="AW95" s="32"/>
      <c r="AX95" s="1">
        <v>1095</v>
      </c>
      <c r="AY95" s="33"/>
      <c r="AZ95" s="33"/>
      <c r="BA95" s="33">
        <f>250*Umrechnungsfaktoren!$B$15/Umrechnungsfaktoren!$B$12</f>
        <v>259.5</v>
      </c>
      <c r="BB95" s="36"/>
      <c r="BC95" s="7">
        <f>10*Umrechnungsfaktoren!$B$15/Umrechnungsfaktoren!$B$12</f>
        <v>10.38</v>
      </c>
      <c r="BD95" s="36"/>
      <c r="BE95" s="36">
        <f>0.03*Tabelle58971115[[#This Row],[Investitionsausgaben €_2018/kW]]</f>
        <v>7.7850000000000001</v>
      </c>
      <c r="BF95" s="32"/>
      <c r="BG95" s="47">
        <v>0.09</v>
      </c>
      <c r="BH95" s="1" t="s">
        <v>386</v>
      </c>
      <c r="BI95" s="1" t="s">
        <v>479</v>
      </c>
      <c r="BJ95" s="1" t="s">
        <v>479</v>
      </c>
      <c r="BK95" s="1" t="s">
        <v>479</v>
      </c>
      <c r="BL95" s="1" t="s">
        <v>493</v>
      </c>
      <c r="BM95" s="12" t="s">
        <v>470</v>
      </c>
      <c r="BN95" s="12" t="s">
        <v>470</v>
      </c>
      <c r="BO95" s="37"/>
      <c r="BP95" s="37"/>
      <c r="BQ95" s="12" t="s">
        <v>469</v>
      </c>
      <c r="BR95" s="12" t="s">
        <v>469</v>
      </c>
      <c r="BS95" s="37"/>
      <c r="BT95" s="37"/>
      <c r="BU95" s="37"/>
      <c r="BV95" s="12" t="s">
        <v>496</v>
      </c>
      <c r="BW95" s="37"/>
      <c r="BX95" s="1" t="s">
        <v>474</v>
      </c>
      <c r="BY95" s="1" t="s">
        <v>474</v>
      </c>
      <c r="BZ95" s="1" t="s">
        <v>473</v>
      </c>
      <c r="CA95" s="1" t="s">
        <v>465</v>
      </c>
      <c r="CB95" s="1" t="s">
        <v>504</v>
      </c>
      <c r="CC95" s="1" t="s">
        <v>499</v>
      </c>
      <c r="CD95" s="1" t="s">
        <v>500</v>
      </c>
      <c r="CE95" s="1" t="s">
        <v>499</v>
      </c>
      <c r="CF95" s="32"/>
      <c r="CG95" s="1" t="s">
        <v>499</v>
      </c>
      <c r="CH95" s="32"/>
      <c r="CI95" s="32"/>
    </row>
    <row r="96" spans="1:87" x14ac:dyDescent="0.2">
      <c r="A96" s="32" t="s">
        <v>392</v>
      </c>
      <c r="B96" s="32" t="s">
        <v>142</v>
      </c>
      <c r="C96" s="1" t="s">
        <v>494</v>
      </c>
      <c r="D96" s="1">
        <v>2030</v>
      </c>
      <c r="E96" s="32">
        <v>1</v>
      </c>
      <c r="F96" s="32">
        <v>0</v>
      </c>
      <c r="G96" s="1">
        <v>0</v>
      </c>
      <c r="H96" s="1">
        <v>0</v>
      </c>
      <c r="I96" s="1">
        <v>1</v>
      </c>
      <c r="J96" s="1">
        <v>13.014050000000001</v>
      </c>
      <c r="M96" s="33"/>
      <c r="N96" s="33">
        <v>1190</v>
      </c>
      <c r="O96" s="18"/>
      <c r="P96" s="33"/>
      <c r="Q96" s="33"/>
      <c r="R96" s="33">
        <v>5213</v>
      </c>
      <c r="S96" s="18"/>
      <c r="T96" s="33"/>
      <c r="U96" s="8"/>
      <c r="V96" s="35"/>
      <c r="W96" s="35">
        <v>0.8</v>
      </c>
      <c r="X96" s="35">
        <v>1</v>
      </c>
      <c r="Y96" s="35"/>
      <c r="Z96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6" s="35"/>
      <c r="AB96" s="34"/>
      <c r="AC96" s="33"/>
      <c r="AD96" s="35"/>
      <c r="AE96" s="33"/>
      <c r="AF96" s="8"/>
      <c r="AG96" s="8"/>
      <c r="AH96" s="8">
        <v>0.97</v>
      </c>
      <c r="AI96" s="32"/>
      <c r="AJ96" s="32"/>
      <c r="AK96" s="32"/>
      <c r="AL96" s="1">
        <v>1</v>
      </c>
      <c r="AM96" s="32"/>
      <c r="AN96" s="32"/>
      <c r="AO96" s="1">
        <v>1</v>
      </c>
      <c r="AP96" s="32"/>
      <c r="AQ96" s="32"/>
      <c r="AR96" s="1">
        <v>2</v>
      </c>
      <c r="AS96" s="1">
        <v>4</v>
      </c>
      <c r="AT96" s="1" t="s">
        <v>372</v>
      </c>
      <c r="AU96" s="1" t="s">
        <v>277</v>
      </c>
      <c r="AV96" s="1">
        <f t="shared" si="7"/>
        <v>4</v>
      </c>
      <c r="AW96" s="32"/>
      <c r="AX96" s="1">
        <v>1095</v>
      </c>
      <c r="AY96" s="33"/>
      <c r="AZ96" s="33"/>
      <c r="BA96" s="33">
        <f>250*Umrechnungsfaktoren!$B$15/Umrechnungsfaktoren!$B$12</f>
        <v>259.5</v>
      </c>
      <c r="BB96" s="36"/>
      <c r="BC96" s="7">
        <f>10*Umrechnungsfaktoren!$B$15/Umrechnungsfaktoren!$B$12</f>
        <v>10.38</v>
      </c>
      <c r="BD96" s="36"/>
      <c r="BE96" s="36">
        <f>0.03*Tabelle58971115[[#This Row],[Investitionsausgaben €_2018/kW]]</f>
        <v>7.7850000000000001</v>
      </c>
      <c r="BF96" s="32"/>
      <c r="BG96" s="47">
        <v>0.09</v>
      </c>
      <c r="BH96" s="1" t="s">
        <v>386</v>
      </c>
      <c r="BI96" s="1" t="s">
        <v>479</v>
      </c>
      <c r="BJ96" s="1" t="s">
        <v>479</v>
      </c>
      <c r="BK96" s="1" t="s">
        <v>479</v>
      </c>
      <c r="BL96" s="1" t="s">
        <v>493</v>
      </c>
      <c r="BM96" s="12" t="s">
        <v>471</v>
      </c>
      <c r="BN96" s="12" t="s">
        <v>471</v>
      </c>
      <c r="BO96" s="37"/>
      <c r="BP96" s="37"/>
      <c r="BQ96" s="12" t="s">
        <v>469</v>
      </c>
      <c r="BR96" s="12" t="s">
        <v>469</v>
      </c>
      <c r="BS96" s="37"/>
      <c r="BT96" s="32"/>
      <c r="BU96" s="37"/>
      <c r="BV96" s="12" t="s">
        <v>496</v>
      </c>
      <c r="BW96" s="37"/>
      <c r="BX96" s="1" t="s">
        <v>474</v>
      </c>
      <c r="BY96" s="1" t="s">
        <v>474</v>
      </c>
      <c r="BZ96" s="1" t="s">
        <v>473</v>
      </c>
      <c r="CA96" s="1" t="s">
        <v>465</v>
      </c>
      <c r="CB96" s="1" t="s">
        <v>504</v>
      </c>
      <c r="CC96" s="1" t="s">
        <v>499</v>
      </c>
      <c r="CD96" s="1" t="s">
        <v>500</v>
      </c>
      <c r="CE96" s="1" t="s">
        <v>499</v>
      </c>
      <c r="CF96" s="32"/>
      <c r="CG96" s="1" t="s">
        <v>499</v>
      </c>
      <c r="CH96" s="32"/>
      <c r="CI96" s="32"/>
    </row>
    <row r="97" spans="1:87" x14ac:dyDescent="0.2">
      <c r="A97" s="32" t="s">
        <v>392</v>
      </c>
      <c r="B97" s="32" t="s">
        <v>142</v>
      </c>
      <c r="C97" s="1" t="s">
        <v>494</v>
      </c>
      <c r="D97" s="1">
        <v>2050</v>
      </c>
      <c r="E97" s="32">
        <v>1</v>
      </c>
      <c r="F97" s="32">
        <v>0</v>
      </c>
      <c r="G97" s="1">
        <v>0</v>
      </c>
      <c r="H97" s="1">
        <v>0</v>
      </c>
      <c r="I97" s="1">
        <v>1</v>
      </c>
      <c r="J97" s="1">
        <v>7.1424000000000003</v>
      </c>
      <c r="M97" s="33"/>
      <c r="N97" s="33">
        <v>652</v>
      </c>
      <c r="O97" s="18"/>
      <c r="P97" s="33"/>
      <c r="Q97" s="33"/>
      <c r="R97" s="33">
        <v>5612</v>
      </c>
      <c r="S97" s="18"/>
      <c r="T97" s="33"/>
      <c r="U97" s="8"/>
      <c r="V97" s="35"/>
      <c r="W97" s="35">
        <v>0.8</v>
      </c>
      <c r="X97" s="35">
        <v>1</v>
      </c>
      <c r="Y97" s="35"/>
      <c r="Z97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7" s="35"/>
      <c r="AB97" s="34"/>
      <c r="AC97" s="33"/>
      <c r="AD97" s="35"/>
      <c r="AE97" s="33"/>
      <c r="AF97" s="8"/>
      <c r="AG97" s="8"/>
      <c r="AH97" s="8">
        <v>0.97</v>
      </c>
      <c r="AI97" s="32"/>
      <c r="AJ97" s="32"/>
      <c r="AK97" s="32"/>
      <c r="AL97" s="1">
        <v>1</v>
      </c>
      <c r="AM97" s="32"/>
      <c r="AN97" s="32"/>
      <c r="AO97" s="1">
        <v>1</v>
      </c>
      <c r="AP97" s="32"/>
      <c r="AQ97" s="32"/>
      <c r="AR97" s="1">
        <v>2</v>
      </c>
      <c r="AS97" s="1">
        <v>4</v>
      </c>
      <c r="AT97" s="1" t="s">
        <v>372</v>
      </c>
      <c r="AU97" s="1" t="s">
        <v>277</v>
      </c>
      <c r="AV97" s="1">
        <f t="shared" si="7"/>
        <v>4</v>
      </c>
      <c r="AW97" s="32"/>
      <c r="AX97" s="1">
        <v>1095</v>
      </c>
      <c r="AY97" s="33"/>
      <c r="AZ97" s="33"/>
      <c r="BA97" s="33">
        <f>250*Umrechnungsfaktoren!$B$15/Umrechnungsfaktoren!$B$12</f>
        <v>259.5</v>
      </c>
      <c r="BB97" s="36"/>
      <c r="BC97" s="7">
        <f>10*Umrechnungsfaktoren!$B$15/Umrechnungsfaktoren!$B$12</f>
        <v>10.38</v>
      </c>
      <c r="BD97" s="36"/>
      <c r="BE97" s="36">
        <f>0.03*Tabelle58971115[[#This Row],[Investitionsausgaben €_2018/kW]]</f>
        <v>7.7850000000000001</v>
      </c>
      <c r="BF97" s="32"/>
      <c r="BG97" s="47">
        <v>0.09</v>
      </c>
      <c r="BH97" s="1" t="s">
        <v>386</v>
      </c>
      <c r="BI97" s="1" t="s">
        <v>479</v>
      </c>
      <c r="BJ97" s="1" t="s">
        <v>479</v>
      </c>
      <c r="BK97" s="1" t="s">
        <v>479</v>
      </c>
      <c r="BL97" s="1" t="s">
        <v>493</v>
      </c>
      <c r="BM97" s="12" t="s">
        <v>472</v>
      </c>
      <c r="BN97" s="12" t="s">
        <v>472</v>
      </c>
      <c r="BO97" s="37"/>
      <c r="BP97" s="37"/>
      <c r="BQ97" s="12" t="s">
        <v>469</v>
      </c>
      <c r="BR97" s="12" t="s">
        <v>469</v>
      </c>
      <c r="BS97" s="37"/>
      <c r="BT97" s="32"/>
      <c r="BU97" s="37"/>
      <c r="BV97" s="12" t="s">
        <v>496</v>
      </c>
      <c r="BW97" s="37"/>
      <c r="BX97" s="1" t="s">
        <v>474</v>
      </c>
      <c r="BY97" s="1" t="s">
        <v>474</v>
      </c>
      <c r="BZ97" s="1" t="s">
        <v>473</v>
      </c>
      <c r="CA97" s="1" t="s">
        <v>465</v>
      </c>
      <c r="CB97" s="1" t="s">
        <v>504</v>
      </c>
      <c r="CC97" s="1" t="s">
        <v>499</v>
      </c>
      <c r="CD97" s="1" t="s">
        <v>500</v>
      </c>
      <c r="CE97" s="1" t="s">
        <v>499</v>
      </c>
      <c r="CF97" s="32"/>
      <c r="CG97" s="1" t="s">
        <v>499</v>
      </c>
      <c r="CH97" s="32"/>
      <c r="CI97" s="32"/>
    </row>
    <row r="98" spans="1:87" x14ac:dyDescent="0.2">
      <c r="A98" s="32" t="s">
        <v>132</v>
      </c>
      <c r="B98" s="32" t="s">
        <v>142</v>
      </c>
      <c r="C98" s="32" t="e">
        <f>VLOOKUP(Tabelle58971115[[#This Row],[Prozess]],#REF!,3,FALSE)</f>
        <v>#REF!</v>
      </c>
      <c r="D98" s="1">
        <v>2010</v>
      </c>
      <c r="E98" s="32">
        <v>1</v>
      </c>
      <c r="F98" s="32">
        <v>0</v>
      </c>
      <c r="G98" s="1">
        <v>0</v>
      </c>
      <c r="H98" s="1">
        <v>1</v>
      </c>
      <c r="I98" s="1">
        <v>1</v>
      </c>
      <c r="J98" s="1">
        <v>7.4959319999999989</v>
      </c>
      <c r="M98" s="33"/>
      <c r="N98" s="33">
        <v>854</v>
      </c>
      <c r="O98" s="33"/>
      <c r="P98" s="33"/>
      <c r="Q98" s="33"/>
      <c r="R98" s="33">
        <v>24770</v>
      </c>
      <c r="S98" s="33"/>
      <c r="T98" s="33"/>
      <c r="U98" s="8"/>
      <c r="V98" s="35"/>
      <c r="W98" s="35"/>
      <c r="X98" s="35"/>
      <c r="Y98" s="35"/>
      <c r="Z98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8" s="35"/>
      <c r="AB98" s="34"/>
      <c r="AC98" s="33"/>
      <c r="AD98" s="35"/>
      <c r="AE98" s="33"/>
      <c r="AF98" s="46"/>
      <c r="AG98" s="46"/>
      <c r="AH98" s="35">
        <v>1</v>
      </c>
      <c r="AI98" s="32"/>
      <c r="AJ98" s="32">
        <v>1</v>
      </c>
      <c r="AK98" s="32"/>
      <c r="AL98" s="32">
        <v>12</v>
      </c>
      <c r="AM98" s="32">
        <v>1</v>
      </c>
      <c r="AN98" s="32"/>
      <c r="AO98" s="32">
        <v>12</v>
      </c>
      <c r="AP98" s="32">
        <v>4</v>
      </c>
      <c r="AQ98" s="32">
        <v>12</v>
      </c>
      <c r="AR98" s="32">
        <v>6</v>
      </c>
      <c r="AS98" s="32">
        <v>0</v>
      </c>
      <c r="AT98" s="1" t="s">
        <v>372</v>
      </c>
      <c r="AU98" s="1" t="s">
        <v>277</v>
      </c>
      <c r="AW98" s="32"/>
      <c r="AX98" s="1">
        <v>1095</v>
      </c>
      <c r="AY98" s="33"/>
      <c r="AZ98" s="33"/>
      <c r="BA98" s="33">
        <f>30*Umrechnungsfaktoren!$B$15/Umrechnungsfaktoren!$B$12</f>
        <v>31.14</v>
      </c>
      <c r="BB98" s="36"/>
      <c r="BC98" s="36">
        <f>0.05*10^3*Umrechnungsfaktoren!$B$15/Umrechnungsfaktoren!$B$12</f>
        <v>51.9</v>
      </c>
      <c r="BD98" s="36"/>
      <c r="BE98" s="36">
        <f>0.03*Tabelle58971115[[#This Row],[variable Kosten €_2018/MWh]]</f>
        <v>1.5569999999999999</v>
      </c>
      <c r="BF98" s="32"/>
      <c r="BG98" s="47">
        <v>0.01</v>
      </c>
      <c r="BH98" s="1" t="s">
        <v>388</v>
      </c>
      <c r="BI98" s="1" t="s">
        <v>479</v>
      </c>
      <c r="BJ98" s="1" t="s">
        <v>479</v>
      </c>
      <c r="BK98" s="1" t="s">
        <v>479</v>
      </c>
      <c r="BL98" s="1" t="s">
        <v>493</v>
      </c>
      <c r="BM98" s="12" t="s">
        <v>476</v>
      </c>
      <c r="BN98" s="12" t="s">
        <v>477</v>
      </c>
      <c r="BO98" s="37"/>
      <c r="BP98" s="37"/>
      <c r="BQ98" s="12" t="s">
        <v>469</v>
      </c>
      <c r="BR98" s="12" t="s">
        <v>469</v>
      </c>
      <c r="BS98" s="37"/>
      <c r="BT98" s="32"/>
      <c r="BU98" s="37"/>
      <c r="BV98" s="12" t="s">
        <v>496</v>
      </c>
      <c r="BW98" s="37"/>
      <c r="BX98" s="1" t="s">
        <v>465</v>
      </c>
      <c r="BY98" s="1" t="s">
        <v>465</v>
      </c>
      <c r="BZ98" s="32" t="s">
        <v>473</v>
      </c>
      <c r="CA98" s="1" t="s">
        <v>465</v>
      </c>
      <c r="CB98" s="1" t="s">
        <v>503</v>
      </c>
      <c r="CC98" s="1" t="s">
        <v>499</v>
      </c>
      <c r="CD98" s="1" t="s">
        <v>500</v>
      </c>
      <c r="CE98" s="1" t="s">
        <v>499</v>
      </c>
      <c r="CF98" s="32"/>
      <c r="CG98" s="1" t="s">
        <v>499</v>
      </c>
      <c r="CH98" s="32"/>
      <c r="CI98" s="32"/>
    </row>
    <row r="99" spans="1:87" x14ac:dyDescent="0.2">
      <c r="A99" s="32" t="s">
        <v>132</v>
      </c>
      <c r="B99" s="32" t="s">
        <v>142</v>
      </c>
      <c r="C99" s="32" t="e">
        <f>VLOOKUP(Tabelle58971115[[#This Row],[Prozess]],#REF!,3,FALSE)</f>
        <v>#REF!</v>
      </c>
      <c r="D99" s="1">
        <v>2020</v>
      </c>
      <c r="E99" s="32">
        <v>1</v>
      </c>
      <c r="F99" s="32">
        <v>0</v>
      </c>
      <c r="G99" s="1">
        <v>0</v>
      </c>
      <c r="H99" s="1">
        <v>1</v>
      </c>
      <c r="I99" s="1">
        <v>1</v>
      </c>
      <c r="J99" s="1">
        <v>5.7953714499999993</v>
      </c>
      <c r="M99" s="33"/>
      <c r="N99" s="33">
        <v>86</v>
      </c>
      <c r="O99" s="33"/>
      <c r="P99" s="33"/>
      <c r="Q99" s="33"/>
      <c r="R99" s="33">
        <v>1533</v>
      </c>
      <c r="S99" s="33"/>
      <c r="T99" s="33"/>
      <c r="U99" s="8"/>
      <c r="V99" s="35"/>
      <c r="W99" s="35">
        <v>0.13</v>
      </c>
      <c r="X99" s="35">
        <v>0.08</v>
      </c>
      <c r="Y99" s="35"/>
      <c r="Z99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99" s="35"/>
      <c r="AB99" s="34"/>
      <c r="AC99" s="33"/>
      <c r="AD99" s="35"/>
      <c r="AE99" s="33"/>
      <c r="AF99" s="46"/>
      <c r="AG99" s="46"/>
      <c r="AH99" s="35">
        <v>1</v>
      </c>
      <c r="AI99" s="32"/>
      <c r="AJ99" s="32"/>
      <c r="AK99" s="32"/>
      <c r="AL99" s="32">
        <v>12</v>
      </c>
      <c r="AM99" s="32"/>
      <c r="AN99" s="32"/>
      <c r="AO99" s="32">
        <v>12</v>
      </c>
      <c r="AP99" s="32">
        <v>4</v>
      </c>
      <c r="AQ99" s="32">
        <v>12</v>
      </c>
      <c r="AR99" s="32">
        <v>6</v>
      </c>
      <c r="AS99" s="32">
        <v>0</v>
      </c>
      <c r="AT99" s="1" t="s">
        <v>372</v>
      </c>
      <c r="AU99" s="1" t="s">
        <v>277</v>
      </c>
      <c r="AW99" s="32"/>
      <c r="AX99" s="1">
        <v>1095</v>
      </c>
      <c r="AY99" s="33"/>
      <c r="AZ99" s="33"/>
      <c r="BA99" s="33">
        <f>30*Umrechnungsfaktoren!$B$15/Umrechnungsfaktoren!$B$12</f>
        <v>31.14</v>
      </c>
      <c r="BB99" s="36"/>
      <c r="BC99" s="36">
        <f>0.05*10^3*Umrechnungsfaktoren!$B$15/Umrechnungsfaktoren!$B$12</f>
        <v>51.9</v>
      </c>
      <c r="BD99" s="36"/>
      <c r="BE99" s="36">
        <f>0.03*Tabelle58971115[[#This Row],[variable Kosten €_2018/MWh]]</f>
        <v>1.5569999999999999</v>
      </c>
      <c r="BF99" s="32"/>
      <c r="BG99" s="47">
        <v>0.01</v>
      </c>
      <c r="BH99" s="1" t="s">
        <v>388</v>
      </c>
      <c r="BI99" s="1" t="s">
        <v>479</v>
      </c>
      <c r="BJ99" s="1" t="s">
        <v>479</v>
      </c>
      <c r="BK99" s="1" t="s">
        <v>479</v>
      </c>
      <c r="BL99" s="1" t="s">
        <v>493</v>
      </c>
      <c r="BM99" s="12" t="s">
        <v>470</v>
      </c>
      <c r="BN99" s="12" t="s">
        <v>470</v>
      </c>
      <c r="BO99" s="37"/>
      <c r="BP99" s="37"/>
      <c r="BQ99" s="12" t="s">
        <v>469</v>
      </c>
      <c r="BR99" s="12" t="s">
        <v>469</v>
      </c>
      <c r="BS99" s="37"/>
      <c r="BT99" s="32"/>
      <c r="BU99" s="37"/>
      <c r="BV99" s="12" t="s">
        <v>496</v>
      </c>
      <c r="BW99" s="37"/>
      <c r="BX99" s="1" t="s">
        <v>465</v>
      </c>
      <c r="BY99" s="1" t="s">
        <v>465</v>
      </c>
      <c r="BZ99" s="32" t="s">
        <v>473</v>
      </c>
      <c r="CA99" s="1" t="s">
        <v>465</v>
      </c>
      <c r="CB99" s="1" t="s">
        <v>503</v>
      </c>
      <c r="CC99" s="1" t="s">
        <v>499</v>
      </c>
      <c r="CD99" s="1" t="s">
        <v>500</v>
      </c>
      <c r="CE99" s="1" t="s">
        <v>499</v>
      </c>
      <c r="CF99" s="32"/>
      <c r="CG99" s="1" t="s">
        <v>499</v>
      </c>
      <c r="CH99" s="32"/>
      <c r="CI99" s="32"/>
    </row>
    <row r="100" spans="1:87" x14ac:dyDescent="0.2">
      <c r="A100" s="32" t="s">
        <v>132</v>
      </c>
      <c r="B100" s="32" t="s">
        <v>142</v>
      </c>
      <c r="C100" s="32" t="e">
        <f>VLOOKUP(Tabelle58971115[[#This Row],[Prozess]],#REF!,3,FALSE)</f>
        <v>#REF!</v>
      </c>
      <c r="D100" s="1">
        <v>2030</v>
      </c>
      <c r="E100" s="32">
        <v>1</v>
      </c>
      <c r="F100" s="32">
        <v>0</v>
      </c>
      <c r="G100" s="1">
        <v>0</v>
      </c>
      <c r="H100" s="1">
        <v>1</v>
      </c>
      <c r="I100" s="1">
        <v>1</v>
      </c>
      <c r="J100" s="1">
        <v>4.4031263999999997</v>
      </c>
      <c r="M100" s="33"/>
      <c r="N100" s="33">
        <v>75</v>
      </c>
      <c r="O100" s="18"/>
      <c r="P100" s="33"/>
      <c r="Q100" s="33"/>
      <c r="R100" s="33">
        <v>1456</v>
      </c>
      <c r="S100" s="18"/>
      <c r="T100" s="33"/>
      <c r="U100" s="8"/>
      <c r="V100" s="35"/>
      <c r="W100" s="35">
        <v>0.15</v>
      </c>
      <c r="X100" s="35">
        <v>0.1</v>
      </c>
      <c r="Y100" s="35"/>
      <c r="Z100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0" s="35"/>
      <c r="AB100" s="34"/>
      <c r="AC100" s="33"/>
      <c r="AD100" s="35"/>
      <c r="AE100" s="33"/>
      <c r="AF100" s="46"/>
      <c r="AG100" s="46"/>
      <c r="AH100" s="35">
        <v>1</v>
      </c>
      <c r="AI100" s="32"/>
      <c r="AJ100" s="32"/>
      <c r="AK100" s="32"/>
      <c r="AL100" s="32">
        <v>12</v>
      </c>
      <c r="AM100" s="32"/>
      <c r="AN100" s="32"/>
      <c r="AO100" s="32">
        <v>12</v>
      </c>
      <c r="AP100" s="32">
        <v>4</v>
      </c>
      <c r="AQ100" s="32">
        <v>12</v>
      </c>
      <c r="AR100" s="32">
        <v>6</v>
      </c>
      <c r="AS100" s="32">
        <v>0</v>
      </c>
      <c r="AT100" s="1" t="s">
        <v>372</v>
      </c>
      <c r="AU100" s="1" t="s">
        <v>277</v>
      </c>
      <c r="AW100" s="32"/>
      <c r="AX100" s="1">
        <v>1095</v>
      </c>
      <c r="AY100" s="33"/>
      <c r="AZ100" s="33"/>
      <c r="BA100" s="33">
        <f>30*Umrechnungsfaktoren!$B$15/Umrechnungsfaktoren!$B$12</f>
        <v>31.14</v>
      </c>
      <c r="BB100" s="36"/>
      <c r="BC100" s="36">
        <f>0.05*10^3*Umrechnungsfaktoren!$B$15/Umrechnungsfaktoren!$B$12</f>
        <v>51.9</v>
      </c>
      <c r="BD100" s="36"/>
      <c r="BE100" s="36">
        <f>0.03*Tabelle58971115[[#This Row],[variable Kosten €_2018/MWh]]</f>
        <v>1.5569999999999999</v>
      </c>
      <c r="BF100" s="32"/>
      <c r="BG100" s="47">
        <v>0.01</v>
      </c>
      <c r="BH100" s="1" t="s">
        <v>388</v>
      </c>
      <c r="BI100" s="1" t="s">
        <v>479</v>
      </c>
      <c r="BJ100" s="1" t="s">
        <v>479</v>
      </c>
      <c r="BK100" s="1" t="s">
        <v>479</v>
      </c>
      <c r="BL100" s="1" t="s">
        <v>493</v>
      </c>
      <c r="BM100" s="12" t="s">
        <v>471</v>
      </c>
      <c r="BN100" s="12" t="s">
        <v>471</v>
      </c>
      <c r="BO100" s="37"/>
      <c r="BP100" s="37"/>
      <c r="BQ100" s="12" t="s">
        <v>469</v>
      </c>
      <c r="BR100" s="12" t="s">
        <v>469</v>
      </c>
      <c r="BS100" s="37"/>
      <c r="BT100" s="32"/>
      <c r="BU100" s="37"/>
      <c r="BV100" s="12" t="s">
        <v>496</v>
      </c>
      <c r="BW100" s="37"/>
      <c r="BX100" s="1" t="s">
        <v>465</v>
      </c>
      <c r="BY100" s="1" t="s">
        <v>465</v>
      </c>
      <c r="BZ100" s="32" t="s">
        <v>473</v>
      </c>
      <c r="CA100" s="1" t="s">
        <v>465</v>
      </c>
      <c r="CB100" s="1" t="s">
        <v>503</v>
      </c>
      <c r="CC100" s="1" t="s">
        <v>499</v>
      </c>
      <c r="CD100" s="1" t="s">
        <v>500</v>
      </c>
      <c r="CE100" s="1" t="s">
        <v>499</v>
      </c>
      <c r="CF100" s="32"/>
      <c r="CG100" s="1" t="s">
        <v>499</v>
      </c>
      <c r="CH100" s="32"/>
      <c r="CI100" s="32"/>
    </row>
    <row r="101" spans="1:87" x14ac:dyDescent="0.2">
      <c r="A101" s="32" t="s">
        <v>132</v>
      </c>
      <c r="B101" s="32" t="s">
        <v>142</v>
      </c>
      <c r="C101" s="32" t="e">
        <f>VLOOKUP(Tabelle58971115[[#This Row],[Prozess]],#REF!,3,FALSE)</f>
        <v>#REF!</v>
      </c>
      <c r="D101" s="1">
        <v>2050</v>
      </c>
      <c r="E101" s="32">
        <v>1</v>
      </c>
      <c r="F101" s="32">
        <v>0</v>
      </c>
      <c r="G101" s="1">
        <v>0</v>
      </c>
      <c r="H101" s="1">
        <v>1</v>
      </c>
      <c r="I101" s="1">
        <v>1</v>
      </c>
      <c r="J101" s="1">
        <v>3.3716889599999997</v>
      </c>
      <c r="M101" s="33"/>
      <c r="N101" s="33">
        <v>77</v>
      </c>
      <c r="O101" s="18"/>
      <c r="P101" s="33"/>
      <c r="Q101" s="33"/>
      <c r="R101" s="33">
        <v>1674</v>
      </c>
      <c r="S101" s="18"/>
      <c r="T101" s="33"/>
      <c r="U101" s="8"/>
      <c r="V101" s="35"/>
      <c r="W101" s="35">
        <v>0.2</v>
      </c>
      <c r="X101" s="35">
        <v>0.15</v>
      </c>
      <c r="Y101" s="35"/>
      <c r="Z101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1" s="35"/>
      <c r="AB101" s="34"/>
      <c r="AC101" s="33"/>
      <c r="AD101" s="35"/>
      <c r="AE101" s="33"/>
      <c r="AF101" s="46"/>
      <c r="AG101" s="46"/>
      <c r="AH101" s="35">
        <v>1</v>
      </c>
      <c r="AI101" s="32"/>
      <c r="AJ101" s="32"/>
      <c r="AK101" s="32"/>
      <c r="AL101" s="32">
        <v>12</v>
      </c>
      <c r="AM101" s="32"/>
      <c r="AN101" s="32"/>
      <c r="AO101" s="32">
        <v>12</v>
      </c>
      <c r="AP101" s="32">
        <v>4</v>
      </c>
      <c r="AQ101" s="32">
        <v>12</v>
      </c>
      <c r="AR101" s="32">
        <v>6</v>
      </c>
      <c r="AS101" s="32">
        <v>0</v>
      </c>
      <c r="AT101" s="1" t="s">
        <v>372</v>
      </c>
      <c r="AU101" s="1" t="s">
        <v>277</v>
      </c>
      <c r="AW101" s="32"/>
      <c r="AX101" s="1">
        <v>1095</v>
      </c>
      <c r="AY101" s="33"/>
      <c r="AZ101" s="33"/>
      <c r="BA101" s="33">
        <f>30*Umrechnungsfaktoren!$B$15/Umrechnungsfaktoren!$B$12</f>
        <v>31.14</v>
      </c>
      <c r="BB101" s="36"/>
      <c r="BC101" s="36">
        <f>0.05*10^3*Umrechnungsfaktoren!$B$15/Umrechnungsfaktoren!$B$12</f>
        <v>51.9</v>
      </c>
      <c r="BD101" s="36"/>
      <c r="BE101" s="36">
        <f>0.03*Tabelle58971115[[#This Row],[variable Kosten €_2018/MWh]]</f>
        <v>1.5569999999999999</v>
      </c>
      <c r="BF101" s="32"/>
      <c r="BG101" s="47">
        <v>0.01</v>
      </c>
      <c r="BH101" s="1" t="s">
        <v>388</v>
      </c>
      <c r="BI101" s="1" t="s">
        <v>479</v>
      </c>
      <c r="BJ101" s="1" t="s">
        <v>479</v>
      </c>
      <c r="BK101" s="1" t="s">
        <v>479</v>
      </c>
      <c r="BL101" s="1" t="s">
        <v>493</v>
      </c>
      <c r="BM101" s="12" t="s">
        <v>472</v>
      </c>
      <c r="BN101" s="12" t="s">
        <v>472</v>
      </c>
      <c r="BO101" s="37"/>
      <c r="BP101" s="37"/>
      <c r="BQ101" s="12" t="s">
        <v>469</v>
      </c>
      <c r="BR101" s="12" t="s">
        <v>469</v>
      </c>
      <c r="BS101" s="37"/>
      <c r="BT101" s="32"/>
      <c r="BU101" s="37"/>
      <c r="BV101" s="12" t="s">
        <v>496</v>
      </c>
      <c r="BW101" s="37"/>
      <c r="BX101" s="1" t="s">
        <v>465</v>
      </c>
      <c r="BY101" s="1" t="s">
        <v>465</v>
      </c>
      <c r="BZ101" s="32" t="s">
        <v>473</v>
      </c>
      <c r="CA101" s="1" t="s">
        <v>465</v>
      </c>
      <c r="CB101" s="1" t="s">
        <v>503</v>
      </c>
      <c r="CC101" s="1" t="s">
        <v>499</v>
      </c>
      <c r="CD101" s="1" t="s">
        <v>500</v>
      </c>
      <c r="CE101" s="1" t="s">
        <v>499</v>
      </c>
      <c r="CF101" s="32"/>
      <c r="CG101" s="1" t="s">
        <v>499</v>
      </c>
      <c r="CH101" s="32"/>
      <c r="CI101" s="32"/>
    </row>
    <row r="102" spans="1:87" x14ac:dyDescent="0.2">
      <c r="A102" s="32" t="s">
        <v>133</v>
      </c>
      <c r="B102" s="32" t="s">
        <v>142</v>
      </c>
      <c r="C102" s="32" t="e">
        <f>VLOOKUP(Tabelle58971115[[#This Row],[Prozess]],#REF!,3,FALSE)</f>
        <v>#REF!</v>
      </c>
      <c r="D102" s="1">
        <v>2010</v>
      </c>
      <c r="E102" s="32">
        <v>1</v>
      </c>
      <c r="F102" s="32">
        <v>0</v>
      </c>
      <c r="G102" s="1">
        <v>0</v>
      </c>
      <c r="H102" s="1">
        <v>1</v>
      </c>
      <c r="I102" s="1">
        <v>1</v>
      </c>
      <c r="J102" s="1">
        <v>4.7497319999999998</v>
      </c>
      <c r="M102" s="33"/>
      <c r="N102" s="33">
        <v>543</v>
      </c>
      <c r="O102" s="33"/>
      <c r="P102" s="33"/>
      <c r="Q102" s="33"/>
      <c r="R102" s="33">
        <v>22743</v>
      </c>
      <c r="S102" s="33"/>
      <c r="T102" s="33"/>
      <c r="U102" s="8"/>
      <c r="V102" s="35"/>
      <c r="W102" s="35"/>
      <c r="X102" s="35"/>
      <c r="Y102" s="35"/>
      <c r="Z102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2" s="35"/>
      <c r="AB102" s="34"/>
      <c r="AC102" s="33"/>
      <c r="AD102" s="35"/>
      <c r="AE102" s="33"/>
      <c r="AF102" s="46"/>
      <c r="AG102" s="46"/>
      <c r="AH102" s="35">
        <v>1</v>
      </c>
      <c r="AI102" s="32"/>
      <c r="AJ102" s="32"/>
      <c r="AK102" s="32"/>
      <c r="AL102" s="32">
        <v>12</v>
      </c>
      <c r="AM102" s="32"/>
      <c r="AN102" s="32"/>
      <c r="AO102" s="32">
        <v>12</v>
      </c>
      <c r="AP102" s="32">
        <v>4</v>
      </c>
      <c r="AQ102" s="32">
        <v>12</v>
      </c>
      <c r="AR102" s="32">
        <v>6</v>
      </c>
      <c r="AS102" s="32">
        <v>0</v>
      </c>
      <c r="AT102" s="1" t="s">
        <v>372</v>
      </c>
      <c r="AU102" s="1" t="s">
        <v>277</v>
      </c>
      <c r="AW102" s="32"/>
      <c r="AX102" s="1">
        <v>1095</v>
      </c>
      <c r="AY102" s="33"/>
      <c r="AZ102" s="33"/>
      <c r="BA102" s="33">
        <f>30*Umrechnungsfaktoren!$B$15/Umrechnungsfaktoren!$B$12</f>
        <v>31.14</v>
      </c>
      <c r="BB102" s="36"/>
      <c r="BC102" s="36">
        <f>0.05*10^3*Umrechnungsfaktoren!$B$15/Umrechnungsfaktoren!$B$12</f>
        <v>51.9</v>
      </c>
      <c r="BD102" s="36"/>
      <c r="BE102" s="36">
        <f>0.03*Tabelle58971115[[#This Row],[variable Kosten €_2018/MWh]]</f>
        <v>1.5569999999999999</v>
      </c>
      <c r="BF102" s="32"/>
      <c r="BG102" s="47">
        <v>0.01</v>
      </c>
      <c r="BH102" s="1" t="s">
        <v>388</v>
      </c>
      <c r="BI102" s="1" t="s">
        <v>479</v>
      </c>
      <c r="BJ102" s="1" t="s">
        <v>479</v>
      </c>
      <c r="BK102" s="1" t="s">
        <v>479</v>
      </c>
      <c r="BL102" s="1" t="s">
        <v>493</v>
      </c>
      <c r="BM102" s="12" t="s">
        <v>476</v>
      </c>
      <c r="BN102" s="12" t="s">
        <v>477</v>
      </c>
      <c r="BO102" s="37"/>
      <c r="BP102" s="37"/>
      <c r="BQ102" s="12" t="s">
        <v>469</v>
      </c>
      <c r="BR102" s="12" t="s">
        <v>469</v>
      </c>
      <c r="BS102" s="37"/>
      <c r="BT102" s="32"/>
      <c r="BU102" s="37"/>
      <c r="BV102" s="12" t="s">
        <v>496</v>
      </c>
      <c r="BW102" s="37"/>
      <c r="BX102" s="1" t="s">
        <v>465</v>
      </c>
      <c r="BY102" s="1" t="s">
        <v>465</v>
      </c>
      <c r="BZ102" s="32" t="s">
        <v>473</v>
      </c>
      <c r="CA102" s="1" t="s">
        <v>465</v>
      </c>
      <c r="CB102" s="1" t="s">
        <v>503</v>
      </c>
      <c r="CC102" s="1" t="s">
        <v>499</v>
      </c>
      <c r="CD102" s="1" t="s">
        <v>500</v>
      </c>
      <c r="CE102" s="1" t="s">
        <v>499</v>
      </c>
      <c r="CF102" s="32"/>
      <c r="CG102" s="1" t="s">
        <v>499</v>
      </c>
      <c r="CH102" s="32"/>
      <c r="CI102" s="32"/>
    </row>
    <row r="103" spans="1:87" x14ac:dyDescent="0.2">
      <c r="A103" s="32" t="s">
        <v>133</v>
      </c>
      <c r="B103" s="32" t="s">
        <v>142</v>
      </c>
      <c r="C103" s="32" t="e">
        <f>VLOOKUP(Tabelle58971115[[#This Row],[Prozess]],#REF!,3,FALSE)</f>
        <v>#REF!</v>
      </c>
      <c r="D103" s="1">
        <v>2020</v>
      </c>
      <c r="E103" s="32">
        <v>1</v>
      </c>
      <c r="F103" s="32">
        <v>0</v>
      </c>
      <c r="G103" s="1">
        <v>0</v>
      </c>
      <c r="H103" s="1">
        <v>1</v>
      </c>
      <c r="I103" s="1">
        <v>1</v>
      </c>
      <c r="J103" s="1">
        <v>4.3287652499999991</v>
      </c>
      <c r="M103" s="33"/>
      <c r="N103" s="33">
        <v>124</v>
      </c>
      <c r="O103" s="33"/>
      <c r="P103" s="33"/>
      <c r="Q103" s="33"/>
      <c r="R103" s="33">
        <v>1658</v>
      </c>
      <c r="S103" s="33"/>
      <c r="T103" s="33"/>
      <c r="U103" s="8"/>
      <c r="V103" s="35"/>
      <c r="W103" s="35">
        <v>0.25</v>
      </c>
      <c r="X103" s="35">
        <v>0.08</v>
      </c>
      <c r="Y103" s="35"/>
      <c r="Z103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3" s="35"/>
      <c r="AB103" s="34"/>
      <c r="AC103" s="33"/>
      <c r="AD103" s="35"/>
      <c r="AE103" s="33"/>
      <c r="AF103" s="46"/>
      <c r="AG103" s="46"/>
      <c r="AH103" s="35">
        <v>1</v>
      </c>
      <c r="AI103" s="32"/>
      <c r="AJ103" s="32"/>
      <c r="AK103" s="32"/>
      <c r="AL103" s="32">
        <v>12</v>
      </c>
      <c r="AM103" s="32"/>
      <c r="AN103" s="32"/>
      <c r="AO103" s="32">
        <v>12</v>
      </c>
      <c r="AP103" s="32">
        <v>4</v>
      </c>
      <c r="AQ103" s="32">
        <v>12</v>
      </c>
      <c r="AR103" s="32">
        <v>6</v>
      </c>
      <c r="AS103" s="32">
        <v>0</v>
      </c>
      <c r="AT103" s="1" t="s">
        <v>372</v>
      </c>
      <c r="AU103" s="1" t="s">
        <v>277</v>
      </c>
      <c r="AW103" s="32"/>
      <c r="AX103" s="1">
        <v>1095</v>
      </c>
      <c r="AY103" s="33"/>
      <c r="AZ103" s="33"/>
      <c r="BA103" s="33">
        <f>30*Umrechnungsfaktoren!$B$15/Umrechnungsfaktoren!$B$12</f>
        <v>31.14</v>
      </c>
      <c r="BB103" s="36"/>
      <c r="BC103" s="36">
        <f>0.05*10^3*Umrechnungsfaktoren!$B$15/Umrechnungsfaktoren!$B$12</f>
        <v>51.9</v>
      </c>
      <c r="BD103" s="36"/>
      <c r="BE103" s="36">
        <f>0.03*Tabelle58971115[[#This Row],[variable Kosten €_2018/MWh]]</f>
        <v>1.5569999999999999</v>
      </c>
      <c r="BF103" s="32"/>
      <c r="BG103" s="47">
        <v>0.01</v>
      </c>
      <c r="BH103" s="1" t="s">
        <v>388</v>
      </c>
      <c r="BI103" s="1" t="s">
        <v>479</v>
      </c>
      <c r="BJ103" s="1" t="s">
        <v>479</v>
      </c>
      <c r="BK103" s="1" t="s">
        <v>479</v>
      </c>
      <c r="BL103" s="1" t="s">
        <v>493</v>
      </c>
      <c r="BM103" s="12" t="s">
        <v>470</v>
      </c>
      <c r="BN103" s="12" t="s">
        <v>470</v>
      </c>
      <c r="BO103" s="37"/>
      <c r="BP103" s="37"/>
      <c r="BQ103" s="12" t="s">
        <v>469</v>
      </c>
      <c r="BR103" s="12" t="s">
        <v>469</v>
      </c>
      <c r="BS103" s="37"/>
      <c r="BT103" s="32"/>
      <c r="BU103" s="37"/>
      <c r="BV103" s="12" t="s">
        <v>496</v>
      </c>
      <c r="BW103" s="37"/>
      <c r="BX103" s="1" t="s">
        <v>465</v>
      </c>
      <c r="BY103" s="1" t="s">
        <v>465</v>
      </c>
      <c r="BZ103" s="32" t="s">
        <v>473</v>
      </c>
      <c r="CA103" s="1" t="s">
        <v>465</v>
      </c>
      <c r="CB103" s="1" t="s">
        <v>503</v>
      </c>
      <c r="CC103" s="1" t="s">
        <v>499</v>
      </c>
      <c r="CD103" s="1" t="s">
        <v>500</v>
      </c>
      <c r="CE103" s="1" t="s">
        <v>499</v>
      </c>
      <c r="CF103" s="32"/>
      <c r="CG103" s="1" t="s">
        <v>499</v>
      </c>
      <c r="CH103" s="32"/>
      <c r="CI103" s="32"/>
    </row>
    <row r="104" spans="1:87" x14ac:dyDescent="0.2">
      <c r="A104" s="32" t="s">
        <v>133</v>
      </c>
      <c r="B104" s="32" t="s">
        <v>142</v>
      </c>
      <c r="C104" s="32" t="e">
        <f>VLOOKUP(Tabelle58971115[[#This Row],[Prozess]],#REF!,3,FALSE)</f>
        <v>#REF!</v>
      </c>
      <c r="D104" s="1">
        <v>2030</v>
      </c>
      <c r="E104" s="32">
        <v>1</v>
      </c>
      <c r="F104" s="32">
        <v>0</v>
      </c>
      <c r="G104" s="1">
        <v>0</v>
      </c>
      <c r="H104" s="1">
        <v>1</v>
      </c>
      <c r="I104" s="1">
        <v>1</v>
      </c>
      <c r="J104" s="1">
        <v>3.9271428000000004</v>
      </c>
      <c r="M104" s="33"/>
      <c r="N104" s="33">
        <v>135</v>
      </c>
      <c r="O104" s="18"/>
      <c r="P104" s="33"/>
      <c r="Q104" s="33"/>
      <c r="R104" s="33">
        <v>1880</v>
      </c>
      <c r="S104" s="18"/>
      <c r="T104" s="33"/>
      <c r="U104" s="8"/>
      <c r="V104" s="35"/>
      <c r="W104" s="35">
        <v>0.3</v>
      </c>
      <c r="X104" s="35">
        <v>0.1</v>
      </c>
      <c r="Y104" s="35"/>
      <c r="Z104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4" s="35"/>
      <c r="AB104" s="34"/>
      <c r="AC104" s="33"/>
      <c r="AD104" s="35"/>
      <c r="AE104" s="33"/>
      <c r="AF104" s="46"/>
      <c r="AG104" s="46"/>
      <c r="AH104" s="35">
        <v>1</v>
      </c>
      <c r="AI104" s="32"/>
      <c r="AJ104" s="32"/>
      <c r="AK104" s="32"/>
      <c r="AL104" s="32">
        <v>12</v>
      </c>
      <c r="AM104" s="32"/>
      <c r="AN104" s="32"/>
      <c r="AO104" s="32">
        <v>12</v>
      </c>
      <c r="AP104" s="32">
        <v>4</v>
      </c>
      <c r="AQ104" s="32">
        <v>12</v>
      </c>
      <c r="AR104" s="32">
        <v>6</v>
      </c>
      <c r="AS104" s="32">
        <v>0</v>
      </c>
      <c r="AT104" s="1" t="s">
        <v>372</v>
      </c>
      <c r="AU104" s="1" t="s">
        <v>277</v>
      </c>
      <c r="AW104" s="32"/>
      <c r="AX104" s="1">
        <v>1095</v>
      </c>
      <c r="AY104" s="33"/>
      <c r="AZ104" s="33"/>
      <c r="BA104" s="33">
        <f>30*Umrechnungsfaktoren!$B$15/Umrechnungsfaktoren!$B$12</f>
        <v>31.14</v>
      </c>
      <c r="BB104" s="36"/>
      <c r="BC104" s="36">
        <f>0.05*10^3*Umrechnungsfaktoren!$B$15/Umrechnungsfaktoren!$B$12</f>
        <v>51.9</v>
      </c>
      <c r="BD104" s="36"/>
      <c r="BE104" s="36">
        <f>0.03*Tabelle58971115[[#This Row],[variable Kosten €_2018/MWh]]</f>
        <v>1.5569999999999999</v>
      </c>
      <c r="BF104" s="32"/>
      <c r="BG104" s="47">
        <v>0.01</v>
      </c>
      <c r="BH104" s="1" t="s">
        <v>388</v>
      </c>
      <c r="BI104" s="1" t="s">
        <v>479</v>
      </c>
      <c r="BJ104" s="1" t="s">
        <v>479</v>
      </c>
      <c r="BK104" s="1" t="s">
        <v>479</v>
      </c>
      <c r="BL104" s="1" t="s">
        <v>493</v>
      </c>
      <c r="BM104" s="12" t="s">
        <v>471</v>
      </c>
      <c r="BN104" s="12" t="s">
        <v>471</v>
      </c>
      <c r="BO104" s="37"/>
      <c r="BP104" s="37"/>
      <c r="BQ104" s="12" t="s">
        <v>469</v>
      </c>
      <c r="BR104" s="12" t="s">
        <v>469</v>
      </c>
      <c r="BS104" s="37"/>
      <c r="BT104" s="32"/>
      <c r="BU104" s="37"/>
      <c r="BV104" s="12" t="s">
        <v>496</v>
      </c>
      <c r="BW104" s="37"/>
      <c r="BX104" s="1" t="s">
        <v>465</v>
      </c>
      <c r="BY104" s="1" t="s">
        <v>465</v>
      </c>
      <c r="BZ104" s="32" t="s">
        <v>473</v>
      </c>
      <c r="CA104" s="1" t="s">
        <v>465</v>
      </c>
      <c r="CB104" s="1" t="s">
        <v>503</v>
      </c>
      <c r="CC104" s="1" t="s">
        <v>499</v>
      </c>
      <c r="CD104" s="1" t="s">
        <v>500</v>
      </c>
      <c r="CE104" s="1" t="s">
        <v>499</v>
      </c>
      <c r="CF104" s="32"/>
      <c r="CG104" s="1" t="s">
        <v>499</v>
      </c>
      <c r="CH104" s="32"/>
      <c r="CI104" s="32"/>
    </row>
    <row r="105" spans="1:87" x14ac:dyDescent="0.2">
      <c r="A105" s="32" t="s">
        <v>133</v>
      </c>
      <c r="B105" s="32" t="s">
        <v>142</v>
      </c>
      <c r="C105" s="32" t="e">
        <f>VLOOKUP(Tabelle58971115[[#This Row],[Prozess]],#REF!,3,FALSE)</f>
        <v>#REF!</v>
      </c>
      <c r="D105" s="1">
        <v>2050</v>
      </c>
      <c r="E105" s="32">
        <v>1</v>
      </c>
      <c r="F105" s="32">
        <v>0</v>
      </c>
      <c r="G105" s="1">
        <v>0</v>
      </c>
      <c r="H105" s="1">
        <v>1</v>
      </c>
      <c r="I105" s="1">
        <v>1</v>
      </c>
      <c r="J105" s="1">
        <v>2.8331520000000001</v>
      </c>
      <c r="M105" s="33"/>
      <c r="N105" s="33">
        <v>130</v>
      </c>
      <c r="O105" s="18"/>
      <c r="P105" s="33"/>
      <c r="Q105" s="33"/>
      <c r="R105" s="33">
        <v>2034</v>
      </c>
      <c r="S105" s="18"/>
      <c r="T105" s="33"/>
      <c r="U105" s="8"/>
      <c r="V105" s="35"/>
      <c r="W105" s="35">
        <v>0.4</v>
      </c>
      <c r="X105" s="35">
        <v>0.15</v>
      </c>
      <c r="Y105" s="35"/>
      <c r="Z105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5" s="35"/>
      <c r="AB105" s="34"/>
      <c r="AC105" s="33"/>
      <c r="AD105" s="35"/>
      <c r="AE105" s="33"/>
      <c r="AF105" s="46"/>
      <c r="AG105" s="46"/>
      <c r="AH105" s="35">
        <v>1</v>
      </c>
      <c r="AI105" s="32"/>
      <c r="AJ105" s="32"/>
      <c r="AK105" s="32"/>
      <c r="AL105" s="32">
        <v>12</v>
      </c>
      <c r="AM105" s="32"/>
      <c r="AN105" s="32"/>
      <c r="AO105" s="32">
        <v>12</v>
      </c>
      <c r="AP105" s="32">
        <v>4</v>
      </c>
      <c r="AQ105" s="32">
        <v>12</v>
      </c>
      <c r="AR105" s="32">
        <v>6</v>
      </c>
      <c r="AS105" s="32">
        <v>0</v>
      </c>
      <c r="AT105" s="1" t="s">
        <v>372</v>
      </c>
      <c r="AU105" s="1" t="s">
        <v>277</v>
      </c>
      <c r="AW105" s="32"/>
      <c r="AX105" s="1">
        <v>1095</v>
      </c>
      <c r="AY105" s="33"/>
      <c r="AZ105" s="33"/>
      <c r="BA105" s="33">
        <f>30*Umrechnungsfaktoren!$B$15/Umrechnungsfaktoren!$B$12</f>
        <v>31.14</v>
      </c>
      <c r="BB105" s="36"/>
      <c r="BC105" s="36">
        <f>0.05*10^3*Umrechnungsfaktoren!$B$15/Umrechnungsfaktoren!$B$12</f>
        <v>51.9</v>
      </c>
      <c r="BD105" s="36"/>
      <c r="BE105" s="36">
        <f>0.03*Tabelle58971115[[#This Row],[variable Kosten €_2018/MWh]]</f>
        <v>1.5569999999999999</v>
      </c>
      <c r="BF105" s="32"/>
      <c r="BG105" s="47">
        <v>0.01</v>
      </c>
      <c r="BH105" s="1" t="s">
        <v>388</v>
      </c>
      <c r="BI105" s="1" t="s">
        <v>479</v>
      </c>
      <c r="BJ105" s="1" t="s">
        <v>479</v>
      </c>
      <c r="BK105" s="1" t="s">
        <v>479</v>
      </c>
      <c r="BL105" s="1" t="s">
        <v>493</v>
      </c>
      <c r="BM105" s="12" t="s">
        <v>472</v>
      </c>
      <c r="BN105" s="12" t="s">
        <v>472</v>
      </c>
      <c r="BO105" s="37"/>
      <c r="BP105" s="37"/>
      <c r="BQ105" s="12" t="s">
        <v>469</v>
      </c>
      <c r="BR105" s="12" t="s">
        <v>469</v>
      </c>
      <c r="BS105" s="37"/>
      <c r="BT105" s="32"/>
      <c r="BU105" s="37"/>
      <c r="BV105" s="12" t="s">
        <v>496</v>
      </c>
      <c r="BW105" s="37"/>
      <c r="BX105" s="1" t="s">
        <v>465</v>
      </c>
      <c r="BY105" s="1" t="s">
        <v>465</v>
      </c>
      <c r="BZ105" s="32" t="s">
        <v>473</v>
      </c>
      <c r="CA105" s="1" t="s">
        <v>465</v>
      </c>
      <c r="CB105" s="1" t="s">
        <v>503</v>
      </c>
      <c r="CC105" s="1" t="s">
        <v>499</v>
      </c>
      <c r="CD105" s="1" t="s">
        <v>500</v>
      </c>
      <c r="CE105" s="1" t="s">
        <v>499</v>
      </c>
      <c r="CF105" s="32"/>
      <c r="CG105" s="1" t="s">
        <v>499</v>
      </c>
      <c r="CH105" s="32"/>
      <c r="CI105" s="32"/>
    </row>
    <row r="106" spans="1:87" x14ac:dyDescent="0.2">
      <c r="A106" s="32" t="s">
        <v>286</v>
      </c>
      <c r="B106" s="32" t="s">
        <v>142</v>
      </c>
      <c r="C106" s="32" t="e">
        <f>VLOOKUP(Tabelle58971115[[#This Row],[Prozess]],#REF!,3,FALSE)</f>
        <v>#REF!</v>
      </c>
      <c r="D106" s="1">
        <v>2010</v>
      </c>
      <c r="E106" s="32">
        <v>1</v>
      </c>
      <c r="F106" s="32">
        <v>0</v>
      </c>
      <c r="G106" s="1">
        <v>0</v>
      </c>
      <c r="H106" s="1">
        <v>1</v>
      </c>
      <c r="I106" s="1">
        <v>1</v>
      </c>
      <c r="J106" s="1">
        <v>6.87744</v>
      </c>
      <c r="M106" s="33"/>
      <c r="N106" s="33">
        <v>791</v>
      </c>
      <c r="O106" s="33"/>
      <c r="P106" s="33"/>
      <c r="Q106" s="33"/>
      <c r="R106" s="33">
        <v>15863</v>
      </c>
      <c r="S106" s="33"/>
      <c r="T106" s="33"/>
      <c r="U106" s="8"/>
      <c r="V106" s="35"/>
      <c r="W106" s="35">
        <v>0.25</v>
      </c>
      <c r="X106" s="35">
        <v>0.08</v>
      </c>
      <c r="Y106" s="35"/>
      <c r="Z106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6" s="35"/>
      <c r="AB106" s="34"/>
      <c r="AC106" s="33"/>
      <c r="AD106" s="35"/>
      <c r="AE106" s="33"/>
      <c r="AF106" s="46"/>
      <c r="AG106" s="46"/>
      <c r="AH106" s="35">
        <v>1</v>
      </c>
      <c r="AI106" s="32"/>
      <c r="AJ106" s="32"/>
      <c r="AK106" s="32"/>
      <c r="AL106" s="32">
        <v>12</v>
      </c>
      <c r="AM106" s="32"/>
      <c r="AN106" s="32"/>
      <c r="AO106" s="32">
        <v>12</v>
      </c>
      <c r="AP106" s="32">
        <v>4</v>
      </c>
      <c r="AQ106" s="32">
        <v>12</v>
      </c>
      <c r="AR106" s="32">
        <v>6</v>
      </c>
      <c r="AS106" s="32">
        <v>0</v>
      </c>
      <c r="AT106" s="1" t="s">
        <v>372</v>
      </c>
      <c r="AU106" s="1" t="s">
        <v>277</v>
      </c>
      <c r="AW106" s="32"/>
      <c r="AX106" s="1">
        <v>1095</v>
      </c>
      <c r="AY106" s="33"/>
      <c r="AZ106" s="33"/>
      <c r="BA106" s="33">
        <f>30*Umrechnungsfaktoren!$B$15/Umrechnungsfaktoren!$B$12</f>
        <v>31.14</v>
      </c>
      <c r="BB106" s="36"/>
      <c r="BC106" s="36">
        <f>0.05*10^3*Umrechnungsfaktoren!$B$15/Umrechnungsfaktoren!$B$12</f>
        <v>51.9</v>
      </c>
      <c r="BD106" s="36"/>
      <c r="BE106" s="36">
        <f>0.03*Tabelle58971115[[#This Row],[variable Kosten €_2018/MWh]]</f>
        <v>1.5569999999999999</v>
      </c>
      <c r="BF106" s="32"/>
      <c r="BG106" s="47">
        <v>0.01</v>
      </c>
      <c r="BH106" s="1" t="s">
        <v>388</v>
      </c>
      <c r="BI106" s="1" t="s">
        <v>479</v>
      </c>
      <c r="BJ106" s="1" t="s">
        <v>479</v>
      </c>
      <c r="BK106" s="1" t="s">
        <v>479</v>
      </c>
      <c r="BL106" s="1" t="s">
        <v>493</v>
      </c>
      <c r="BM106" s="12" t="s">
        <v>476</v>
      </c>
      <c r="BN106" s="12" t="s">
        <v>477</v>
      </c>
      <c r="BO106" s="37"/>
      <c r="BP106" s="37"/>
      <c r="BQ106" s="12" t="s">
        <v>469</v>
      </c>
      <c r="BR106" s="12" t="s">
        <v>469</v>
      </c>
      <c r="BS106" s="37"/>
      <c r="BT106" s="32"/>
      <c r="BU106" s="37"/>
      <c r="BV106" s="12" t="s">
        <v>496</v>
      </c>
      <c r="BW106" s="37"/>
      <c r="BX106" s="1" t="s">
        <v>465</v>
      </c>
      <c r="BY106" s="1" t="s">
        <v>465</v>
      </c>
      <c r="BZ106" s="32" t="s">
        <v>473</v>
      </c>
      <c r="CA106" s="1" t="s">
        <v>465</v>
      </c>
      <c r="CB106" s="1" t="s">
        <v>503</v>
      </c>
      <c r="CC106" s="1" t="s">
        <v>499</v>
      </c>
      <c r="CD106" s="1" t="s">
        <v>500</v>
      </c>
      <c r="CE106" s="1" t="s">
        <v>499</v>
      </c>
      <c r="CF106" s="32"/>
      <c r="CG106" s="1" t="s">
        <v>499</v>
      </c>
      <c r="CH106" s="32"/>
      <c r="CI106" s="32"/>
    </row>
    <row r="107" spans="1:87" x14ac:dyDescent="0.2">
      <c r="A107" s="32" t="s">
        <v>286</v>
      </c>
      <c r="B107" s="32" t="s">
        <v>142</v>
      </c>
      <c r="C107" s="32" t="e">
        <f>VLOOKUP(Tabelle58971115[[#This Row],[Prozess]],#REF!,3,FALSE)</f>
        <v>#REF!</v>
      </c>
      <c r="D107" s="1">
        <v>2020</v>
      </c>
      <c r="E107" s="32">
        <v>1</v>
      </c>
      <c r="F107" s="32">
        <v>0</v>
      </c>
      <c r="G107" s="1">
        <v>0</v>
      </c>
      <c r="H107" s="1">
        <v>1</v>
      </c>
      <c r="I107" s="1">
        <v>1</v>
      </c>
      <c r="J107" s="1">
        <v>5.6368834615384609</v>
      </c>
      <c r="M107" s="33"/>
      <c r="N107" s="33">
        <v>162</v>
      </c>
      <c r="O107" s="33"/>
      <c r="P107" s="33"/>
      <c r="Q107" s="33"/>
      <c r="R107" s="33">
        <v>1038</v>
      </c>
      <c r="S107" s="33"/>
      <c r="T107" s="33"/>
      <c r="U107" s="8"/>
      <c r="V107" s="35"/>
      <c r="W107" s="35"/>
      <c r="X107" s="35"/>
      <c r="Y107" s="35"/>
      <c r="Z107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7" s="35"/>
      <c r="AB107" s="34"/>
      <c r="AC107" s="33"/>
      <c r="AD107" s="35"/>
      <c r="AE107" s="33"/>
      <c r="AF107" s="46"/>
      <c r="AG107" s="46"/>
      <c r="AH107" s="35">
        <v>1</v>
      </c>
      <c r="AI107" s="32"/>
      <c r="AJ107" s="32"/>
      <c r="AK107" s="32"/>
      <c r="AL107" s="32">
        <v>12</v>
      </c>
      <c r="AM107" s="32"/>
      <c r="AN107" s="32"/>
      <c r="AO107" s="32">
        <v>12</v>
      </c>
      <c r="AP107" s="32">
        <v>4</v>
      </c>
      <c r="AQ107" s="32">
        <v>12</v>
      </c>
      <c r="AR107" s="32">
        <v>6</v>
      </c>
      <c r="AS107" s="32">
        <v>0</v>
      </c>
      <c r="AT107" s="1" t="s">
        <v>372</v>
      </c>
      <c r="AU107" s="1" t="s">
        <v>277</v>
      </c>
      <c r="AW107" s="32"/>
      <c r="AX107" s="1">
        <v>1095</v>
      </c>
      <c r="AY107" s="33"/>
      <c r="AZ107" s="33"/>
      <c r="BA107" s="33">
        <f>30*Umrechnungsfaktoren!$B$15/Umrechnungsfaktoren!$B$12</f>
        <v>31.14</v>
      </c>
      <c r="BB107" s="36"/>
      <c r="BC107" s="36">
        <f>0.05*10^3*Umrechnungsfaktoren!$B$15/Umrechnungsfaktoren!$B$12</f>
        <v>51.9</v>
      </c>
      <c r="BD107" s="36"/>
      <c r="BE107" s="36">
        <f>0.03*Tabelle58971115[[#This Row],[variable Kosten €_2018/MWh]]</f>
        <v>1.5569999999999999</v>
      </c>
      <c r="BF107" s="32"/>
      <c r="BG107" s="47">
        <v>0.01</v>
      </c>
      <c r="BH107" s="1" t="s">
        <v>388</v>
      </c>
      <c r="BI107" s="1" t="s">
        <v>479</v>
      </c>
      <c r="BJ107" s="1" t="s">
        <v>479</v>
      </c>
      <c r="BK107" s="1" t="s">
        <v>479</v>
      </c>
      <c r="BL107" s="1" t="s">
        <v>493</v>
      </c>
      <c r="BM107" s="12" t="s">
        <v>470</v>
      </c>
      <c r="BN107" s="12" t="s">
        <v>470</v>
      </c>
      <c r="BO107" s="37"/>
      <c r="BP107" s="37"/>
      <c r="BQ107" s="12" t="s">
        <v>469</v>
      </c>
      <c r="BR107" s="12" t="s">
        <v>469</v>
      </c>
      <c r="BS107" s="37"/>
      <c r="BT107" s="32"/>
      <c r="BU107" s="37"/>
      <c r="BV107" s="12" t="s">
        <v>496</v>
      </c>
      <c r="BW107" s="37"/>
      <c r="BX107" s="1" t="s">
        <v>465</v>
      </c>
      <c r="BY107" s="1" t="s">
        <v>465</v>
      </c>
      <c r="BZ107" s="32" t="s">
        <v>473</v>
      </c>
      <c r="CA107" s="1" t="s">
        <v>465</v>
      </c>
      <c r="CB107" s="1" t="s">
        <v>503</v>
      </c>
      <c r="CC107" s="1" t="s">
        <v>499</v>
      </c>
      <c r="CD107" s="1" t="s">
        <v>500</v>
      </c>
      <c r="CE107" s="1" t="s">
        <v>499</v>
      </c>
      <c r="CF107" s="32"/>
      <c r="CG107" s="1" t="s">
        <v>499</v>
      </c>
      <c r="CH107" s="32"/>
      <c r="CI107" s="32"/>
    </row>
    <row r="108" spans="1:87" x14ac:dyDescent="0.2">
      <c r="A108" s="32" t="s">
        <v>286</v>
      </c>
      <c r="B108" s="32" t="s">
        <v>142</v>
      </c>
      <c r="C108" s="32" t="e">
        <f>VLOOKUP(Tabelle58971115[[#This Row],[Prozess]],#REF!,3,FALSE)</f>
        <v>#REF!</v>
      </c>
      <c r="D108" s="1">
        <v>2030</v>
      </c>
      <c r="E108" s="32">
        <v>1</v>
      </c>
      <c r="F108" s="32">
        <v>0</v>
      </c>
      <c r="G108" s="1">
        <v>0</v>
      </c>
      <c r="H108" s="1">
        <v>1</v>
      </c>
      <c r="I108" s="1">
        <v>1</v>
      </c>
      <c r="J108" s="1">
        <v>4.7576492307692311</v>
      </c>
      <c r="M108" s="33"/>
      <c r="N108" s="33">
        <v>164</v>
      </c>
      <c r="O108" s="18"/>
      <c r="P108" s="33"/>
      <c r="Q108" s="33"/>
      <c r="R108" s="33">
        <v>1094</v>
      </c>
      <c r="S108" s="18"/>
      <c r="T108" s="33"/>
      <c r="U108" s="8"/>
      <c r="V108" s="35"/>
      <c r="W108" s="35">
        <v>0.3</v>
      </c>
      <c r="X108" s="35">
        <v>0.1</v>
      </c>
      <c r="Y108" s="35"/>
      <c r="Z108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8" s="35"/>
      <c r="AB108" s="34"/>
      <c r="AC108" s="33"/>
      <c r="AD108" s="35"/>
      <c r="AE108" s="33"/>
      <c r="AF108" s="46"/>
      <c r="AG108" s="46"/>
      <c r="AH108" s="35">
        <v>1</v>
      </c>
      <c r="AI108" s="32"/>
      <c r="AJ108" s="32"/>
      <c r="AK108" s="32"/>
      <c r="AL108" s="32">
        <v>12</v>
      </c>
      <c r="AM108" s="32"/>
      <c r="AN108" s="32"/>
      <c r="AO108" s="32">
        <v>12</v>
      </c>
      <c r="AP108" s="32">
        <v>4</v>
      </c>
      <c r="AQ108" s="32">
        <v>12</v>
      </c>
      <c r="AR108" s="32">
        <v>6</v>
      </c>
      <c r="AS108" s="32">
        <v>0</v>
      </c>
      <c r="AT108" s="1" t="s">
        <v>372</v>
      </c>
      <c r="AU108" s="1" t="s">
        <v>277</v>
      </c>
      <c r="AW108" s="32"/>
      <c r="AX108" s="1">
        <v>1095</v>
      </c>
      <c r="AY108" s="33"/>
      <c r="AZ108" s="33"/>
      <c r="BA108" s="33">
        <f>30*Umrechnungsfaktoren!$B$15/Umrechnungsfaktoren!$B$12</f>
        <v>31.14</v>
      </c>
      <c r="BB108" s="36"/>
      <c r="BC108" s="36">
        <f>0.05*10^3*Umrechnungsfaktoren!$B$15/Umrechnungsfaktoren!$B$12</f>
        <v>51.9</v>
      </c>
      <c r="BD108" s="36"/>
      <c r="BE108" s="36">
        <f>0.03*Tabelle58971115[[#This Row],[variable Kosten €_2018/MWh]]</f>
        <v>1.5569999999999999</v>
      </c>
      <c r="BF108" s="32"/>
      <c r="BG108" s="47">
        <v>0.01</v>
      </c>
      <c r="BH108" s="1" t="s">
        <v>388</v>
      </c>
      <c r="BI108" s="1" t="s">
        <v>479</v>
      </c>
      <c r="BJ108" s="1" t="s">
        <v>479</v>
      </c>
      <c r="BK108" s="1" t="s">
        <v>479</v>
      </c>
      <c r="BL108" s="1" t="s">
        <v>493</v>
      </c>
      <c r="BM108" s="12" t="s">
        <v>471</v>
      </c>
      <c r="BN108" s="12" t="s">
        <v>471</v>
      </c>
      <c r="BO108" s="37"/>
      <c r="BP108" s="37"/>
      <c r="BQ108" s="12" t="s">
        <v>469</v>
      </c>
      <c r="BR108" s="12" t="s">
        <v>469</v>
      </c>
      <c r="BS108" s="37"/>
      <c r="BT108" s="32"/>
      <c r="BU108" s="37"/>
      <c r="BV108" s="12" t="s">
        <v>496</v>
      </c>
      <c r="BW108" s="37"/>
      <c r="BX108" s="1" t="s">
        <v>465</v>
      </c>
      <c r="BY108" s="1" t="s">
        <v>465</v>
      </c>
      <c r="BZ108" s="32" t="s">
        <v>473</v>
      </c>
      <c r="CA108" s="1" t="s">
        <v>465</v>
      </c>
      <c r="CB108" s="1" t="s">
        <v>503</v>
      </c>
      <c r="CC108" s="1" t="s">
        <v>499</v>
      </c>
      <c r="CD108" s="1" t="s">
        <v>500</v>
      </c>
      <c r="CE108" s="1" t="s">
        <v>499</v>
      </c>
      <c r="CF108" s="32"/>
      <c r="CG108" s="1" t="s">
        <v>499</v>
      </c>
      <c r="CH108" s="32"/>
      <c r="CI108" s="32"/>
    </row>
    <row r="109" spans="1:87" x14ac:dyDescent="0.2">
      <c r="A109" s="32" t="s">
        <v>286</v>
      </c>
      <c r="B109" s="32" t="s">
        <v>142</v>
      </c>
      <c r="C109" s="32" t="e">
        <f>VLOOKUP(Tabelle58971115[[#This Row],[Prozess]],#REF!,3,FALSE)</f>
        <v>#REF!</v>
      </c>
      <c r="D109" s="1">
        <v>2050</v>
      </c>
      <c r="E109" s="32">
        <v>1</v>
      </c>
      <c r="F109" s="32">
        <v>0</v>
      </c>
      <c r="G109" s="1">
        <v>0</v>
      </c>
      <c r="H109" s="1">
        <v>1</v>
      </c>
      <c r="I109" s="1">
        <v>1</v>
      </c>
      <c r="J109" s="1">
        <v>3.7085538461538463</v>
      </c>
      <c r="M109" s="33"/>
      <c r="N109" s="33">
        <v>170</v>
      </c>
      <c r="O109" s="18"/>
      <c r="P109" s="33"/>
      <c r="Q109" s="33"/>
      <c r="R109" s="33">
        <v>1276</v>
      </c>
      <c r="S109" s="18"/>
      <c r="T109" s="33"/>
      <c r="U109" s="8"/>
      <c r="V109" s="35"/>
      <c r="W109" s="35">
        <v>0.4</v>
      </c>
      <c r="X109" s="35">
        <v>0.15</v>
      </c>
      <c r="Y109" s="35"/>
      <c r="Z109" s="35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09" s="35"/>
      <c r="AB109" s="34"/>
      <c r="AC109" s="33"/>
      <c r="AD109" s="35"/>
      <c r="AE109" s="33"/>
      <c r="AF109" s="46"/>
      <c r="AG109" s="46"/>
      <c r="AH109" s="35">
        <v>1</v>
      </c>
      <c r="AI109" s="32"/>
      <c r="AJ109" s="32"/>
      <c r="AK109" s="32"/>
      <c r="AL109" s="32">
        <v>12</v>
      </c>
      <c r="AM109" s="32"/>
      <c r="AN109" s="32"/>
      <c r="AO109" s="32">
        <v>12</v>
      </c>
      <c r="AP109" s="32">
        <v>4</v>
      </c>
      <c r="AQ109" s="32">
        <v>12</v>
      </c>
      <c r="AR109" s="32">
        <v>6</v>
      </c>
      <c r="AS109" s="32">
        <v>0</v>
      </c>
      <c r="AT109" s="1" t="s">
        <v>372</v>
      </c>
      <c r="AU109" s="1" t="s">
        <v>277</v>
      </c>
      <c r="AW109" s="32"/>
      <c r="AX109" s="1">
        <v>1095</v>
      </c>
      <c r="AY109" s="33"/>
      <c r="AZ109" s="33"/>
      <c r="BA109" s="33">
        <f>30*Umrechnungsfaktoren!$B$15/Umrechnungsfaktoren!$B$12</f>
        <v>31.14</v>
      </c>
      <c r="BB109" s="36"/>
      <c r="BC109" s="36">
        <f>0.05*10^3*Umrechnungsfaktoren!$B$15/Umrechnungsfaktoren!$B$12</f>
        <v>51.9</v>
      </c>
      <c r="BD109" s="36"/>
      <c r="BE109" s="36">
        <f>0.03*Tabelle58971115[[#This Row],[variable Kosten €_2018/MWh]]</f>
        <v>1.5569999999999999</v>
      </c>
      <c r="BF109" s="32"/>
      <c r="BG109" s="47">
        <v>0.01</v>
      </c>
      <c r="BH109" s="1" t="s">
        <v>388</v>
      </c>
      <c r="BI109" s="1" t="s">
        <v>479</v>
      </c>
      <c r="BJ109" s="1" t="s">
        <v>479</v>
      </c>
      <c r="BK109" s="1" t="s">
        <v>479</v>
      </c>
      <c r="BL109" s="1" t="s">
        <v>493</v>
      </c>
      <c r="BM109" s="12" t="s">
        <v>472</v>
      </c>
      <c r="BN109" s="12" t="s">
        <v>472</v>
      </c>
      <c r="BO109" s="37"/>
      <c r="BP109" s="37"/>
      <c r="BQ109" s="12" t="s">
        <v>469</v>
      </c>
      <c r="BR109" s="12" t="s">
        <v>469</v>
      </c>
      <c r="BS109" s="37"/>
      <c r="BT109" s="32"/>
      <c r="BU109" s="37"/>
      <c r="BV109" s="12" t="s">
        <v>496</v>
      </c>
      <c r="BW109" s="37"/>
      <c r="BX109" s="1" t="s">
        <v>465</v>
      </c>
      <c r="BY109" s="1" t="s">
        <v>465</v>
      </c>
      <c r="BZ109" s="32" t="s">
        <v>473</v>
      </c>
      <c r="CA109" s="1" t="s">
        <v>465</v>
      </c>
      <c r="CB109" s="1" t="s">
        <v>503</v>
      </c>
      <c r="CC109" s="1" t="s">
        <v>499</v>
      </c>
      <c r="CD109" s="1" t="s">
        <v>500</v>
      </c>
      <c r="CE109" s="1" t="s">
        <v>499</v>
      </c>
      <c r="CF109" s="32"/>
      <c r="CG109" s="1" t="s">
        <v>499</v>
      </c>
      <c r="CH109" s="32"/>
      <c r="CI109" s="32"/>
    </row>
    <row r="110" spans="1:87" x14ac:dyDescent="0.2">
      <c r="A110" s="1" t="s">
        <v>151</v>
      </c>
      <c r="B110" s="1" t="s">
        <v>142</v>
      </c>
      <c r="C110" s="1" t="s">
        <v>494</v>
      </c>
      <c r="D110" s="1">
        <v>2010</v>
      </c>
      <c r="E110" s="32">
        <v>1</v>
      </c>
      <c r="F110" s="32">
        <v>0</v>
      </c>
      <c r="G110" s="1">
        <v>0</v>
      </c>
      <c r="H110" s="1">
        <v>0</v>
      </c>
      <c r="I110" s="1">
        <v>1</v>
      </c>
      <c r="J110" s="1">
        <v>11.636724000000001</v>
      </c>
      <c r="M110" s="18"/>
      <c r="N110" s="18">
        <v>1330</v>
      </c>
      <c r="O110" s="18"/>
      <c r="P110" s="18"/>
      <c r="Q110" s="18"/>
      <c r="R110" s="18">
        <v>1058</v>
      </c>
      <c r="S110" s="18"/>
      <c r="T110" s="18"/>
      <c r="U110" s="8"/>
      <c r="V110" s="8"/>
      <c r="W110" s="8">
        <v>1</v>
      </c>
      <c r="X110" s="8">
        <v>0.9</v>
      </c>
      <c r="Y110" s="8"/>
      <c r="Z11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0" s="8"/>
      <c r="AB110" s="19"/>
      <c r="AC110" s="18"/>
      <c r="AD110" s="8"/>
      <c r="AE110" s="18"/>
      <c r="AF110" s="8"/>
      <c r="AG110" s="8"/>
      <c r="AH110" s="8">
        <v>0.97</v>
      </c>
      <c r="AL110" s="1">
        <v>1</v>
      </c>
      <c r="AO110" s="1">
        <v>1</v>
      </c>
      <c r="AR110" s="1">
        <v>2</v>
      </c>
      <c r="AS110" s="1">
        <v>4</v>
      </c>
      <c r="AT110" s="1" t="s">
        <v>380</v>
      </c>
      <c r="AU110" s="1" t="s">
        <v>276</v>
      </c>
      <c r="AV110" s="1">
        <f>4/1</f>
        <v>4</v>
      </c>
      <c r="AX110" s="1">
        <v>1095</v>
      </c>
      <c r="AY110" s="18"/>
      <c r="AZ110" s="18"/>
      <c r="BA110" s="33">
        <f>250*Umrechnungsfaktoren!$B$15/Umrechnungsfaktoren!$B$12</f>
        <v>259.5</v>
      </c>
      <c r="BB110" s="7"/>
      <c r="BC110" s="7">
        <f>10*Umrechnungsfaktoren!$B$15/Umrechnungsfaktoren!$B$12</f>
        <v>10.38</v>
      </c>
      <c r="BD110" s="7"/>
      <c r="BE110" s="36">
        <f>0.03*Tabelle58971115[[#This Row],[Investitionsausgaben €_2018/kW]]</f>
        <v>7.7850000000000001</v>
      </c>
      <c r="BG110" s="47">
        <v>0.09</v>
      </c>
      <c r="BI110" s="1" t="s">
        <v>479</v>
      </c>
      <c r="BJ110" s="1" t="s">
        <v>479</v>
      </c>
      <c r="BK110" s="1" t="s">
        <v>479</v>
      </c>
      <c r="BL110" s="1" t="s">
        <v>493</v>
      </c>
      <c r="BM110" s="12" t="s">
        <v>476</v>
      </c>
      <c r="BN110" s="12" t="s">
        <v>477</v>
      </c>
      <c r="BO110" s="12"/>
      <c r="BP110" s="12"/>
      <c r="BQ110" s="12" t="s">
        <v>469</v>
      </c>
      <c r="BR110" s="12" t="s">
        <v>469</v>
      </c>
      <c r="BS110" s="37"/>
      <c r="BU110" s="12"/>
      <c r="BV110" s="12" t="s">
        <v>496</v>
      </c>
      <c r="BW110" s="12"/>
      <c r="BX110" s="1" t="s">
        <v>474</v>
      </c>
      <c r="BY110" s="1" t="s">
        <v>474</v>
      </c>
      <c r="BZ110" s="1" t="s">
        <v>473</v>
      </c>
      <c r="CA110" s="1" t="s">
        <v>465</v>
      </c>
      <c r="CB110" s="1" t="s">
        <v>504</v>
      </c>
      <c r="CC110" s="1" t="s">
        <v>499</v>
      </c>
      <c r="CD110" s="1" t="s">
        <v>500</v>
      </c>
      <c r="CE110" s="1" t="s">
        <v>499</v>
      </c>
      <c r="CG110" s="1" t="s">
        <v>499</v>
      </c>
    </row>
    <row r="111" spans="1:87" x14ac:dyDescent="0.2">
      <c r="A111" s="1" t="s">
        <v>151</v>
      </c>
      <c r="B111" s="1" t="s">
        <v>142</v>
      </c>
      <c r="C111" s="1" t="s">
        <v>494</v>
      </c>
      <c r="D111" s="1">
        <v>2020</v>
      </c>
      <c r="E111" s="32">
        <v>1</v>
      </c>
      <c r="F111" s="32">
        <v>0</v>
      </c>
      <c r="G111" s="1">
        <v>0</v>
      </c>
      <c r="H111" s="1">
        <v>0</v>
      </c>
      <c r="I111" s="1">
        <v>1</v>
      </c>
      <c r="J111" s="1">
        <v>10.311538639999998</v>
      </c>
      <c r="M111" s="18"/>
      <c r="N111" s="18">
        <v>977</v>
      </c>
      <c r="O111" s="18"/>
      <c r="P111" s="18"/>
      <c r="Q111" s="18"/>
      <c r="R111" s="18">
        <v>937</v>
      </c>
      <c r="S111" s="18"/>
      <c r="T111" s="18"/>
      <c r="U111" s="8"/>
      <c r="V111" s="8"/>
      <c r="W111" s="8"/>
      <c r="X111" s="8"/>
      <c r="Y111" s="8">
        <f>4877/8760</f>
        <v>0.55673515981735155</v>
      </c>
      <c r="Z11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1" s="8"/>
      <c r="AB111" s="19"/>
      <c r="AC111" s="18"/>
      <c r="AD111" s="8"/>
      <c r="AE111" s="18"/>
      <c r="AF111" s="8"/>
      <c r="AG111" s="8"/>
      <c r="AH111" s="8">
        <v>0.97</v>
      </c>
      <c r="AL111" s="1">
        <v>1</v>
      </c>
      <c r="AO111" s="1">
        <v>1</v>
      </c>
      <c r="AR111" s="1">
        <v>2</v>
      </c>
      <c r="AS111" s="1">
        <v>4</v>
      </c>
      <c r="AT111" s="1" t="s">
        <v>380</v>
      </c>
      <c r="AU111" s="1" t="s">
        <v>276</v>
      </c>
      <c r="AV111" s="1">
        <f>4/1</f>
        <v>4</v>
      </c>
      <c r="AX111" s="1">
        <v>1095</v>
      </c>
      <c r="AY111" s="18"/>
      <c r="AZ111" s="18"/>
      <c r="BA111" s="33">
        <f>250*Umrechnungsfaktoren!$B$15/Umrechnungsfaktoren!$B$12</f>
        <v>259.5</v>
      </c>
      <c r="BB111" s="7"/>
      <c r="BC111" s="7">
        <f>10*Umrechnungsfaktoren!$B$15/Umrechnungsfaktoren!$B$12</f>
        <v>10.38</v>
      </c>
      <c r="BD111" s="7"/>
      <c r="BE111" s="36">
        <f>0.03*Tabelle58971115[[#This Row],[Investitionsausgaben €_2018/kW]]</f>
        <v>7.7850000000000001</v>
      </c>
      <c r="BG111" s="47">
        <v>0.09</v>
      </c>
      <c r="BI111" s="1" t="s">
        <v>479</v>
      </c>
      <c r="BJ111" s="1" t="s">
        <v>479</v>
      </c>
      <c r="BK111" s="1" t="s">
        <v>479</v>
      </c>
      <c r="BL111" s="1" t="s">
        <v>493</v>
      </c>
      <c r="BM111" s="12" t="s">
        <v>470</v>
      </c>
      <c r="BN111" s="12" t="s">
        <v>470</v>
      </c>
      <c r="BO111" s="12"/>
      <c r="BP111" s="12"/>
      <c r="BQ111" s="37"/>
      <c r="BR111" s="37">
        <v>157</v>
      </c>
      <c r="BS111" s="37"/>
      <c r="BU111" s="12"/>
      <c r="BV111" s="12" t="s">
        <v>496</v>
      </c>
      <c r="BW111" s="12"/>
      <c r="BX111" s="1" t="s">
        <v>474</v>
      </c>
      <c r="BY111" s="1" t="s">
        <v>474</v>
      </c>
      <c r="BZ111" s="1" t="s">
        <v>473</v>
      </c>
      <c r="CA111" s="1" t="s">
        <v>465</v>
      </c>
      <c r="CB111" s="1" t="s">
        <v>504</v>
      </c>
      <c r="CC111" s="1" t="s">
        <v>499</v>
      </c>
      <c r="CD111" s="1" t="s">
        <v>500</v>
      </c>
      <c r="CE111" s="1" t="s">
        <v>499</v>
      </c>
      <c r="CG111" s="1" t="s">
        <v>499</v>
      </c>
    </row>
    <row r="112" spans="1:87" x14ac:dyDescent="0.2">
      <c r="A112" s="1" t="s">
        <v>151</v>
      </c>
      <c r="B112" s="1" t="s">
        <v>142</v>
      </c>
      <c r="C112" s="1" t="s">
        <v>494</v>
      </c>
      <c r="D112" s="1">
        <v>2030</v>
      </c>
      <c r="E112" s="32">
        <v>1</v>
      </c>
      <c r="F112" s="32">
        <v>0</v>
      </c>
      <c r="G112" s="1">
        <v>0</v>
      </c>
      <c r="H112" s="1">
        <v>0</v>
      </c>
      <c r="I112" s="1">
        <v>1</v>
      </c>
      <c r="J112" s="1">
        <v>8.4322392000000015</v>
      </c>
      <c r="M112" s="18"/>
      <c r="N112" s="18">
        <v>818</v>
      </c>
      <c r="O112" s="18"/>
      <c r="P112" s="18"/>
      <c r="Q112" s="18"/>
      <c r="R112" s="18">
        <v>768</v>
      </c>
      <c r="S112" s="18"/>
      <c r="T112" s="18"/>
      <c r="U112" s="8"/>
      <c r="V112" s="8"/>
      <c r="W112" s="8">
        <v>1</v>
      </c>
      <c r="X112" s="8">
        <v>0.9</v>
      </c>
      <c r="Y112" s="8">
        <f>4873/8760</f>
        <v>0.55627853881278544</v>
      </c>
      <c r="Z112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2" s="8"/>
      <c r="AB112" s="19"/>
      <c r="AC112" s="18"/>
      <c r="AD112" s="8"/>
      <c r="AE112" s="18"/>
      <c r="AF112" s="8"/>
      <c r="AG112" s="8"/>
      <c r="AH112" s="8">
        <v>0.97</v>
      </c>
      <c r="AL112" s="1">
        <v>1</v>
      </c>
      <c r="AO112" s="1">
        <v>1</v>
      </c>
      <c r="AR112" s="1">
        <v>2</v>
      </c>
      <c r="AS112" s="1">
        <v>4</v>
      </c>
      <c r="AT112" s="1" t="s">
        <v>380</v>
      </c>
      <c r="AU112" s="1" t="s">
        <v>276</v>
      </c>
      <c r="AV112" s="1">
        <f>4/1</f>
        <v>4</v>
      </c>
      <c r="AX112" s="1">
        <v>1095</v>
      </c>
      <c r="AY112" s="18"/>
      <c r="AZ112" s="18"/>
      <c r="BA112" s="33">
        <f>250*Umrechnungsfaktoren!$B$15/Umrechnungsfaktoren!$B$12</f>
        <v>259.5</v>
      </c>
      <c r="BB112" s="7"/>
      <c r="BC112" s="7">
        <f>10*Umrechnungsfaktoren!$B$15/Umrechnungsfaktoren!$B$12</f>
        <v>10.38</v>
      </c>
      <c r="BD112" s="7"/>
      <c r="BE112" s="36">
        <f>0.03*Tabelle58971115[[#This Row],[Investitionsausgaben €_2018/kW]]</f>
        <v>7.7850000000000001</v>
      </c>
      <c r="BG112" s="47">
        <v>0.09</v>
      </c>
      <c r="BI112" s="1" t="s">
        <v>479</v>
      </c>
      <c r="BJ112" s="1" t="s">
        <v>479</v>
      </c>
      <c r="BK112" s="1" t="s">
        <v>479</v>
      </c>
      <c r="BL112" s="1" t="s">
        <v>493</v>
      </c>
      <c r="BM112" s="12" t="s">
        <v>471</v>
      </c>
      <c r="BN112" s="12" t="s">
        <v>471</v>
      </c>
      <c r="BO112" s="12"/>
      <c r="BP112" s="12"/>
      <c r="BQ112" s="37"/>
      <c r="BR112" s="37">
        <v>157</v>
      </c>
      <c r="BS112" s="12"/>
      <c r="BU112" s="12"/>
      <c r="BV112" s="12" t="s">
        <v>496</v>
      </c>
      <c r="BW112" s="12"/>
      <c r="BX112" s="1" t="s">
        <v>474</v>
      </c>
      <c r="BY112" s="1" t="s">
        <v>474</v>
      </c>
      <c r="BZ112" s="1" t="s">
        <v>473</v>
      </c>
      <c r="CA112" s="1" t="s">
        <v>465</v>
      </c>
      <c r="CB112" s="1" t="s">
        <v>504</v>
      </c>
      <c r="CC112" s="1" t="s">
        <v>499</v>
      </c>
      <c r="CD112" s="1" t="s">
        <v>500</v>
      </c>
      <c r="CE112" s="1" t="s">
        <v>499</v>
      </c>
      <c r="CG112" s="1" t="s">
        <v>499</v>
      </c>
    </row>
    <row r="113" spans="1:85" x14ac:dyDescent="0.2">
      <c r="A113" s="1" t="s">
        <v>151</v>
      </c>
      <c r="B113" s="1" t="s">
        <v>142</v>
      </c>
      <c r="C113" s="1" t="s">
        <v>494</v>
      </c>
      <c r="D113" s="1">
        <v>2050</v>
      </c>
      <c r="E113" s="32">
        <v>1</v>
      </c>
      <c r="F113" s="32">
        <v>0</v>
      </c>
      <c r="G113" s="1">
        <v>0</v>
      </c>
      <c r="H113" s="1">
        <v>0</v>
      </c>
      <c r="I113" s="1">
        <v>1</v>
      </c>
      <c r="J113" s="1">
        <v>3.0740889600000001</v>
      </c>
      <c r="M113" s="18"/>
      <c r="N113" s="18">
        <v>316</v>
      </c>
      <c r="O113" s="18"/>
      <c r="P113" s="18"/>
      <c r="Q113" s="18"/>
      <c r="R113" s="18">
        <v>284</v>
      </c>
      <c r="S113" s="18"/>
      <c r="T113" s="18"/>
      <c r="U113" s="8"/>
      <c r="V113" s="8"/>
      <c r="W113" s="8">
        <v>1</v>
      </c>
      <c r="X113" s="8">
        <v>0.9</v>
      </c>
      <c r="Y113" s="8">
        <f>4842/8760</f>
        <v>0.55273972602739729</v>
      </c>
      <c r="Z113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3" s="8"/>
      <c r="AB113" s="19"/>
      <c r="AC113" s="18"/>
      <c r="AD113" s="8"/>
      <c r="AE113" s="18"/>
      <c r="AF113" s="8"/>
      <c r="AG113" s="8"/>
      <c r="AH113" s="8">
        <v>0.97</v>
      </c>
      <c r="AL113" s="1">
        <v>1</v>
      </c>
      <c r="AO113" s="1">
        <v>1</v>
      </c>
      <c r="AR113" s="1">
        <v>2</v>
      </c>
      <c r="AS113" s="1">
        <v>4</v>
      </c>
      <c r="AT113" s="1" t="s">
        <v>380</v>
      </c>
      <c r="AU113" s="1" t="s">
        <v>276</v>
      </c>
      <c r="AV113" s="1">
        <f>4/1</f>
        <v>4</v>
      </c>
      <c r="AX113" s="1">
        <v>1095</v>
      </c>
      <c r="AY113" s="18"/>
      <c r="AZ113" s="18"/>
      <c r="BA113" s="33">
        <f>250*Umrechnungsfaktoren!$B$15/Umrechnungsfaktoren!$B$12</f>
        <v>259.5</v>
      </c>
      <c r="BB113" s="7"/>
      <c r="BC113" s="7">
        <f>10*Umrechnungsfaktoren!$B$15/Umrechnungsfaktoren!$B$12</f>
        <v>10.38</v>
      </c>
      <c r="BD113" s="7"/>
      <c r="BE113" s="36">
        <f>0.03*Tabelle58971115[[#This Row],[Investitionsausgaben €_2018/kW]]</f>
        <v>7.7850000000000001</v>
      </c>
      <c r="BG113" s="47">
        <v>0.09</v>
      </c>
      <c r="BI113" s="1" t="s">
        <v>479</v>
      </c>
      <c r="BJ113" s="1" t="s">
        <v>479</v>
      </c>
      <c r="BK113" s="1" t="s">
        <v>479</v>
      </c>
      <c r="BL113" s="1" t="s">
        <v>493</v>
      </c>
      <c r="BM113" s="12" t="s">
        <v>472</v>
      </c>
      <c r="BN113" s="12" t="s">
        <v>472</v>
      </c>
      <c r="BO113" s="12"/>
      <c r="BP113" s="12"/>
      <c r="BQ113" s="37"/>
      <c r="BR113" s="37">
        <v>157</v>
      </c>
      <c r="BS113" s="12"/>
      <c r="BU113" s="12"/>
      <c r="BV113" s="12" t="s">
        <v>496</v>
      </c>
      <c r="BW113" s="12"/>
      <c r="BX113" s="1" t="s">
        <v>474</v>
      </c>
      <c r="BY113" s="1" t="s">
        <v>474</v>
      </c>
      <c r="BZ113" s="1" t="s">
        <v>473</v>
      </c>
      <c r="CA113" s="1" t="s">
        <v>465</v>
      </c>
      <c r="CB113" s="1" t="s">
        <v>504</v>
      </c>
      <c r="CC113" s="1" t="s">
        <v>499</v>
      </c>
      <c r="CD113" s="1" t="s">
        <v>500</v>
      </c>
      <c r="CE113" s="1" t="s">
        <v>499</v>
      </c>
      <c r="CG113" s="1" t="s">
        <v>499</v>
      </c>
    </row>
    <row r="114" spans="1:85" x14ac:dyDescent="0.2">
      <c r="A114" s="1" t="s">
        <v>141</v>
      </c>
      <c r="B114" s="1" t="s">
        <v>142</v>
      </c>
      <c r="C114" s="1" t="e">
        <f>VLOOKUP(Tabelle58971115[[#This Row],[Prozess]],#REF!,3,FALSE)</f>
        <v>#REF!</v>
      </c>
      <c r="D114" s="1">
        <v>2010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M114" s="18"/>
      <c r="N114" s="18">
        <v>1654</v>
      </c>
      <c r="O114" s="18"/>
      <c r="P114" s="18"/>
      <c r="Q114" s="18"/>
      <c r="R114" s="18">
        <v>20637</v>
      </c>
      <c r="S114" s="18"/>
      <c r="T114" s="18"/>
      <c r="U114" s="8"/>
      <c r="V114" s="8"/>
      <c r="W114" s="8"/>
      <c r="X114" s="8"/>
      <c r="Y114" s="8"/>
      <c r="Z114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4" s="8"/>
      <c r="AB114" s="19"/>
      <c r="AC114" s="18"/>
      <c r="AD114" s="8"/>
      <c r="AE114" s="18"/>
      <c r="AF114" s="42">
        <v>0.95</v>
      </c>
      <c r="AG114" s="8">
        <v>0.98</v>
      </c>
      <c r="AH114" s="8">
        <v>0.96</v>
      </c>
      <c r="AL114" s="1">
        <v>12</v>
      </c>
      <c r="AO114" s="1">
        <v>12</v>
      </c>
      <c r="AP114" s="1">
        <v>4</v>
      </c>
      <c r="AQ114" s="1">
        <v>12</v>
      </c>
      <c r="AR114" s="1">
        <v>8</v>
      </c>
      <c r="AS114" s="1">
        <v>0</v>
      </c>
      <c r="AT114" s="1" t="s">
        <v>380</v>
      </c>
      <c r="AU114" s="1" t="s">
        <v>276</v>
      </c>
      <c r="AX114" s="1">
        <v>1095</v>
      </c>
      <c r="AY114" s="18"/>
      <c r="AZ114" s="18"/>
      <c r="BA114" s="18">
        <f>20*Umrechnungsfaktoren!$B$15/Umrechnungsfaktoren!$B$12</f>
        <v>20.76</v>
      </c>
      <c r="BB114" s="7"/>
      <c r="BC114" s="7">
        <f>10*Umrechnungsfaktoren!$B$15/Umrechnungsfaktoren!$B$12</f>
        <v>10.38</v>
      </c>
      <c r="BD114" s="7"/>
      <c r="BE114" s="7">
        <f>0.03*Tabelle58971115[[#This Row],[Investitionsausgaben €_2018/kW]]</f>
        <v>0.62280000000000002</v>
      </c>
      <c r="BG114" s="6">
        <v>0.04</v>
      </c>
      <c r="BI114" s="1" t="s">
        <v>479</v>
      </c>
      <c r="BJ114" s="1" t="s">
        <v>479</v>
      </c>
      <c r="BK114" s="1" t="s">
        <v>479</v>
      </c>
      <c r="BL114" s="32"/>
      <c r="BM114" s="12" t="s">
        <v>476</v>
      </c>
      <c r="BN114" s="12" t="s">
        <v>477</v>
      </c>
      <c r="BO114" s="12"/>
      <c r="BP114" s="12"/>
      <c r="BQ114" s="12"/>
      <c r="BR114" s="12"/>
      <c r="BS114" s="12"/>
      <c r="BU114" s="12"/>
      <c r="BV114" s="12" t="s">
        <v>496</v>
      </c>
      <c r="BW114" s="12"/>
      <c r="BX114" s="1" t="s">
        <v>474</v>
      </c>
      <c r="BY114" s="1" t="s">
        <v>474</v>
      </c>
      <c r="BZ114" s="1" t="s">
        <v>473</v>
      </c>
      <c r="CA114" s="1" t="s">
        <v>465</v>
      </c>
      <c r="CB114" s="1" t="s">
        <v>503</v>
      </c>
      <c r="CC114" s="1" t="s">
        <v>499</v>
      </c>
      <c r="CD114" s="1" t="s">
        <v>500</v>
      </c>
      <c r="CE114" s="1" t="s">
        <v>499</v>
      </c>
      <c r="CG114" s="1" t="s">
        <v>499</v>
      </c>
    </row>
    <row r="115" spans="1:85" x14ac:dyDescent="0.2">
      <c r="A115" s="1" t="s">
        <v>141</v>
      </c>
      <c r="B115" s="1" t="s">
        <v>142</v>
      </c>
      <c r="C115" s="1" t="e">
        <f>VLOOKUP(Tabelle58971115[[#This Row],[Prozess]],#REF!,3,FALSE)</f>
        <v>#REF!</v>
      </c>
      <c r="D115" s="1">
        <v>2020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M115" s="18"/>
      <c r="N115" s="18">
        <v>1373</v>
      </c>
      <c r="O115" s="18"/>
      <c r="P115" s="18"/>
      <c r="Q115" s="18"/>
      <c r="R115" s="18">
        <v>15414</v>
      </c>
      <c r="S115" s="18"/>
      <c r="T115" s="18"/>
      <c r="U115" s="8"/>
      <c r="V115" s="8"/>
      <c r="W115" s="8">
        <v>0.83</v>
      </c>
      <c r="X115" s="8">
        <v>1</v>
      </c>
      <c r="Y115" s="8"/>
      <c r="Z115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5" s="8"/>
      <c r="AB115" s="19"/>
      <c r="AC115" s="18"/>
      <c r="AD115" s="8"/>
      <c r="AE115" s="18"/>
      <c r="AF115" s="42">
        <v>0.95</v>
      </c>
      <c r="AG115" s="8">
        <v>0.98</v>
      </c>
      <c r="AH115" s="8">
        <v>0.96</v>
      </c>
      <c r="AL115" s="1">
        <v>12</v>
      </c>
      <c r="AO115" s="1">
        <v>12</v>
      </c>
      <c r="AP115" s="1">
        <v>4</v>
      </c>
      <c r="AQ115" s="1">
        <v>12</v>
      </c>
      <c r="AR115" s="1">
        <v>8</v>
      </c>
      <c r="AS115" s="1">
        <v>0</v>
      </c>
      <c r="AT115" s="1" t="s">
        <v>380</v>
      </c>
      <c r="AU115" s="1" t="s">
        <v>276</v>
      </c>
      <c r="AX115" s="1">
        <v>1095</v>
      </c>
      <c r="AY115" s="18"/>
      <c r="AZ115" s="18"/>
      <c r="BA115" s="18">
        <f>20*Umrechnungsfaktoren!$B$15/Umrechnungsfaktoren!$B$12</f>
        <v>20.76</v>
      </c>
      <c r="BB115" s="7"/>
      <c r="BC115" s="7">
        <f>10*Umrechnungsfaktoren!$B$15/Umrechnungsfaktoren!$B$12</f>
        <v>10.38</v>
      </c>
      <c r="BD115" s="7"/>
      <c r="BE115" s="7">
        <f>0.03*Tabelle58971115[[#This Row],[Investitionsausgaben €_2018/kW]]</f>
        <v>0.62280000000000002</v>
      </c>
      <c r="BG115" s="6">
        <v>0.04</v>
      </c>
      <c r="BI115" s="1" t="s">
        <v>479</v>
      </c>
      <c r="BJ115" s="1" t="s">
        <v>479</v>
      </c>
      <c r="BK115" s="1" t="s">
        <v>479</v>
      </c>
      <c r="BL115" s="32"/>
      <c r="BM115" s="12" t="s">
        <v>470</v>
      </c>
      <c r="BN115" s="12" t="s">
        <v>470</v>
      </c>
      <c r="BO115" s="12"/>
      <c r="BP115" s="12"/>
      <c r="BQ115" s="12"/>
      <c r="BR115" s="12"/>
      <c r="BS115" s="12"/>
      <c r="BU115" s="12"/>
      <c r="BV115" s="12" t="s">
        <v>496</v>
      </c>
      <c r="BW115" s="12"/>
      <c r="BX115" s="1" t="s">
        <v>474</v>
      </c>
      <c r="BY115" s="1" t="s">
        <v>474</v>
      </c>
      <c r="BZ115" s="1" t="s">
        <v>473</v>
      </c>
      <c r="CA115" s="1" t="s">
        <v>465</v>
      </c>
      <c r="CB115" s="1" t="s">
        <v>503</v>
      </c>
      <c r="CC115" s="1" t="s">
        <v>499</v>
      </c>
      <c r="CD115" s="1" t="s">
        <v>500</v>
      </c>
      <c r="CE115" s="1" t="s">
        <v>499</v>
      </c>
      <c r="CG115" s="1" t="s">
        <v>499</v>
      </c>
    </row>
    <row r="116" spans="1:85" x14ac:dyDescent="0.2">
      <c r="A116" s="1" t="s">
        <v>141</v>
      </c>
      <c r="B116" s="1" t="s">
        <v>142</v>
      </c>
      <c r="C116" s="1" t="e">
        <f>VLOOKUP(Tabelle58971115[[#This Row],[Prozess]],#REF!,3,FALSE)</f>
        <v>#REF!</v>
      </c>
      <c r="D116" s="1">
        <v>2030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M116" s="18"/>
      <c r="N116" s="18">
        <v>1070</v>
      </c>
      <c r="O116" s="18"/>
      <c r="P116" s="18"/>
      <c r="Q116" s="18"/>
      <c r="R116" s="18">
        <v>12014</v>
      </c>
      <c r="S116" s="18"/>
      <c r="T116" s="18"/>
      <c r="U116" s="8"/>
      <c r="V116" s="8"/>
      <c r="W116" s="8">
        <v>0.85</v>
      </c>
      <c r="X116" s="8">
        <v>1</v>
      </c>
      <c r="Y116" s="8"/>
      <c r="Z116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6" s="8"/>
      <c r="AB116" s="19"/>
      <c r="AC116" s="18"/>
      <c r="AD116" s="8"/>
      <c r="AE116" s="18"/>
      <c r="AF116" s="42">
        <v>0.95</v>
      </c>
      <c r="AG116" s="8">
        <v>0.98</v>
      </c>
      <c r="AH116" s="8">
        <v>0.96</v>
      </c>
      <c r="AL116" s="1">
        <v>12</v>
      </c>
      <c r="AO116" s="1">
        <v>12</v>
      </c>
      <c r="AP116" s="1">
        <v>4</v>
      </c>
      <c r="AQ116" s="1">
        <v>12</v>
      </c>
      <c r="AR116" s="1">
        <v>8</v>
      </c>
      <c r="AS116" s="1">
        <v>0</v>
      </c>
      <c r="AT116" s="1" t="s">
        <v>380</v>
      </c>
      <c r="AU116" s="1" t="s">
        <v>276</v>
      </c>
      <c r="AX116" s="1">
        <v>1095</v>
      </c>
      <c r="AY116" s="18"/>
      <c r="AZ116" s="18"/>
      <c r="BA116" s="18">
        <f>20*Umrechnungsfaktoren!$B$15/Umrechnungsfaktoren!$B$12</f>
        <v>20.76</v>
      </c>
      <c r="BB116" s="7"/>
      <c r="BC116" s="7">
        <f>10*Umrechnungsfaktoren!$B$15/Umrechnungsfaktoren!$B$12</f>
        <v>10.38</v>
      </c>
      <c r="BD116" s="7"/>
      <c r="BE116" s="7">
        <f>0.03*Tabelle58971115[[#This Row],[Investitionsausgaben €_2018/kW]]</f>
        <v>0.62280000000000002</v>
      </c>
      <c r="BG116" s="6">
        <v>0.04</v>
      </c>
      <c r="BI116" s="1" t="s">
        <v>479</v>
      </c>
      <c r="BJ116" s="1" t="s">
        <v>479</v>
      </c>
      <c r="BK116" s="1" t="s">
        <v>479</v>
      </c>
      <c r="BM116" s="12" t="s">
        <v>471</v>
      </c>
      <c r="BN116" s="12" t="s">
        <v>471</v>
      </c>
      <c r="BO116" s="12"/>
      <c r="BP116" s="12"/>
      <c r="BQ116" s="12"/>
      <c r="BR116" s="12"/>
      <c r="BS116" s="12"/>
      <c r="BU116" s="12"/>
      <c r="BV116" s="12" t="s">
        <v>496</v>
      </c>
      <c r="BW116" s="12"/>
      <c r="BX116" s="1" t="s">
        <v>474</v>
      </c>
      <c r="BY116" s="1" t="s">
        <v>474</v>
      </c>
      <c r="BZ116" s="1" t="s">
        <v>473</v>
      </c>
      <c r="CA116" s="1" t="s">
        <v>465</v>
      </c>
      <c r="CB116" s="1" t="s">
        <v>503</v>
      </c>
      <c r="CC116" s="1" t="s">
        <v>499</v>
      </c>
      <c r="CD116" s="1" t="s">
        <v>500</v>
      </c>
      <c r="CE116" s="1" t="s">
        <v>499</v>
      </c>
      <c r="CG116" s="1" t="s">
        <v>499</v>
      </c>
    </row>
    <row r="117" spans="1:85" x14ac:dyDescent="0.2">
      <c r="A117" s="1" t="s">
        <v>141</v>
      </c>
      <c r="B117" s="1" t="s">
        <v>142</v>
      </c>
      <c r="C117" s="1" t="e">
        <f>VLOOKUP(Tabelle58971115[[#This Row],[Prozess]],#REF!,3,FALSE)</f>
        <v>#REF!</v>
      </c>
      <c r="D117" s="1">
        <v>2050</v>
      </c>
      <c r="E117" s="1">
        <v>1</v>
      </c>
      <c r="F117" s="1">
        <v>0</v>
      </c>
      <c r="G117" s="1">
        <v>0</v>
      </c>
      <c r="H117" s="1">
        <v>1</v>
      </c>
      <c r="I117" s="1">
        <v>0</v>
      </c>
      <c r="M117" s="18"/>
      <c r="N117" s="18">
        <v>412</v>
      </c>
      <c r="O117" s="18"/>
      <c r="P117" s="18"/>
      <c r="Q117" s="18"/>
      <c r="R117" s="18">
        <v>4628</v>
      </c>
      <c r="S117" s="18"/>
      <c r="T117" s="18"/>
      <c r="U117" s="8"/>
      <c r="V117" s="8"/>
      <c r="W117" s="8">
        <v>0.9</v>
      </c>
      <c r="X117" s="8">
        <v>1</v>
      </c>
      <c r="Y117" s="8"/>
      <c r="Z117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7" s="8"/>
      <c r="AB117" s="19"/>
      <c r="AC117" s="18"/>
      <c r="AD117" s="8"/>
      <c r="AE117" s="18"/>
      <c r="AF117" s="42">
        <v>0.95</v>
      </c>
      <c r="AG117" s="8">
        <v>0.98</v>
      </c>
      <c r="AH117" s="8">
        <v>0.96</v>
      </c>
      <c r="AL117" s="1">
        <v>12</v>
      </c>
      <c r="AO117" s="1">
        <v>12</v>
      </c>
      <c r="AP117" s="1">
        <v>4</v>
      </c>
      <c r="AQ117" s="1">
        <v>12</v>
      </c>
      <c r="AR117" s="1">
        <v>8</v>
      </c>
      <c r="AS117" s="1">
        <v>0</v>
      </c>
      <c r="AT117" s="1" t="s">
        <v>380</v>
      </c>
      <c r="AU117" s="1" t="s">
        <v>276</v>
      </c>
      <c r="AX117" s="1">
        <v>1095</v>
      </c>
      <c r="AY117" s="18"/>
      <c r="AZ117" s="18"/>
      <c r="BA117" s="18">
        <f>20*Umrechnungsfaktoren!$B$15/Umrechnungsfaktoren!$B$12</f>
        <v>20.76</v>
      </c>
      <c r="BB117" s="7"/>
      <c r="BC117" s="7">
        <f>10*Umrechnungsfaktoren!$B$15/Umrechnungsfaktoren!$B$12</f>
        <v>10.38</v>
      </c>
      <c r="BD117" s="7"/>
      <c r="BE117" s="7">
        <f>0.03*Tabelle58971115[[#This Row],[Investitionsausgaben €_2018/kW]]</f>
        <v>0.62280000000000002</v>
      </c>
      <c r="BG117" s="6">
        <v>0.04</v>
      </c>
      <c r="BI117" s="1" t="s">
        <v>479</v>
      </c>
      <c r="BJ117" s="1" t="s">
        <v>479</v>
      </c>
      <c r="BK117" s="1" t="s">
        <v>479</v>
      </c>
      <c r="BM117" s="12" t="s">
        <v>472</v>
      </c>
      <c r="BN117" s="12" t="s">
        <v>472</v>
      </c>
      <c r="BO117" s="12"/>
      <c r="BP117" s="12"/>
      <c r="BQ117" s="12"/>
      <c r="BR117" s="12"/>
      <c r="BS117" s="12"/>
      <c r="BU117" s="12"/>
      <c r="BV117" s="12" t="s">
        <v>496</v>
      </c>
      <c r="BW117" s="12"/>
      <c r="BX117" s="1" t="s">
        <v>474</v>
      </c>
      <c r="BY117" s="1" t="s">
        <v>474</v>
      </c>
      <c r="BZ117" s="1" t="s">
        <v>473</v>
      </c>
      <c r="CA117" s="1" t="s">
        <v>465</v>
      </c>
      <c r="CB117" s="1" t="s">
        <v>503</v>
      </c>
      <c r="CC117" s="1" t="s">
        <v>499</v>
      </c>
      <c r="CD117" s="1" t="s">
        <v>500</v>
      </c>
      <c r="CE117" s="1" t="s">
        <v>499</v>
      </c>
      <c r="CG117" s="1" t="s">
        <v>499</v>
      </c>
    </row>
    <row r="118" spans="1:85" x14ac:dyDescent="0.2">
      <c r="A118" s="1" t="s">
        <v>138</v>
      </c>
      <c r="B118" s="1" t="s">
        <v>142</v>
      </c>
      <c r="C118" s="1" t="e">
        <f>VLOOKUP(Tabelle58971115[[#This Row],[Prozess]],#REF!,3,FALSE)</f>
        <v>#REF!</v>
      </c>
      <c r="D118" s="1">
        <v>2010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M118" s="18"/>
      <c r="N118" s="18">
        <v>250</v>
      </c>
      <c r="O118" s="18"/>
      <c r="P118" s="18"/>
      <c r="Q118" s="18"/>
      <c r="R118" s="18">
        <v>8507</v>
      </c>
      <c r="S118" s="18"/>
      <c r="T118" s="18"/>
      <c r="U118" s="8"/>
      <c r="V118" s="8"/>
      <c r="W118" s="8"/>
      <c r="X118" s="8"/>
      <c r="Y118" s="8"/>
      <c r="Z118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8" s="8"/>
      <c r="AB118" s="19"/>
      <c r="AC118" s="18"/>
      <c r="AD118" s="8"/>
      <c r="AE118" s="18"/>
      <c r="AF118" s="42">
        <v>0.95</v>
      </c>
      <c r="AG118" s="8">
        <v>0.98</v>
      </c>
      <c r="AH118" s="8">
        <v>0.96</v>
      </c>
      <c r="AL118" s="1">
        <v>12</v>
      </c>
      <c r="AO118" s="1">
        <v>12</v>
      </c>
      <c r="AP118" s="1">
        <v>4</v>
      </c>
      <c r="AQ118" s="1">
        <v>12</v>
      </c>
      <c r="AR118" s="1">
        <v>8</v>
      </c>
      <c r="AS118" s="1">
        <v>0</v>
      </c>
      <c r="AT118" s="1" t="s">
        <v>380</v>
      </c>
      <c r="AU118" s="1" t="s">
        <v>276</v>
      </c>
      <c r="AX118" s="1">
        <v>1095</v>
      </c>
      <c r="AY118" s="18"/>
      <c r="AZ118" s="18"/>
      <c r="BA118" s="18">
        <f>20*Umrechnungsfaktoren!$B$15/Umrechnungsfaktoren!$B$12</f>
        <v>20.76</v>
      </c>
      <c r="BB118" s="7"/>
      <c r="BC118" s="7">
        <f>10*Umrechnungsfaktoren!$B$15/Umrechnungsfaktoren!$B$12</f>
        <v>10.38</v>
      </c>
      <c r="BD118" s="7"/>
      <c r="BE118" s="7">
        <f>0.03*Tabelle58971115[[#This Row],[Investitionsausgaben €_2018/kW]]</f>
        <v>0.62280000000000002</v>
      </c>
      <c r="BG118" s="6">
        <v>0.04</v>
      </c>
      <c r="BI118" s="1" t="s">
        <v>479</v>
      </c>
      <c r="BJ118" s="1" t="s">
        <v>479</v>
      </c>
      <c r="BK118" s="1" t="s">
        <v>479</v>
      </c>
      <c r="BL118" s="32"/>
      <c r="BM118" s="12" t="s">
        <v>476</v>
      </c>
      <c r="BN118" s="12" t="s">
        <v>477</v>
      </c>
      <c r="BO118" s="12"/>
      <c r="BP118" s="12"/>
      <c r="BQ118" s="12"/>
      <c r="BR118" s="12"/>
      <c r="BS118" s="12"/>
      <c r="BU118" s="12"/>
      <c r="BV118" s="12" t="s">
        <v>496</v>
      </c>
      <c r="BW118" s="12"/>
      <c r="BX118" s="1" t="s">
        <v>474</v>
      </c>
      <c r="BY118" s="1" t="s">
        <v>474</v>
      </c>
      <c r="BZ118" s="1" t="s">
        <v>473</v>
      </c>
      <c r="CA118" s="1" t="s">
        <v>465</v>
      </c>
      <c r="CB118" s="1" t="s">
        <v>503</v>
      </c>
      <c r="CC118" s="1" t="s">
        <v>499</v>
      </c>
      <c r="CD118" s="1" t="s">
        <v>500</v>
      </c>
      <c r="CE118" s="1" t="s">
        <v>499</v>
      </c>
      <c r="CG118" s="1" t="s">
        <v>499</v>
      </c>
    </row>
    <row r="119" spans="1:85" x14ac:dyDescent="0.2">
      <c r="A119" s="1" t="s">
        <v>138</v>
      </c>
      <c r="B119" s="1" t="s">
        <v>142</v>
      </c>
      <c r="C119" s="1" t="e">
        <f>VLOOKUP(Tabelle58971115[[#This Row],[Prozess]],#REF!,3,FALSE)</f>
        <v>#REF!</v>
      </c>
      <c r="D119" s="1">
        <v>2020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M119" s="18"/>
      <c r="N119" s="18">
        <v>220</v>
      </c>
      <c r="O119" s="18"/>
      <c r="P119" s="18"/>
      <c r="Q119" s="18"/>
      <c r="R119" s="18">
        <v>6754</v>
      </c>
      <c r="S119" s="18"/>
      <c r="T119" s="18"/>
      <c r="U119" s="8"/>
      <c r="V119" s="8"/>
      <c r="W119" s="8">
        <v>1</v>
      </c>
      <c r="X119" s="8">
        <v>0.9</v>
      </c>
      <c r="Y119" s="8"/>
      <c r="Z119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19" s="8"/>
      <c r="AB119" s="19"/>
      <c r="AC119" s="18"/>
      <c r="AD119" s="8"/>
      <c r="AE119" s="18"/>
      <c r="AF119" s="42">
        <v>0.95</v>
      </c>
      <c r="AG119" s="8">
        <v>0.98</v>
      </c>
      <c r="AH119" s="8">
        <v>0.96</v>
      </c>
      <c r="AL119" s="1">
        <v>12</v>
      </c>
      <c r="AO119" s="1">
        <v>12</v>
      </c>
      <c r="AP119" s="1">
        <v>4</v>
      </c>
      <c r="AQ119" s="1">
        <v>12</v>
      </c>
      <c r="AR119" s="1">
        <v>8</v>
      </c>
      <c r="AS119" s="1">
        <v>0</v>
      </c>
      <c r="AT119" s="1" t="s">
        <v>380</v>
      </c>
      <c r="AU119" s="1" t="s">
        <v>276</v>
      </c>
      <c r="AX119" s="1">
        <v>1095</v>
      </c>
      <c r="AY119" s="18"/>
      <c r="AZ119" s="18"/>
      <c r="BA119" s="18">
        <f>20*Umrechnungsfaktoren!$B$15/Umrechnungsfaktoren!$B$12</f>
        <v>20.76</v>
      </c>
      <c r="BB119" s="7"/>
      <c r="BC119" s="7">
        <f>10*Umrechnungsfaktoren!$B$15/Umrechnungsfaktoren!$B$12</f>
        <v>10.38</v>
      </c>
      <c r="BD119" s="7"/>
      <c r="BE119" s="7">
        <f>0.03*Tabelle58971115[[#This Row],[Investitionsausgaben €_2018/kW]]</f>
        <v>0.62280000000000002</v>
      </c>
      <c r="BG119" s="6">
        <v>0.04</v>
      </c>
      <c r="BI119" s="1" t="s">
        <v>479</v>
      </c>
      <c r="BJ119" s="1" t="s">
        <v>479</v>
      </c>
      <c r="BK119" s="1" t="s">
        <v>479</v>
      </c>
      <c r="BL119" s="32"/>
      <c r="BM119" s="12" t="s">
        <v>470</v>
      </c>
      <c r="BN119" s="12" t="s">
        <v>470</v>
      </c>
      <c r="BO119" s="12"/>
      <c r="BP119" s="12"/>
      <c r="BQ119" s="12"/>
      <c r="BR119" s="12"/>
      <c r="BS119" s="12"/>
      <c r="BU119" s="12"/>
      <c r="BV119" s="12" t="s">
        <v>496</v>
      </c>
      <c r="BW119" s="12"/>
      <c r="BX119" s="1" t="s">
        <v>474</v>
      </c>
      <c r="BY119" s="1" t="s">
        <v>474</v>
      </c>
      <c r="BZ119" s="1" t="s">
        <v>473</v>
      </c>
      <c r="CA119" s="1" t="s">
        <v>465</v>
      </c>
      <c r="CB119" s="1" t="s">
        <v>503</v>
      </c>
      <c r="CC119" s="1" t="s">
        <v>499</v>
      </c>
      <c r="CD119" s="1" t="s">
        <v>500</v>
      </c>
      <c r="CE119" s="1" t="s">
        <v>499</v>
      </c>
      <c r="CG119" s="1" t="s">
        <v>499</v>
      </c>
    </row>
    <row r="120" spans="1:85" x14ac:dyDescent="0.2">
      <c r="A120" s="1" t="s">
        <v>138</v>
      </c>
      <c r="B120" s="1" t="s">
        <v>142</v>
      </c>
      <c r="C120" s="1" t="e">
        <f>VLOOKUP(Tabelle58971115[[#This Row],[Prozess]],#REF!,3,FALSE)</f>
        <v>#REF!</v>
      </c>
      <c r="D120" s="1">
        <v>2030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M120" s="18"/>
      <c r="N120" s="18">
        <v>188</v>
      </c>
      <c r="O120" s="18"/>
      <c r="P120" s="18"/>
      <c r="Q120" s="18"/>
      <c r="R120" s="18">
        <v>5763</v>
      </c>
      <c r="S120" s="18"/>
      <c r="T120" s="18"/>
      <c r="U120" s="8"/>
      <c r="V120" s="8"/>
      <c r="W120" s="8">
        <v>1</v>
      </c>
      <c r="X120" s="8">
        <v>0.9</v>
      </c>
      <c r="Y120" s="8"/>
      <c r="Z120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20" s="8"/>
      <c r="AB120" s="19"/>
      <c r="AC120" s="18"/>
      <c r="AD120" s="8"/>
      <c r="AE120" s="18"/>
      <c r="AF120" s="42">
        <v>0.95</v>
      </c>
      <c r="AG120" s="8">
        <v>0.98</v>
      </c>
      <c r="AH120" s="8">
        <v>0.96</v>
      </c>
      <c r="AL120" s="1">
        <v>12</v>
      </c>
      <c r="AO120" s="1">
        <v>12</v>
      </c>
      <c r="AP120" s="1">
        <v>4</v>
      </c>
      <c r="AQ120" s="1">
        <v>12</v>
      </c>
      <c r="AR120" s="1">
        <v>8</v>
      </c>
      <c r="AS120" s="1">
        <v>0</v>
      </c>
      <c r="AT120" s="1" t="s">
        <v>380</v>
      </c>
      <c r="AU120" s="1" t="s">
        <v>276</v>
      </c>
      <c r="AX120" s="1">
        <v>1095</v>
      </c>
      <c r="AY120" s="18"/>
      <c r="AZ120" s="18"/>
      <c r="BA120" s="18">
        <f>20*Umrechnungsfaktoren!$B$15/Umrechnungsfaktoren!$B$12</f>
        <v>20.76</v>
      </c>
      <c r="BB120" s="7"/>
      <c r="BC120" s="7">
        <f>10*Umrechnungsfaktoren!$B$15/Umrechnungsfaktoren!$B$12</f>
        <v>10.38</v>
      </c>
      <c r="BD120" s="7"/>
      <c r="BE120" s="7">
        <f>0.03*Tabelle58971115[[#This Row],[Investitionsausgaben €_2018/kW]]</f>
        <v>0.62280000000000002</v>
      </c>
      <c r="BG120" s="6">
        <v>0.04</v>
      </c>
      <c r="BI120" s="1" t="s">
        <v>479</v>
      </c>
      <c r="BJ120" s="1" t="s">
        <v>479</v>
      </c>
      <c r="BK120" s="1" t="s">
        <v>479</v>
      </c>
      <c r="BM120" s="12" t="s">
        <v>471</v>
      </c>
      <c r="BN120" s="12" t="s">
        <v>471</v>
      </c>
      <c r="BO120" s="12"/>
      <c r="BP120" s="12"/>
      <c r="BQ120" s="12"/>
      <c r="BR120" s="12"/>
      <c r="BS120" s="12"/>
      <c r="BU120" s="12"/>
      <c r="BV120" s="12" t="s">
        <v>496</v>
      </c>
      <c r="BW120" s="12"/>
      <c r="BX120" s="1" t="s">
        <v>474</v>
      </c>
      <c r="BY120" s="1" t="s">
        <v>474</v>
      </c>
      <c r="BZ120" s="1" t="s">
        <v>473</v>
      </c>
      <c r="CA120" s="1" t="s">
        <v>465</v>
      </c>
      <c r="CB120" s="1" t="s">
        <v>503</v>
      </c>
      <c r="CC120" s="1" t="s">
        <v>499</v>
      </c>
      <c r="CD120" s="1" t="s">
        <v>500</v>
      </c>
      <c r="CE120" s="1" t="s">
        <v>499</v>
      </c>
      <c r="CG120" s="1" t="s">
        <v>499</v>
      </c>
    </row>
    <row r="121" spans="1:85" x14ac:dyDescent="0.2">
      <c r="A121" s="1" t="s">
        <v>138</v>
      </c>
      <c r="B121" s="1" t="s">
        <v>142</v>
      </c>
      <c r="C121" s="1" t="e">
        <f>VLOOKUP(Tabelle58971115[[#This Row],[Prozess]],#REF!,3,FALSE)</f>
        <v>#REF!</v>
      </c>
      <c r="D121" s="1">
        <v>2050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M121" s="18"/>
      <c r="N121" s="18">
        <v>113</v>
      </c>
      <c r="O121" s="18"/>
      <c r="P121" s="18"/>
      <c r="Q121" s="18"/>
      <c r="R121" s="18">
        <v>3469</v>
      </c>
      <c r="S121" s="18"/>
      <c r="T121" s="18"/>
      <c r="U121" s="8"/>
      <c r="V121" s="8"/>
      <c r="W121" s="8">
        <v>1</v>
      </c>
      <c r="X121" s="8">
        <v>0.9</v>
      </c>
      <c r="Y121" s="8"/>
      <c r="Z121" s="8" t="str">
        <f>IF(AND(Tabelle58971115[[#This Row],[Durchschnittsauslastung im Betriebszeitraum]]&lt;&gt;"",Tabelle58971115[[#This Row],[Revisionszeiten]]&lt;&gt;""),Tabelle58971115[[#This Row],[Durchschnittsauslastung im Betriebszeitraum]]-Tabelle58971115[[#This Row],[Revisionszeiten]],"")</f>
        <v/>
      </c>
      <c r="AA121" s="8"/>
      <c r="AB121" s="19"/>
      <c r="AC121" s="18"/>
      <c r="AD121" s="8"/>
      <c r="AE121" s="18"/>
      <c r="AF121" s="42">
        <v>0.95</v>
      </c>
      <c r="AG121" s="8">
        <v>0.98</v>
      </c>
      <c r="AH121" s="8">
        <v>0.96</v>
      </c>
      <c r="AL121" s="1">
        <v>12</v>
      </c>
      <c r="AO121" s="1">
        <v>12</v>
      </c>
      <c r="AP121" s="1">
        <v>4</v>
      </c>
      <c r="AQ121" s="1">
        <v>12</v>
      </c>
      <c r="AR121" s="1">
        <v>8</v>
      </c>
      <c r="AS121" s="1">
        <v>0</v>
      </c>
      <c r="AT121" s="1" t="s">
        <v>380</v>
      </c>
      <c r="AU121" s="1" t="s">
        <v>276</v>
      </c>
      <c r="AX121" s="1">
        <v>1095</v>
      </c>
      <c r="AY121" s="18"/>
      <c r="AZ121" s="18"/>
      <c r="BA121" s="18">
        <f>20*Umrechnungsfaktoren!$B$15/Umrechnungsfaktoren!$B$12</f>
        <v>20.76</v>
      </c>
      <c r="BB121" s="7"/>
      <c r="BC121" s="7">
        <f>10*Umrechnungsfaktoren!$B$15/Umrechnungsfaktoren!$B$12</f>
        <v>10.38</v>
      </c>
      <c r="BD121" s="7"/>
      <c r="BE121" s="7">
        <f>0.03*Tabelle58971115[[#This Row],[Investitionsausgaben €_2018/kW]]</f>
        <v>0.62280000000000002</v>
      </c>
      <c r="BG121" s="6">
        <v>0.04</v>
      </c>
      <c r="BI121" s="1" t="s">
        <v>479</v>
      </c>
      <c r="BJ121" s="1" t="s">
        <v>479</v>
      </c>
      <c r="BK121" s="1" t="s">
        <v>479</v>
      </c>
      <c r="BM121" s="12" t="s">
        <v>472</v>
      </c>
      <c r="BN121" s="12" t="s">
        <v>472</v>
      </c>
      <c r="BO121" s="12"/>
      <c r="BP121" s="12"/>
      <c r="BQ121" s="12"/>
      <c r="BR121" s="12"/>
      <c r="BS121" s="12"/>
      <c r="BU121" s="12"/>
      <c r="BV121" s="12" t="s">
        <v>496</v>
      </c>
      <c r="BW121" s="12"/>
      <c r="BX121" s="1" t="s">
        <v>474</v>
      </c>
      <c r="BY121" s="1" t="s">
        <v>474</v>
      </c>
      <c r="BZ121" s="1" t="s">
        <v>473</v>
      </c>
      <c r="CA121" s="1" t="s">
        <v>465</v>
      </c>
      <c r="CB121" s="1" t="s">
        <v>503</v>
      </c>
      <c r="CC121" s="1" t="s">
        <v>499</v>
      </c>
      <c r="CD121" s="1" t="s">
        <v>500</v>
      </c>
      <c r="CE121" s="1" t="s">
        <v>499</v>
      </c>
      <c r="CG121" s="1" t="s">
        <v>499</v>
      </c>
    </row>
    <row r="123" spans="1:85" x14ac:dyDescent="0.2">
      <c r="A123" s="38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Dropdown!$C$2:$C$4</xm:f>
          </x14:formula1>
          <xm:sqref>B2:B121</xm:sqref>
        </x14:dataValidation>
        <x14:dataValidation type="list" allowBlank="1" showInputMessage="1" showErrorMessage="1" xr:uid="{00000000-0002-0000-0900-000001000000}">
          <x14:formula1>
            <xm:f>Dropdown!$A$2:$A$91</xm:f>
          </x14:formula1>
          <xm:sqref>A2:A121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7FB-82D0-419D-9C73-E95CE398AB5D}">
  <sheetPr codeName="Tabelle7"/>
  <dimension ref="A1:BT23"/>
  <sheetViews>
    <sheetView workbookViewId="0">
      <pane xSplit="3" ySplit="1" topLeftCell="K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baseColWidth="10" defaultColWidth="11.42578125" defaultRowHeight="12.75" x14ac:dyDescent="0.2"/>
  <cols>
    <col min="1" max="1" width="33.42578125" style="1" bestFit="1" customWidth="1"/>
    <col min="2" max="2" width="20.8554687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28.85546875" style="1" bestFit="1" customWidth="1"/>
    <col min="8" max="8" width="38.85546875" style="1" bestFit="1" customWidth="1"/>
    <col min="9" max="9" width="29.28515625" style="1" bestFit="1" customWidth="1"/>
    <col min="10" max="10" width="29.28515625" style="1" customWidth="1"/>
    <col min="11" max="13" width="24.5703125" style="1" customWidth="1"/>
    <col min="14" max="14" width="24.42578125" style="1" bestFit="1" customWidth="1"/>
    <col min="15" max="21" width="24.42578125" style="1" customWidth="1"/>
    <col min="22" max="22" width="37.7109375" style="1" bestFit="1" customWidth="1"/>
    <col min="23" max="25" width="24.7109375" style="1" customWidth="1"/>
    <col min="26" max="26" width="28.42578125" style="1" customWidth="1"/>
    <col min="27" max="27" width="27.42578125" style="1" bestFit="1" customWidth="1"/>
    <col min="28" max="29" width="27.42578125" style="1" customWidth="1"/>
    <col min="30" max="30" width="20.7109375" style="1" bestFit="1" customWidth="1"/>
    <col min="31" max="35" width="20.7109375" style="1" customWidth="1"/>
    <col min="36" max="36" width="25.85546875" style="1" bestFit="1" customWidth="1"/>
    <col min="37" max="37" width="29.7109375" style="1" bestFit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7" width="33.42578125" style="1" customWidth="1"/>
    <col min="48" max="48" width="25.7109375" style="1" bestFit="1" customWidth="1"/>
    <col min="49" max="49" width="25.7109375" style="1" customWidth="1"/>
    <col min="50" max="50" width="56.7109375" style="1" bestFit="1" customWidth="1"/>
    <col min="51" max="52" width="35.5703125" style="1" customWidth="1"/>
    <col min="53" max="53" width="31.7109375" style="1" bestFit="1" customWidth="1"/>
    <col min="54" max="54" width="31.5703125" style="1" bestFit="1" customWidth="1"/>
    <col min="55" max="59" width="31.5703125" style="1" customWidth="1"/>
    <col min="60" max="60" width="37.42578125" style="1" bestFit="1" customWidth="1"/>
    <col min="61" max="61" width="35.7109375" style="1" bestFit="1" customWidth="1"/>
    <col min="62" max="62" width="28.85546875" style="1" bestFit="1" customWidth="1"/>
    <col min="63" max="63" width="34" style="1" bestFit="1" customWidth="1"/>
    <col min="64" max="64" width="37.85546875" style="1" bestFit="1" customWidth="1"/>
    <col min="65" max="65" width="34.42578125" style="1" bestFit="1" customWidth="1"/>
    <col min="66" max="66" width="38.140625" style="1" bestFit="1" customWidth="1"/>
    <col min="67" max="67" width="22.85546875" style="1" bestFit="1" customWidth="1"/>
    <col min="68" max="68" width="28.5703125" style="1" bestFit="1" customWidth="1"/>
    <col min="69" max="69" width="28.28515625" style="1" bestFit="1" customWidth="1"/>
    <col min="70" max="70" width="28.28515625" style="1" customWidth="1"/>
    <col min="71" max="71" width="31" style="1" bestFit="1" customWidth="1"/>
    <col min="72" max="72" width="28.85546875" style="1" bestFit="1" customWidth="1"/>
    <col min="73" max="16384" width="11.42578125" style="1"/>
  </cols>
  <sheetData>
    <row r="1" spans="1:72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49</v>
      </c>
      <c r="H1" s="2" t="s">
        <v>149</v>
      </c>
      <c r="I1" s="2" t="s">
        <v>948</v>
      </c>
      <c r="J1" s="2" t="s">
        <v>949</v>
      </c>
      <c r="K1" s="2" t="s">
        <v>97</v>
      </c>
      <c r="L1" s="2" t="s">
        <v>154</v>
      </c>
      <c r="M1" s="2" t="s">
        <v>156</v>
      </c>
      <c r="N1" s="2" t="s">
        <v>950</v>
      </c>
      <c r="O1" s="2" t="s">
        <v>951</v>
      </c>
      <c r="P1" s="2" t="s">
        <v>56</v>
      </c>
      <c r="Q1" s="2" t="s">
        <v>55</v>
      </c>
      <c r="R1" s="2" t="s">
        <v>952</v>
      </c>
      <c r="S1" s="2" t="s">
        <v>953</v>
      </c>
      <c r="T1" s="2" t="s">
        <v>330</v>
      </c>
      <c r="U1" s="2" t="s">
        <v>235</v>
      </c>
      <c r="V1" s="2" t="s">
        <v>116</v>
      </c>
      <c r="W1" s="2" t="s">
        <v>954</v>
      </c>
      <c r="X1" s="2" t="s">
        <v>955</v>
      </c>
      <c r="Y1" s="2" t="s">
        <v>123</v>
      </c>
      <c r="Z1" s="2" t="s">
        <v>58</v>
      </c>
      <c r="AA1" s="2" t="s">
        <v>9</v>
      </c>
      <c r="AB1" s="2" t="s">
        <v>423</v>
      </c>
      <c r="AC1" s="2" t="s">
        <v>225</v>
      </c>
      <c r="AD1" s="2" t="s">
        <v>157</v>
      </c>
      <c r="AE1" s="2" t="s">
        <v>227</v>
      </c>
      <c r="AF1" s="2" t="s">
        <v>228</v>
      </c>
      <c r="AG1" s="2" t="s">
        <v>158</v>
      </c>
      <c r="AH1" s="2" t="s">
        <v>214</v>
      </c>
      <c r="AI1" s="2" t="s">
        <v>215</v>
      </c>
      <c r="AJ1" s="2" t="s">
        <v>956</v>
      </c>
      <c r="AK1" s="2" t="s">
        <v>957</v>
      </c>
      <c r="AL1" s="2" t="s">
        <v>16</v>
      </c>
      <c r="AM1" s="2" t="s">
        <v>4</v>
      </c>
      <c r="AN1" s="2" t="s">
        <v>99</v>
      </c>
      <c r="AO1" s="2" t="s">
        <v>183</v>
      </c>
      <c r="AP1" s="2" t="s">
        <v>182</v>
      </c>
      <c r="AQ1" s="2" t="s">
        <v>12</v>
      </c>
      <c r="AR1" s="2" t="s">
        <v>231</v>
      </c>
      <c r="AS1" s="2" t="s">
        <v>232</v>
      </c>
      <c r="AT1" s="2" t="s">
        <v>230</v>
      </c>
      <c r="AU1" s="2" t="s">
        <v>332</v>
      </c>
      <c r="AV1" s="2" t="s">
        <v>333</v>
      </c>
      <c r="AW1" s="2" t="s">
        <v>147</v>
      </c>
      <c r="AX1" s="2" t="s">
        <v>22</v>
      </c>
      <c r="AY1" s="2" t="s">
        <v>162</v>
      </c>
      <c r="AZ1" s="2" t="s">
        <v>163</v>
      </c>
      <c r="BA1" s="2" t="s">
        <v>1</v>
      </c>
      <c r="BB1" s="2" t="s">
        <v>2</v>
      </c>
      <c r="BC1" s="2" t="s">
        <v>59</v>
      </c>
      <c r="BD1" s="2" t="s">
        <v>1089</v>
      </c>
      <c r="BE1" s="2" t="s">
        <v>236</v>
      </c>
      <c r="BF1" s="2" t="s">
        <v>117</v>
      </c>
      <c r="BG1" s="2" t="s">
        <v>60</v>
      </c>
      <c r="BH1" s="2" t="s">
        <v>61</v>
      </c>
      <c r="BI1" s="2" t="s">
        <v>98</v>
      </c>
      <c r="BJ1" s="2" t="s">
        <v>5</v>
      </c>
      <c r="BK1" s="2" t="s">
        <v>6</v>
      </c>
      <c r="BL1" s="2" t="s">
        <v>17</v>
      </c>
      <c r="BM1" s="2" t="s">
        <v>18</v>
      </c>
      <c r="BN1" s="2" t="s">
        <v>7</v>
      </c>
      <c r="BO1" s="2" t="s">
        <v>19</v>
      </c>
      <c r="BP1" s="2" t="s">
        <v>20</v>
      </c>
      <c r="BQ1" s="2" t="s">
        <v>21</v>
      </c>
      <c r="BR1" s="2" t="s">
        <v>148</v>
      </c>
      <c r="BS1" s="2" t="s">
        <v>23</v>
      </c>
      <c r="BT1" s="2" t="s">
        <v>51</v>
      </c>
    </row>
    <row r="2" spans="1:72" x14ac:dyDescent="0.2">
      <c r="A2" s="54" t="s">
        <v>392</v>
      </c>
      <c r="B2" s="1" t="s">
        <v>142</v>
      </c>
      <c r="C2" s="54">
        <v>2020</v>
      </c>
      <c r="D2" s="54">
        <v>1</v>
      </c>
      <c r="E2" s="54">
        <v>0</v>
      </c>
      <c r="F2" s="54">
        <v>0</v>
      </c>
      <c r="G2" s="55"/>
      <c r="H2" s="55"/>
      <c r="I2" s="55">
        <v>400</v>
      </c>
      <c r="J2" s="55">
        <v>1000</v>
      </c>
      <c r="K2" s="55"/>
      <c r="L2" s="55"/>
      <c r="M2" s="55"/>
      <c r="N2" s="55">
        <v>400</v>
      </c>
      <c r="O2" s="55">
        <v>1000</v>
      </c>
      <c r="P2" s="55"/>
      <c r="Q2" s="56"/>
      <c r="R2" s="57">
        <v>0.08</v>
      </c>
      <c r="S2" s="57">
        <v>0.2</v>
      </c>
      <c r="T2" s="58"/>
      <c r="U2" s="57"/>
      <c r="V2" s="56"/>
      <c r="W2" s="55">
        <f>Tabelle589711142925[[#This Row],[Potenzial pos. max MW Referenz]]/Tabelle589711142925[[#This Row],[flexibilisierbarer Anteil Referenz]]</f>
        <v>5000</v>
      </c>
      <c r="X2" s="55">
        <f>Tabelle589711142925[[#This Row],[Potenzial pos. max MW optimistisch (Szenario 2)]]/Tabelle589711142925[[#This Row],[flexibilisierbarer Anteil optimistisch (Szenario 2)]]</f>
        <v>5000</v>
      </c>
      <c r="Y2" s="55"/>
      <c r="Z2" s="55"/>
      <c r="AA2" s="55"/>
      <c r="AB2" s="55"/>
      <c r="AC2" s="59"/>
      <c r="AD2" s="54"/>
      <c r="AE2" s="54"/>
      <c r="AF2" s="54"/>
      <c r="AG2" s="54"/>
      <c r="AH2" s="54"/>
      <c r="AI2" s="54"/>
      <c r="AJ2" s="54">
        <v>1</v>
      </c>
      <c r="AK2" s="54">
        <v>2</v>
      </c>
      <c r="AL2" s="54"/>
      <c r="AM2" s="59"/>
      <c r="AN2" s="54"/>
      <c r="AO2" s="55"/>
      <c r="AP2" s="55"/>
      <c r="AQ2" s="55"/>
      <c r="AR2" s="60"/>
      <c r="AS2" s="60"/>
      <c r="AT2" s="60"/>
      <c r="AU2" s="60"/>
      <c r="AV2" s="60"/>
      <c r="AW2" s="54"/>
      <c r="AX2" s="54"/>
      <c r="AY2" s="1" t="s">
        <v>930</v>
      </c>
      <c r="AZ2" s="1" t="s">
        <v>930</v>
      </c>
      <c r="BA2" s="12" t="s">
        <v>958</v>
      </c>
      <c r="BB2" s="12" t="s">
        <v>958</v>
      </c>
      <c r="BC2" s="61"/>
      <c r="BD2" s="61">
        <v>89</v>
      </c>
      <c r="BE2" s="61"/>
      <c r="BF2" s="61"/>
      <c r="BG2" s="1" t="s">
        <v>958</v>
      </c>
      <c r="BH2" s="61"/>
      <c r="BI2" s="61"/>
      <c r="BJ2" s="54"/>
      <c r="BK2" s="1" t="s">
        <v>958</v>
      </c>
      <c r="BL2" s="54"/>
      <c r="BM2" s="54"/>
      <c r="BN2" s="54"/>
      <c r="BO2" s="54"/>
      <c r="BP2" s="54"/>
      <c r="BQ2" s="54"/>
      <c r="BR2" s="54"/>
      <c r="BS2" s="54"/>
      <c r="BT2" s="54"/>
    </row>
    <row r="3" spans="1:72" x14ac:dyDescent="0.2">
      <c r="A3" s="54" t="s">
        <v>392</v>
      </c>
      <c r="B3" s="1" t="s">
        <v>142</v>
      </c>
      <c r="C3" s="54">
        <v>2030</v>
      </c>
      <c r="D3" s="54">
        <v>1</v>
      </c>
      <c r="E3" s="54">
        <v>0</v>
      </c>
      <c r="F3" s="54">
        <v>0</v>
      </c>
      <c r="G3" s="55"/>
      <c r="H3" s="55"/>
      <c r="I3" s="55">
        <v>3100</v>
      </c>
      <c r="J3" s="55">
        <v>3700</v>
      </c>
      <c r="K3" s="55"/>
      <c r="L3" s="55"/>
      <c r="M3" s="55"/>
      <c r="N3" s="55">
        <v>3100</v>
      </c>
      <c r="O3" s="55">
        <v>3700</v>
      </c>
      <c r="P3" s="55"/>
      <c r="Q3" s="56"/>
      <c r="R3" s="57">
        <v>0.23</v>
      </c>
      <c r="S3" s="57">
        <v>0.6</v>
      </c>
      <c r="T3" s="58"/>
      <c r="U3" s="57"/>
      <c r="V3" s="56"/>
      <c r="W3" s="55">
        <f>Tabelle589711142925[[#This Row],[Potenzial pos. max MW Referenz]]/Tabelle589711142925[[#This Row],[flexibilisierbarer Anteil Referenz]]</f>
        <v>13478.260869565216</v>
      </c>
      <c r="X3" s="55">
        <f>Tabelle589711142925[[#This Row],[Potenzial pos. max MW optimistisch (Szenario 2)]]/Tabelle589711142925[[#This Row],[flexibilisierbarer Anteil optimistisch (Szenario 2)]]</f>
        <v>6166.666666666667</v>
      </c>
      <c r="Y3" s="58"/>
      <c r="Z3" s="55"/>
      <c r="AA3" s="59"/>
      <c r="AB3" s="59"/>
      <c r="AC3" s="59"/>
      <c r="AD3" s="54"/>
      <c r="AE3" s="54"/>
      <c r="AF3" s="54"/>
      <c r="AG3" s="54"/>
      <c r="AH3" s="54"/>
      <c r="AI3" s="54"/>
      <c r="AJ3" s="54">
        <v>1</v>
      </c>
      <c r="AK3" s="54">
        <v>2</v>
      </c>
      <c r="AL3" s="54"/>
      <c r="AM3" s="59"/>
      <c r="AN3" s="54"/>
      <c r="AO3" s="55"/>
      <c r="AP3" s="55"/>
      <c r="AQ3" s="55"/>
      <c r="AR3" s="60"/>
      <c r="AS3" s="60"/>
      <c r="AT3" s="60"/>
      <c r="AU3" s="60"/>
      <c r="AV3" s="60"/>
      <c r="AW3" s="54"/>
      <c r="AX3" s="54"/>
      <c r="AY3" s="1" t="s">
        <v>930</v>
      </c>
      <c r="AZ3" s="1" t="s">
        <v>930</v>
      </c>
      <c r="BA3" s="12" t="s">
        <v>958</v>
      </c>
      <c r="BB3" s="12" t="s">
        <v>958</v>
      </c>
      <c r="BC3" s="61"/>
      <c r="BD3" s="61">
        <v>89</v>
      </c>
      <c r="BE3" s="61"/>
      <c r="BF3" s="61"/>
      <c r="BG3" s="1" t="s">
        <v>958</v>
      </c>
      <c r="BH3" s="61"/>
      <c r="BI3" s="61"/>
      <c r="BJ3" s="54"/>
      <c r="BK3" s="1" t="s">
        <v>958</v>
      </c>
      <c r="BL3" s="54"/>
      <c r="BM3" s="54"/>
      <c r="BN3" s="54"/>
      <c r="BO3" s="54"/>
      <c r="BP3" s="54"/>
      <c r="BQ3" s="54"/>
      <c r="BR3" s="54"/>
      <c r="BS3" s="54"/>
      <c r="BT3" s="54"/>
    </row>
    <row r="4" spans="1:72" x14ac:dyDescent="0.2">
      <c r="A4" s="54" t="s">
        <v>392</v>
      </c>
      <c r="B4" s="1" t="s">
        <v>130</v>
      </c>
      <c r="C4" s="54">
        <v>2020</v>
      </c>
      <c r="D4" s="54">
        <v>1</v>
      </c>
      <c r="E4" s="54">
        <v>0</v>
      </c>
      <c r="F4" s="54">
        <v>0</v>
      </c>
      <c r="G4" s="55"/>
      <c r="H4" s="55"/>
      <c r="I4" s="55">
        <v>300</v>
      </c>
      <c r="J4" s="55">
        <v>700</v>
      </c>
      <c r="K4" s="55"/>
      <c r="L4" s="55"/>
      <c r="M4" s="55"/>
      <c r="N4" s="55">
        <v>300</v>
      </c>
      <c r="O4" s="55">
        <v>700</v>
      </c>
      <c r="P4" s="55"/>
      <c r="Q4" s="56"/>
      <c r="R4" s="57">
        <v>0.08</v>
      </c>
      <c r="S4" s="57">
        <v>0.2</v>
      </c>
      <c r="T4" s="58"/>
      <c r="U4" s="57"/>
      <c r="V4" s="56"/>
      <c r="W4" s="55">
        <f>Tabelle589711142925[[#This Row],[Potenzial pos. max MW Referenz]]/Tabelle589711142925[[#This Row],[flexibilisierbarer Anteil Referenz]]</f>
        <v>3750</v>
      </c>
      <c r="X4" s="55">
        <f>Tabelle589711142925[[#This Row],[Potenzial pos. max MW optimistisch (Szenario 2)]]/Tabelle589711142925[[#This Row],[flexibilisierbarer Anteil optimistisch (Szenario 2)]]</f>
        <v>3500</v>
      </c>
      <c r="Y4" s="58"/>
      <c r="Z4" s="55"/>
      <c r="AA4" s="59"/>
      <c r="AB4" s="59"/>
      <c r="AC4" s="59"/>
      <c r="AD4" s="54"/>
      <c r="AE4" s="54"/>
      <c r="AF4" s="54"/>
      <c r="AG4" s="54"/>
      <c r="AH4" s="54"/>
      <c r="AI4" s="54"/>
      <c r="AJ4" s="54">
        <v>2</v>
      </c>
      <c r="AK4" s="54">
        <v>2</v>
      </c>
      <c r="AL4" s="54"/>
      <c r="AM4" s="59"/>
      <c r="AN4" s="54"/>
      <c r="AO4" s="55"/>
      <c r="AP4" s="55"/>
      <c r="AQ4" s="55"/>
      <c r="AR4" s="60"/>
      <c r="AS4" s="60"/>
      <c r="AT4" s="60"/>
      <c r="AU4" s="60"/>
      <c r="AV4" s="60"/>
      <c r="AW4" s="54"/>
      <c r="AX4" s="54"/>
      <c r="AY4" s="1" t="s">
        <v>930</v>
      </c>
      <c r="AZ4" s="1" t="s">
        <v>930</v>
      </c>
      <c r="BA4" s="12" t="s">
        <v>958</v>
      </c>
      <c r="BB4" s="12" t="s">
        <v>958</v>
      </c>
      <c r="BC4" s="61"/>
      <c r="BD4" s="61">
        <v>89</v>
      </c>
      <c r="BE4" s="61"/>
      <c r="BF4" s="61"/>
      <c r="BG4" s="1" t="s">
        <v>958</v>
      </c>
      <c r="BH4" s="61"/>
      <c r="BI4" s="61"/>
      <c r="BJ4" s="54"/>
      <c r="BK4" s="1" t="s">
        <v>958</v>
      </c>
      <c r="BL4" s="54"/>
      <c r="BM4" s="54"/>
      <c r="BN4" s="54"/>
      <c r="BO4" s="54"/>
      <c r="BP4" s="54"/>
      <c r="BQ4" s="54"/>
      <c r="BR4" s="54"/>
      <c r="BS4" s="54"/>
      <c r="BT4" s="54"/>
    </row>
    <row r="5" spans="1:72" x14ac:dyDescent="0.2">
      <c r="A5" s="54" t="s">
        <v>392</v>
      </c>
      <c r="B5" s="1" t="s">
        <v>130</v>
      </c>
      <c r="C5" s="54">
        <v>2030</v>
      </c>
      <c r="D5" s="54">
        <v>1</v>
      </c>
      <c r="E5" s="54">
        <v>0</v>
      </c>
      <c r="F5" s="54">
        <v>0</v>
      </c>
      <c r="G5" s="55"/>
      <c r="H5" s="55"/>
      <c r="I5" s="55">
        <v>800</v>
      </c>
      <c r="J5" s="55">
        <v>2100</v>
      </c>
      <c r="K5" s="55"/>
      <c r="L5" s="55"/>
      <c r="M5" s="55"/>
      <c r="N5" s="55">
        <v>800</v>
      </c>
      <c r="O5" s="55">
        <v>2100</v>
      </c>
      <c r="P5" s="55"/>
      <c r="Q5" s="56"/>
      <c r="R5" s="57">
        <v>0.23</v>
      </c>
      <c r="S5" s="57">
        <v>0.6</v>
      </c>
      <c r="T5" s="58"/>
      <c r="U5" s="57"/>
      <c r="V5" s="56"/>
      <c r="W5" s="55">
        <f>Tabelle589711142925[[#This Row],[Potenzial pos. max MW Referenz]]/Tabelle589711142925[[#This Row],[flexibilisierbarer Anteil Referenz]]</f>
        <v>3478.260869565217</v>
      </c>
      <c r="X5" s="55">
        <f>Tabelle589711142925[[#This Row],[Potenzial pos. max MW optimistisch (Szenario 2)]]/Tabelle589711142925[[#This Row],[flexibilisierbarer Anteil optimistisch (Szenario 2)]]</f>
        <v>3500</v>
      </c>
      <c r="Y5" s="58"/>
      <c r="Z5" s="55"/>
      <c r="AA5" s="59"/>
      <c r="AB5" s="59"/>
      <c r="AC5" s="59"/>
      <c r="AD5" s="54"/>
      <c r="AE5" s="54"/>
      <c r="AF5" s="54"/>
      <c r="AG5" s="54"/>
      <c r="AH5" s="54"/>
      <c r="AI5" s="54"/>
      <c r="AJ5" s="54">
        <v>2</v>
      </c>
      <c r="AK5" s="54">
        <v>2</v>
      </c>
      <c r="AL5" s="54"/>
      <c r="AM5" s="59"/>
      <c r="AN5" s="54"/>
      <c r="AO5" s="55"/>
      <c r="AP5" s="55"/>
      <c r="AQ5" s="55"/>
      <c r="AR5" s="60"/>
      <c r="AS5" s="60"/>
      <c r="AT5" s="60"/>
      <c r="AU5" s="60"/>
      <c r="AV5" s="60"/>
      <c r="AW5" s="54"/>
      <c r="AX5" s="54"/>
      <c r="AY5" s="1" t="s">
        <v>930</v>
      </c>
      <c r="AZ5" s="1" t="s">
        <v>930</v>
      </c>
      <c r="BA5" s="12" t="s">
        <v>958</v>
      </c>
      <c r="BB5" s="12" t="s">
        <v>958</v>
      </c>
      <c r="BC5" s="61"/>
      <c r="BD5" s="61">
        <v>89</v>
      </c>
      <c r="BE5" s="61"/>
      <c r="BF5" s="61"/>
      <c r="BG5" s="1" t="s">
        <v>958</v>
      </c>
      <c r="BH5" s="61"/>
      <c r="BI5" s="61"/>
      <c r="BJ5" s="54"/>
      <c r="BK5" s="1" t="s">
        <v>958</v>
      </c>
      <c r="BL5" s="54"/>
      <c r="BM5" s="54"/>
      <c r="BN5" s="54"/>
      <c r="BO5" s="54"/>
      <c r="BP5" s="54"/>
      <c r="BQ5" s="54"/>
      <c r="BR5" s="54"/>
      <c r="BS5" s="54"/>
      <c r="BT5" s="54"/>
    </row>
    <row r="6" spans="1:72" x14ac:dyDescent="0.2">
      <c r="A6" s="54" t="s">
        <v>132</v>
      </c>
      <c r="B6" s="1" t="s">
        <v>142</v>
      </c>
      <c r="C6" s="54">
        <v>2020</v>
      </c>
      <c r="D6" s="54">
        <v>1</v>
      </c>
      <c r="E6" s="54">
        <v>0</v>
      </c>
      <c r="F6" s="54">
        <v>0</v>
      </c>
      <c r="G6" s="55"/>
      <c r="H6" s="55"/>
      <c r="I6" s="55">
        <v>1000</v>
      </c>
      <c r="J6" s="55">
        <v>1800</v>
      </c>
      <c r="K6" s="55"/>
      <c r="L6" s="55"/>
      <c r="M6" s="55"/>
      <c r="N6" s="55">
        <v>1000</v>
      </c>
      <c r="O6" s="55">
        <v>1800</v>
      </c>
      <c r="P6" s="55"/>
      <c r="Q6" s="56"/>
      <c r="R6" s="57">
        <v>0.08</v>
      </c>
      <c r="S6" s="57">
        <v>0.2</v>
      </c>
      <c r="T6" s="58"/>
      <c r="U6" s="57"/>
      <c r="V6" s="56"/>
      <c r="W6" s="55">
        <f>Tabelle589711142925[[#This Row],[Potenzial pos. max MW Referenz]]/Tabelle589711142925[[#This Row],[flexibilisierbarer Anteil Referenz]]</f>
        <v>12500</v>
      </c>
      <c r="X6" s="55">
        <f>Tabelle589711142925[[#This Row],[Potenzial pos. max MW optimistisch (Szenario 2)]]/Tabelle589711142925[[#This Row],[flexibilisierbarer Anteil optimistisch (Szenario 2)]]</f>
        <v>9000</v>
      </c>
      <c r="Y6" s="58"/>
      <c r="Z6" s="55"/>
      <c r="AA6" s="59"/>
      <c r="AB6" s="59"/>
      <c r="AC6" s="59"/>
      <c r="AD6" s="54"/>
      <c r="AE6" s="54"/>
      <c r="AF6" s="54"/>
      <c r="AG6" s="54"/>
      <c r="AH6" s="54"/>
      <c r="AI6" s="54"/>
      <c r="AJ6" s="54">
        <v>1</v>
      </c>
      <c r="AK6" s="54">
        <v>3</v>
      </c>
      <c r="AL6" s="54"/>
      <c r="AM6" s="59"/>
      <c r="AN6" s="54"/>
      <c r="AO6" s="55"/>
      <c r="AP6" s="55"/>
      <c r="AQ6" s="55"/>
      <c r="AR6" s="60"/>
      <c r="AS6" s="60"/>
      <c r="AT6" s="60"/>
      <c r="AU6" s="60"/>
      <c r="AV6" s="60"/>
      <c r="AW6" s="54"/>
      <c r="AX6" s="54"/>
      <c r="AY6" s="1" t="s">
        <v>930</v>
      </c>
      <c r="AZ6" s="1" t="s">
        <v>930</v>
      </c>
      <c r="BA6" s="12" t="s">
        <v>958</v>
      </c>
      <c r="BB6" s="12" t="s">
        <v>958</v>
      </c>
      <c r="BC6" s="61"/>
      <c r="BD6" s="61">
        <v>89</v>
      </c>
      <c r="BE6" s="61"/>
      <c r="BF6" s="61"/>
      <c r="BG6" s="1" t="s">
        <v>958</v>
      </c>
      <c r="BH6" s="61"/>
      <c r="BI6" s="61"/>
      <c r="BJ6" s="54"/>
      <c r="BK6" s="1" t="s">
        <v>958</v>
      </c>
      <c r="BL6" s="54"/>
      <c r="BM6" s="54"/>
      <c r="BN6" s="54"/>
      <c r="BO6" s="54"/>
      <c r="BP6" s="54"/>
      <c r="BQ6" s="54"/>
      <c r="BR6" s="54"/>
      <c r="BS6" s="54"/>
      <c r="BT6" s="54"/>
    </row>
    <row r="7" spans="1:72" x14ac:dyDescent="0.2">
      <c r="A7" s="54" t="s">
        <v>132</v>
      </c>
      <c r="B7" s="1" t="s">
        <v>142</v>
      </c>
      <c r="C7" s="54">
        <v>2030</v>
      </c>
      <c r="D7" s="54">
        <v>1</v>
      </c>
      <c r="E7" s="54">
        <v>0</v>
      </c>
      <c r="F7" s="54">
        <v>0</v>
      </c>
      <c r="G7" s="55"/>
      <c r="H7" s="55"/>
      <c r="I7" s="55">
        <v>3000</v>
      </c>
      <c r="J7" s="55">
        <v>5000</v>
      </c>
      <c r="K7" s="55"/>
      <c r="L7" s="55"/>
      <c r="M7" s="55"/>
      <c r="N7" s="55">
        <v>3000</v>
      </c>
      <c r="O7" s="55">
        <v>5000</v>
      </c>
      <c r="P7" s="55"/>
      <c r="Q7" s="56"/>
      <c r="R7" s="57">
        <v>0.68</v>
      </c>
      <c r="S7" s="57">
        <v>0.6</v>
      </c>
      <c r="T7" s="58"/>
      <c r="U7" s="57"/>
      <c r="V7" s="56"/>
      <c r="W7" s="55">
        <f>Tabelle589711142925[[#This Row],[Potenzial pos. max MW Referenz]]/Tabelle589711142925[[#This Row],[flexibilisierbarer Anteil Referenz]]</f>
        <v>4411.7647058823522</v>
      </c>
      <c r="X7" s="55">
        <f>Tabelle589711142925[[#This Row],[Potenzial pos. max MW optimistisch (Szenario 2)]]/Tabelle589711142925[[#This Row],[flexibilisierbarer Anteil optimistisch (Szenario 2)]]</f>
        <v>8333.3333333333339</v>
      </c>
      <c r="Y7" s="58"/>
      <c r="Z7" s="55"/>
      <c r="AA7" s="59"/>
      <c r="AB7" s="59"/>
      <c r="AC7" s="59"/>
      <c r="AD7" s="54"/>
      <c r="AE7" s="54"/>
      <c r="AF7" s="54"/>
      <c r="AG7" s="54"/>
      <c r="AH7" s="54"/>
      <c r="AI7" s="54"/>
      <c r="AJ7" s="54">
        <v>1</v>
      </c>
      <c r="AK7" s="54">
        <v>3</v>
      </c>
      <c r="AL7" s="54"/>
      <c r="AM7" s="59"/>
      <c r="AN7" s="54"/>
      <c r="AO7" s="55"/>
      <c r="AP7" s="55"/>
      <c r="AQ7" s="55"/>
      <c r="AR7" s="60"/>
      <c r="AS7" s="60"/>
      <c r="AT7" s="60"/>
      <c r="AU7" s="60"/>
      <c r="AV7" s="60"/>
      <c r="AW7" s="54"/>
      <c r="AX7" s="54"/>
      <c r="AY7" s="1" t="s">
        <v>930</v>
      </c>
      <c r="AZ7" s="1" t="s">
        <v>930</v>
      </c>
      <c r="BA7" s="12" t="s">
        <v>958</v>
      </c>
      <c r="BB7" s="12" t="s">
        <v>958</v>
      </c>
      <c r="BC7" s="61"/>
      <c r="BD7" s="61">
        <v>89</v>
      </c>
      <c r="BE7" s="61"/>
      <c r="BF7" s="61"/>
      <c r="BG7" s="1" t="s">
        <v>958</v>
      </c>
      <c r="BH7" s="61"/>
      <c r="BI7" s="61"/>
      <c r="BJ7" s="54"/>
      <c r="BK7" s="1" t="s">
        <v>958</v>
      </c>
      <c r="BL7" s="54"/>
      <c r="BM7" s="54"/>
      <c r="BN7" s="54"/>
      <c r="BO7" s="54"/>
      <c r="BP7" s="54"/>
      <c r="BQ7" s="54"/>
      <c r="BR7" s="54"/>
      <c r="BS7" s="54"/>
      <c r="BT7" s="54"/>
    </row>
    <row r="8" spans="1:72" x14ac:dyDescent="0.2">
      <c r="A8" s="54" t="s">
        <v>133</v>
      </c>
      <c r="B8" s="1" t="s">
        <v>142</v>
      </c>
      <c r="C8" s="54">
        <v>2020</v>
      </c>
      <c r="D8" s="54">
        <v>1</v>
      </c>
      <c r="E8" s="54">
        <v>0</v>
      </c>
      <c r="F8" s="54">
        <v>0</v>
      </c>
      <c r="G8" s="55"/>
      <c r="H8" s="55"/>
      <c r="I8" s="55">
        <v>1100</v>
      </c>
      <c r="J8" s="55">
        <v>2000</v>
      </c>
      <c r="K8" s="55"/>
      <c r="L8" s="55"/>
      <c r="M8" s="55"/>
      <c r="N8" s="55">
        <v>1100</v>
      </c>
      <c r="O8" s="55">
        <v>2000</v>
      </c>
      <c r="P8" s="55"/>
      <c r="Q8" s="56"/>
      <c r="R8" s="57">
        <v>0.08</v>
      </c>
      <c r="S8" s="57">
        <v>0.28999999999999998</v>
      </c>
      <c r="T8" s="58"/>
      <c r="U8" s="57"/>
      <c r="V8" s="56"/>
      <c r="W8" s="55">
        <f>Tabelle589711142925[[#This Row],[Potenzial pos. max MW Referenz]]/Tabelle589711142925[[#This Row],[flexibilisierbarer Anteil Referenz]]</f>
        <v>13750</v>
      </c>
      <c r="X8" s="55">
        <f>Tabelle589711142925[[#This Row],[Potenzial pos. max MW optimistisch (Szenario 2)]]/Tabelle589711142925[[#This Row],[flexibilisierbarer Anteil optimistisch (Szenario 2)]]</f>
        <v>6896.5517241379312</v>
      </c>
      <c r="Y8" s="58"/>
      <c r="Z8" s="55"/>
      <c r="AA8" s="59"/>
      <c r="AB8" s="59"/>
      <c r="AC8" s="59"/>
      <c r="AD8" s="54"/>
      <c r="AE8" s="54"/>
      <c r="AF8" s="54"/>
      <c r="AG8" s="54"/>
      <c r="AH8" s="54"/>
      <c r="AI8" s="54"/>
      <c r="AJ8" s="54">
        <v>1</v>
      </c>
      <c r="AK8" s="54">
        <v>3</v>
      </c>
      <c r="AL8" s="54"/>
      <c r="AM8" s="59"/>
      <c r="AN8" s="54"/>
      <c r="AO8" s="55"/>
      <c r="AP8" s="55"/>
      <c r="AQ8" s="55"/>
      <c r="AR8" s="60"/>
      <c r="AS8" s="60"/>
      <c r="AT8" s="60"/>
      <c r="AU8" s="60"/>
      <c r="AV8" s="60"/>
      <c r="AW8" s="54"/>
      <c r="AX8" s="54"/>
      <c r="AY8" s="1" t="s">
        <v>930</v>
      </c>
      <c r="AZ8" s="1" t="s">
        <v>930</v>
      </c>
      <c r="BA8" s="12" t="s">
        <v>958</v>
      </c>
      <c r="BB8" s="12" t="s">
        <v>958</v>
      </c>
      <c r="BC8" s="61"/>
      <c r="BD8" s="61">
        <v>89</v>
      </c>
      <c r="BE8" s="61"/>
      <c r="BF8" s="61"/>
      <c r="BG8" s="1" t="s">
        <v>958</v>
      </c>
      <c r="BH8" s="61"/>
      <c r="BI8" s="61"/>
      <c r="BJ8" s="54"/>
      <c r="BK8" s="1" t="s">
        <v>958</v>
      </c>
      <c r="BL8" s="54"/>
      <c r="BM8" s="54"/>
      <c r="BN8" s="54"/>
      <c r="BO8" s="54"/>
      <c r="BP8" s="54"/>
      <c r="BQ8" s="54"/>
      <c r="BR8" s="54"/>
      <c r="BS8" s="54"/>
      <c r="BT8" s="54"/>
    </row>
    <row r="9" spans="1:72" x14ac:dyDescent="0.2">
      <c r="A9" s="54" t="s">
        <v>133</v>
      </c>
      <c r="B9" s="1" t="s">
        <v>142</v>
      </c>
      <c r="C9" s="54">
        <v>2030</v>
      </c>
      <c r="D9" s="54">
        <v>1</v>
      </c>
      <c r="E9" s="54">
        <v>0</v>
      </c>
      <c r="F9" s="54">
        <v>0</v>
      </c>
      <c r="G9" s="55"/>
      <c r="H9" s="55"/>
      <c r="I9" s="55">
        <v>3300</v>
      </c>
      <c r="J9" s="55">
        <v>5400</v>
      </c>
      <c r="K9" s="55"/>
      <c r="L9" s="55"/>
      <c r="M9" s="55"/>
      <c r="N9" s="55">
        <v>3300</v>
      </c>
      <c r="O9" s="55">
        <v>5400</v>
      </c>
      <c r="P9" s="55"/>
      <c r="Q9" s="56"/>
      <c r="R9" s="57">
        <v>0.68</v>
      </c>
      <c r="S9" s="57">
        <v>0.69</v>
      </c>
      <c r="T9" s="58"/>
      <c r="U9" s="57"/>
      <c r="V9" s="56"/>
      <c r="W9" s="55">
        <f>Tabelle589711142925[[#This Row],[Potenzial pos. max MW Referenz]]/Tabelle589711142925[[#This Row],[flexibilisierbarer Anteil Referenz]]</f>
        <v>4852.9411764705883</v>
      </c>
      <c r="X9" s="55">
        <f>Tabelle589711142925[[#This Row],[Potenzial pos. max MW optimistisch (Szenario 2)]]/Tabelle589711142925[[#This Row],[flexibilisierbarer Anteil optimistisch (Szenario 2)]]</f>
        <v>7826.0869565217399</v>
      </c>
      <c r="Y9" s="58"/>
      <c r="Z9" s="55"/>
      <c r="AA9" s="59"/>
      <c r="AB9" s="59"/>
      <c r="AC9" s="59"/>
      <c r="AD9" s="54"/>
      <c r="AE9" s="54"/>
      <c r="AF9" s="54"/>
      <c r="AG9" s="54"/>
      <c r="AH9" s="54"/>
      <c r="AI9" s="54"/>
      <c r="AJ9" s="54">
        <v>1</v>
      </c>
      <c r="AK9" s="54">
        <v>3</v>
      </c>
      <c r="AL9" s="54"/>
      <c r="AM9" s="59"/>
      <c r="AN9" s="54"/>
      <c r="AO9" s="55"/>
      <c r="AP9" s="55"/>
      <c r="AQ9" s="55"/>
      <c r="AR9" s="60"/>
      <c r="AS9" s="60"/>
      <c r="AT9" s="60"/>
      <c r="AU9" s="60"/>
      <c r="AV9" s="60"/>
      <c r="AW9" s="54"/>
      <c r="AX9" s="54"/>
      <c r="AY9" s="1" t="s">
        <v>930</v>
      </c>
      <c r="AZ9" s="1" t="s">
        <v>930</v>
      </c>
      <c r="BA9" s="12" t="s">
        <v>958</v>
      </c>
      <c r="BB9" s="12" t="s">
        <v>958</v>
      </c>
      <c r="BC9" s="61"/>
      <c r="BD9" s="61">
        <v>89</v>
      </c>
      <c r="BE9" s="61"/>
      <c r="BF9" s="61"/>
      <c r="BG9" s="1" t="s">
        <v>958</v>
      </c>
      <c r="BH9" s="61"/>
      <c r="BI9" s="61"/>
      <c r="BJ9" s="54"/>
      <c r="BK9" s="1" t="s">
        <v>958</v>
      </c>
      <c r="BL9" s="54"/>
      <c r="BM9" s="54"/>
      <c r="BN9" s="54"/>
      <c r="BO9" s="54"/>
      <c r="BP9" s="54"/>
      <c r="BQ9" s="54"/>
      <c r="BR9" s="54"/>
      <c r="BS9" s="54"/>
      <c r="BT9" s="54"/>
    </row>
    <row r="10" spans="1:72" x14ac:dyDescent="0.2">
      <c r="A10" s="54" t="s">
        <v>286</v>
      </c>
      <c r="B10" s="1" t="s">
        <v>142</v>
      </c>
      <c r="C10" s="54">
        <v>2020</v>
      </c>
      <c r="D10" s="54">
        <v>1</v>
      </c>
      <c r="E10" s="54">
        <v>0</v>
      </c>
      <c r="F10" s="54">
        <v>0</v>
      </c>
      <c r="G10" s="55"/>
      <c r="H10" s="55"/>
      <c r="I10" s="55">
        <v>2000</v>
      </c>
      <c r="J10" s="55">
        <v>3500</v>
      </c>
      <c r="K10" s="55"/>
      <c r="L10" s="55"/>
      <c r="M10" s="55"/>
      <c r="N10" s="55">
        <v>2000</v>
      </c>
      <c r="O10" s="55">
        <v>3500</v>
      </c>
      <c r="P10" s="55"/>
      <c r="Q10" s="56"/>
      <c r="R10" s="57">
        <v>0.08</v>
      </c>
      <c r="S10" s="57">
        <v>0.2</v>
      </c>
      <c r="T10" s="58"/>
      <c r="U10" s="57"/>
      <c r="V10" s="56"/>
      <c r="W10" s="55">
        <f>Tabelle589711142925[[#This Row],[Potenzial pos. max MW Referenz]]/Tabelle589711142925[[#This Row],[flexibilisierbarer Anteil Referenz]]</f>
        <v>25000</v>
      </c>
      <c r="X10" s="55">
        <f>Tabelle589711142925[[#This Row],[Potenzial pos. max MW optimistisch (Szenario 2)]]/Tabelle589711142925[[#This Row],[flexibilisierbarer Anteil optimistisch (Szenario 2)]]</f>
        <v>17500</v>
      </c>
      <c r="Y10" s="58"/>
      <c r="Z10" s="55"/>
      <c r="AA10" s="59"/>
      <c r="AB10" s="59"/>
      <c r="AC10" s="59"/>
      <c r="AD10" s="54"/>
      <c r="AE10" s="54"/>
      <c r="AF10" s="54"/>
      <c r="AG10" s="54"/>
      <c r="AH10" s="54"/>
      <c r="AI10" s="54"/>
      <c r="AJ10" s="54">
        <v>6</v>
      </c>
      <c r="AK10" s="54">
        <v>12</v>
      </c>
      <c r="AL10" s="54"/>
      <c r="AM10" s="59"/>
      <c r="AN10" s="54"/>
      <c r="AO10" s="55"/>
      <c r="AP10" s="55"/>
      <c r="AQ10" s="55"/>
      <c r="AR10" s="60"/>
      <c r="AS10" s="60"/>
      <c r="AT10" s="60"/>
      <c r="AU10" s="60"/>
      <c r="AV10" s="60"/>
      <c r="AW10" s="54"/>
      <c r="AX10" s="54"/>
      <c r="AY10" s="1" t="s">
        <v>930</v>
      </c>
      <c r="AZ10" s="1" t="s">
        <v>930</v>
      </c>
      <c r="BA10" s="12" t="s">
        <v>958</v>
      </c>
      <c r="BB10" s="12" t="s">
        <v>958</v>
      </c>
      <c r="BC10" s="61"/>
      <c r="BD10" s="61">
        <v>89</v>
      </c>
      <c r="BE10" s="61"/>
      <c r="BF10" s="61"/>
      <c r="BG10" s="1" t="s">
        <v>958</v>
      </c>
      <c r="BH10" s="61"/>
      <c r="BI10" s="61"/>
      <c r="BJ10" s="54"/>
      <c r="BK10" s="1" t="s">
        <v>958</v>
      </c>
      <c r="BL10" s="54"/>
      <c r="BM10" s="54"/>
      <c r="BN10" s="54"/>
      <c r="BO10" s="54"/>
      <c r="BP10" s="54"/>
      <c r="BQ10" s="54"/>
      <c r="BR10" s="54"/>
      <c r="BS10" s="54"/>
      <c r="BT10" s="54"/>
    </row>
    <row r="11" spans="1:72" x14ac:dyDescent="0.2">
      <c r="A11" s="54" t="s">
        <v>286</v>
      </c>
      <c r="B11" s="1" t="s">
        <v>142</v>
      </c>
      <c r="C11" s="54">
        <v>2030</v>
      </c>
      <c r="D11" s="54">
        <v>1</v>
      </c>
      <c r="E11" s="54">
        <v>0</v>
      </c>
      <c r="F11" s="54">
        <v>0</v>
      </c>
      <c r="G11" s="55"/>
      <c r="H11" s="55"/>
      <c r="I11" s="55">
        <v>5900</v>
      </c>
      <c r="J11" s="55">
        <v>9600</v>
      </c>
      <c r="K11" s="55"/>
      <c r="L11" s="55"/>
      <c r="M11" s="55"/>
      <c r="N11" s="55">
        <v>5900</v>
      </c>
      <c r="O11" s="55">
        <v>9600</v>
      </c>
      <c r="P11" s="55"/>
      <c r="Q11" s="56"/>
      <c r="R11" s="57">
        <v>0.68</v>
      </c>
      <c r="S11" s="57">
        <v>0.6</v>
      </c>
      <c r="T11" s="58"/>
      <c r="U11" s="57"/>
      <c r="V11" s="56"/>
      <c r="W11" s="55">
        <f>Tabelle589711142925[[#This Row],[Potenzial pos. max MW Referenz]]/Tabelle589711142925[[#This Row],[flexibilisierbarer Anteil Referenz]]</f>
        <v>8676.4705882352937</v>
      </c>
      <c r="X11" s="55">
        <f>Tabelle589711142925[[#This Row],[Potenzial pos. max MW optimistisch (Szenario 2)]]/Tabelle589711142925[[#This Row],[flexibilisierbarer Anteil optimistisch (Szenario 2)]]</f>
        <v>16000</v>
      </c>
      <c r="Y11" s="58"/>
      <c r="Z11" s="55"/>
      <c r="AA11" s="59"/>
      <c r="AB11" s="59"/>
      <c r="AC11" s="59"/>
      <c r="AD11" s="54"/>
      <c r="AE11" s="54"/>
      <c r="AF11" s="54"/>
      <c r="AG11" s="54"/>
      <c r="AH11" s="54"/>
      <c r="AI11" s="54"/>
      <c r="AJ11" s="54">
        <v>6</v>
      </c>
      <c r="AK11" s="54">
        <v>12</v>
      </c>
      <c r="AL11" s="54"/>
      <c r="AM11" s="59"/>
      <c r="AN11" s="54"/>
      <c r="AO11" s="55"/>
      <c r="AP11" s="55"/>
      <c r="AQ11" s="55"/>
      <c r="AR11" s="60"/>
      <c r="AS11" s="60"/>
      <c r="AT11" s="60"/>
      <c r="AU11" s="60"/>
      <c r="AV11" s="60"/>
      <c r="AW11" s="54"/>
      <c r="AX11" s="54"/>
      <c r="AY11" s="1" t="s">
        <v>930</v>
      </c>
      <c r="AZ11" s="1" t="s">
        <v>930</v>
      </c>
      <c r="BA11" s="12" t="s">
        <v>958</v>
      </c>
      <c r="BB11" s="12" t="s">
        <v>958</v>
      </c>
      <c r="BC11" s="61"/>
      <c r="BD11" s="61">
        <v>89</v>
      </c>
      <c r="BE11" s="61"/>
      <c r="BF11" s="61"/>
      <c r="BG11" s="1" t="s">
        <v>958</v>
      </c>
      <c r="BH11" s="61"/>
      <c r="BI11" s="61"/>
      <c r="BJ11" s="54"/>
      <c r="BK11" s="1" t="s">
        <v>958</v>
      </c>
      <c r="BL11" s="54"/>
      <c r="BM11" s="54"/>
      <c r="BN11" s="54"/>
      <c r="BO11" s="54"/>
      <c r="BP11" s="54"/>
      <c r="BQ11" s="54"/>
      <c r="BR11" s="54"/>
      <c r="BS11" s="54"/>
      <c r="BT11" s="54"/>
    </row>
    <row r="12" spans="1:72" x14ac:dyDescent="0.2">
      <c r="A12" s="54" t="s">
        <v>141</v>
      </c>
      <c r="B12" s="1" t="s">
        <v>142</v>
      </c>
      <c r="C12" s="54">
        <v>2020</v>
      </c>
      <c r="D12" s="54">
        <v>1</v>
      </c>
      <c r="E12" s="54">
        <v>0</v>
      </c>
      <c r="F12" s="54">
        <v>0</v>
      </c>
      <c r="G12" s="55"/>
      <c r="H12" s="55"/>
      <c r="I12" s="55">
        <v>14600</v>
      </c>
      <c r="J12" s="55">
        <v>9700</v>
      </c>
      <c r="K12" s="55"/>
      <c r="L12" s="55"/>
      <c r="M12" s="55"/>
      <c r="N12" s="55">
        <v>14600</v>
      </c>
      <c r="O12" s="55">
        <v>9700</v>
      </c>
      <c r="P12" s="55"/>
      <c r="Q12" s="56"/>
      <c r="R12" s="57">
        <v>1</v>
      </c>
      <c r="S12" s="57">
        <v>1</v>
      </c>
      <c r="T12" s="58"/>
      <c r="U12" s="57"/>
      <c r="V12" s="56"/>
      <c r="W12" s="55">
        <f>Tabelle589711142925[[#This Row],[Potenzial pos. max MW Referenz]]/Tabelle589711142925[[#This Row],[flexibilisierbarer Anteil Referenz]]</f>
        <v>14600</v>
      </c>
      <c r="X12" s="55">
        <f>Tabelle589711142925[[#This Row],[Potenzial pos. max MW optimistisch (Szenario 2)]]/Tabelle589711142925[[#This Row],[flexibilisierbarer Anteil optimistisch (Szenario 2)]]</f>
        <v>9700</v>
      </c>
      <c r="Y12" s="58"/>
      <c r="Z12" s="55"/>
      <c r="AA12" s="59"/>
      <c r="AB12" s="59"/>
      <c r="AC12" s="59"/>
      <c r="AD12" s="54"/>
      <c r="AE12" s="54"/>
      <c r="AF12" s="54"/>
      <c r="AG12" s="54"/>
      <c r="AH12" s="54"/>
      <c r="AI12" s="54"/>
      <c r="AJ12" s="54">
        <v>18</v>
      </c>
      <c r="AK12" s="54">
        <v>18</v>
      </c>
      <c r="AL12" s="54"/>
      <c r="AM12" s="59"/>
      <c r="AN12" s="54"/>
      <c r="AO12" s="55"/>
      <c r="AP12" s="55"/>
      <c r="AQ12" s="55"/>
      <c r="AR12" s="60"/>
      <c r="AS12" s="60"/>
      <c r="AT12" s="60"/>
      <c r="AU12" s="60"/>
      <c r="AV12" s="60"/>
      <c r="AW12" s="54"/>
      <c r="AX12" s="54"/>
      <c r="AY12" s="1" t="s">
        <v>930</v>
      </c>
      <c r="AZ12" s="1" t="s">
        <v>930</v>
      </c>
      <c r="BA12" s="12" t="s">
        <v>958</v>
      </c>
      <c r="BB12" s="12" t="s">
        <v>958</v>
      </c>
      <c r="BC12" s="61"/>
      <c r="BD12" s="61">
        <v>89</v>
      </c>
      <c r="BE12" s="61"/>
      <c r="BF12" s="61"/>
      <c r="BG12" s="1" t="s">
        <v>958</v>
      </c>
      <c r="BH12" s="61"/>
      <c r="BI12" s="61"/>
      <c r="BJ12" s="54"/>
      <c r="BK12" s="1" t="s">
        <v>958</v>
      </c>
      <c r="BL12" s="54"/>
      <c r="BM12" s="54"/>
      <c r="BN12" s="54"/>
      <c r="BO12" s="54"/>
      <c r="BP12" s="54"/>
      <c r="BQ12" s="54"/>
      <c r="BR12" s="54"/>
      <c r="BS12" s="54"/>
      <c r="BT12" s="54"/>
    </row>
    <row r="13" spans="1:72" x14ac:dyDescent="0.2">
      <c r="A13" s="54" t="s">
        <v>141</v>
      </c>
      <c r="B13" s="1" t="s">
        <v>142</v>
      </c>
      <c r="C13" s="54">
        <v>2030</v>
      </c>
      <c r="D13" s="54">
        <v>1</v>
      </c>
      <c r="E13" s="54">
        <v>0</v>
      </c>
      <c r="F13" s="54">
        <v>0</v>
      </c>
      <c r="G13" s="55"/>
      <c r="H13" s="55"/>
      <c r="I13" s="55">
        <v>9200</v>
      </c>
      <c r="J13" s="55">
        <v>6000</v>
      </c>
      <c r="K13" s="55"/>
      <c r="L13" s="55"/>
      <c r="M13" s="55"/>
      <c r="N13" s="55">
        <v>9200</v>
      </c>
      <c r="O13" s="55">
        <v>6000</v>
      </c>
      <c r="P13" s="55"/>
      <c r="Q13" s="56"/>
      <c r="R13" s="57">
        <v>1</v>
      </c>
      <c r="S13" s="57">
        <v>1</v>
      </c>
      <c r="T13" s="58"/>
      <c r="U13" s="57"/>
      <c r="V13" s="56"/>
      <c r="W13" s="55">
        <f>Tabelle589711142925[[#This Row],[Potenzial pos. max MW Referenz]]/Tabelle589711142925[[#This Row],[flexibilisierbarer Anteil Referenz]]</f>
        <v>9200</v>
      </c>
      <c r="X13" s="55">
        <f>Tabelle589711142925[[#This Row],[Potenzial pos. max MW optimistisch (Szenario 2)]]/Tabelle589711142925[[#This Row],[flexibilisierbarer Anteil optimistisch (Szenario 2)]]</f>
        <v>6000</v>
      </c>
      <c r="Y13" s="58"/>
      <c r="Z13" s="55"/>
      <c r="AA13" s="59"/>
      <c r="AB13" s="59"/>
      <c r="AC13" s="59"/>
      <c r="AD13" s="54"/>
      <c r="AE13" s="54"/>
      <c r="AF13" s="54"/>
      <c r="AG13" s="54"/>
      <c r="AH13" s="54"/>
      <c r="AI13" s="54"/>
      <c r="AJ13" s="54">
        <v>18</v>
      </c>
      <c r="AK13" s="54">
        <v>18</v>
      </c>
      <c r="AL13" s="54"/>
      <c r="AM13" s="59"/>
      <c r="AN13" s="54"/>
      <c r="AO13" s="55"/>
      <c r="AP13" s="55"/>
      <c r="AQ13" s="55"/>
      <c r="AR13" s="60"/>
      <c r="AS13" s="60"/>
      <c r="AT13" s="60"/>
      <c r="AU13" s="60"/>
      <c r="AV13" s="60"/>
      <c r="AW13" s="54"/>
      <c r="AX13" s="54"/>
      <c r="AY13" s="1" t="s">
        <v>930</v>
      </c>
      <c r="AZ13" s="1" t="s">
        <v>930</v>
      </c>
      <c r="BA13" s="12" t="s">
        <v>958</v>
      </c>
      <c r="BB13" s="12" t="s">
        <v>958</v>
      </c>
      <c r="BC13" s="61"/>
      <c r="BD13" s="61">
        <v>89</v>
      </c>
      <c r="BE13" s="61"/>
      <c r="BF13" s="61"/>
      <c r="BG13" s="1" t="s">
        <v>958</v>
      </c>
      <c r="BH13" s="61"/>
      <c r="BI13" s="61"/>
      <c r="BJ13" s="54"/>
      <c r="BK13" s="1" t="s">
        <v>958</v>
      </c>
      <c r="BL13" s="54"/>
      <c r="BM13" s="54"/>
      <c r="BN13" s="54"/>
      <c r="BO13" s="54"/>
      <c r="BP13" s="54"/>
      <c r="BQ13" s="54"/>
      <c r="BR13" s="54"/>
      <c r="BS13" s="54"/>
      <c r="BT13" s="54"/>
    </row>
    <row r="14" spans="1:72" x14ac:dyDescent="0.2">
      <c r="A14" s="54" t="s">
        <v>137</v>
      </c>
      <c r="B14" s="1" t="s">
        <v>142</v>
      </c>
      <c r="C14" s="54">
        <v>2020</v>
      </c>
      <c r="D14" s="54">
        <v>1</v>
      </c>
      <c r="E14" s="54">
        <v>0</v>
      </c>
      <c r="F14" s="54">
        <v>0</v>
      </c>
      <c r="G14" s="55"/>
      <c r="H14" s="55"/>
      <c r="I14" s="55">
        <v>5700</v>
      </c>
      <c r="J14" s="55">
        <v>4300</v>
      </c>
      <c r="K14" s="55"/>
      <c r="L14" s="55"/>
      <c r="M14" s="55"/>
      <c r="N14" s="55">
        <v>5700</v>
      </c>
      <c r="O14" s="55">
        <v>4300</v>
      </c>
      <c r="P14" s="55"/>
      <c r="Q14" s="56"/>
      <c r="R14" s="57">
        <v>1</v>
      </c>
      <c r="S14" s="57">
        <v>1</v>
      </c>
      <c r="T14" s="58"/>
      <c r="U14" s="57"/>
      <c r="V14" s="56"/>
      <c r="W14" s="55">
        <f>Tabelle589711142925[[#This Row],[Potenzial pos. max MW Referenz]]/Tabelle589711142925[[#This Row],[flexibilisierbarer Anteil Referenz]]</f>
        <v>5700</v>
      </c>
      <c r="X14" s="55">
        <f>Tabelle589711142925[[#This Row],[Potenzial pos. max MW optimistisch (Szenario 2)]]/Tabelle589711142925[[#This Row],[flexibilisierbarer Anteil optimistisch (Szenario 2)]]</f>
        <v>4300</v>
      </c>
      <c r="Y14" s="58"/>
      <c r="Z14" s="55"/>
      <c r="AA14" s="59"/>
      <c r="AB14" s="59"/>
      <c r="AC14" s="59"/>
      <c r="AD14" s="54"/>
      <c r="AE14" s="54"/>
      <c r="AF14" s="54"/>
      <c r="AG14" s="54"/>
      <c r="AH14" s="54"/>
      <c r="AI14" s="54"/>
      <c r="AJ14" s="54">
        <v>1</v>
      </c>
      <c r="AK14" s="54">
        <v>4</v>
      </c>
      <c r="AL14" s="54"/>
      <c r="AM14" s="59"/>
      <c r="AN14" s="54"/>
      <c r="AO14" s="55"/>
      <c r="AP14" s="55"/>
      <c r="AQ14" s="55"/>
      <c r="AR14" s="60"/>
      <c r="AS14" s="60"/>
      <c r="AT14" s="60"/>
      <c r="AU14" s="60"/>
      <c r="AV14" s="60"/>
      <c r="AW14" s="54"/>
      <c r="AX14" s="54"/>
      <c r="AY14" s="1" t="s">
        <v>930</v>
      </c>
      <c r="AZ14" s="1" t="s">
        <v>930</v>
      </c>
      <c r="BA14" s="12" t="s">
        <v>958</v>
      </c>
      <c r="BB14" s="12" t="s">
        <v>958</v>
      </c>
      <c r="BC14" s="61"/>
      <c r="BD14" s="61">
        <v>89</v>
      </c>
      <c r="BE14" s="61"/>
      <c r="BF14" s="61"/>
      <c r="BG14" s="1" t="s">
        <v>958</v>
      </c>
      <c r="BH14" s="61"/>
      <c r="BI14" s="61"/>
      <c r="BJ14" s="54"/>
      <c r="BK14" s="1" t="s">
        <v>958</v>
      </c>
      <c r="BL14" s="54"/>
      <c r="BM14" s="54"/>
      <c r="BN14" s="54"/>
      <c r="BO14" s="54"/>
      <c r="BP14" s="54"/>
      <c r="BQ14" s="54"/>
      <c r="BR14" s="54"/>
      <c r="BS14" s="54"/>
      <c r="BT14" s="54"/>
    </row>
    <row r="15" spans="1:72" x14ac:dyDescent="0.2">
      <c r="A15" s="54" t="s">
        <v>137</v>
      </c>
      <c r="B15" s="1" t="s">
        <v>142</v>
      </c>
      <c r="C15" s="54">
        <v>2030</v>
      </c>
      <c r="D15" s="54">
        <v>1</v>
      </c>
      <c r="E15" s="54">
        <v>0</v>
      </c>
      <c r="F15" s="54">
        <v>0</v>
      </c>
      <c r="G15" s="55"/>
      <c r="H15" s="55"/>
      <c r="I15" s="55">
        <v>8000</v>
      </c>
      <c r="J15" s="55">
        <v>4600</v>
      </c>
      <c r="K15" s="55"/>
      <c r="L15" s="55"/>
      <c r="M15" s="55"/>
      <c r="N15" s="55">
        <v>8000</v>
      </c>
      <c r="O15" s="55">
        <v>4600</v>
      </c>
      <c r="P15" s="55"/>
      <c r="Q15" s="56"/>
      <c r="R15" s="57">
        <v>1</v>
      </c>
      <c r="S15" s="57">
        <v>1</v>
      </c>
      <c r="T15" s="58"/>
      <c r="U15" s="57"/>
      <c r="V15" s="56"/>
      <c r="W15" s="55">
        <f>Tabelle589711142925[[#This Row],[Potenzial pos. max MW Referenz]]/Tabelle589711142925[[#This Row],[flexibilisierbarer Anteil Referenz]]</f>
        <v>8000</v>
      </c>
      <c r="X15" s="55">
        <f>Tabelle589711142925[[#This Row],[Potenzial pos. max MW optimistisch (Szenario 2)]]/Tabelle589711142925[[#This Row],[flexibilisierbarer Anteil optimistisch (Szenario 2)]]</f>
        <v>4600</v>
      </c>
      <c r="Y15" s="58"/>
      <c r="Z15" s="55"/>
      <c r="AA15" s="59"/>
      <c r="AB15" s="59"/>
      <c r="AC15" s="59"/>
      <c r="AD15" s="54"/>
      <c r="AE15" s="54"/>
      <c r="AF15" s="54"/>
      <c r="AG15" s="54"/>
      <c r="AH15" s="54"/>
      <c r="AI15" s="54"/>
      <c r="AJ15" s="54">
        <v>1</v>
      </c>
      <c r="AK15" s="54">
        <v>4</v>
      </c>
      <c r="AL15" s="54"/>
      <c r="AM15" s="59"/>
      <c r="AN15" s="54"/>
      <c r="AO15" s="55"/>
      <c r="AP15" s="55"/>
      <c r="AQ15" s="55"/>
      <c r="AR15" s="60"/>
      <c r="AS15" s="60"/>
      <c r="AT15" s="60"/>
      <c r="AU15" s="60"/>
      <c r="AV15" s="60"/>
      <c r="AW15" s="54"/>
      <c r="AX15" s="54"/>
      <c r="AY15" s="1" t="s">
        <v>930</v>
      </c>
      <c r="AZ15" s="1" t="s">
        <v>930</v>
      </c>
      <c r="BA15" s="12" t="s">
        <v>958</v>
      </c>
      <c r="BB15" s="12" t="s">
        <v>958</v>
      </c>
      <c r="BC15" s="61"/>
      <c r="BD15" s="61">
        <v>89</v>
      </c>
      <c r="BE15" s="61"/>
      <c r="BF15" s="61"/>
      <c r="BG15" s="1" t="s">
        <v>958</v>
      </c>
      <c r="BH15" s="61"/>
      <c r="BI15" s="61"/>
      <c r="BJ15" s="54"/>
      <c r="BK15" s="1" t="s">
        <v>958</v>
      </c>
      <c r="BL15" s="54"/>
      <c r="BM15" s="54"/>
      <c r="BN15" s="54"/>
      <c r="BO15" s="54"/>
      <c r="BP15" s="54"/>
      <c r="BQ15" s="54"/>
      <c r="BR15" s="54"/>
      <c r="BS15" s="54"/>
      <c r="BT15" s="54"/>
    </row>
    <row r="16" spans="1:72" x14ac:dyDescent="0.2">
      <c r="A16" s="54" t="s">
        <v>138</v>
      </c>
      <c r="B16" s="1" t="s">
        <v>142</v>
      </c>
      <c r="C16" s="54">
        <v>2020</v>
      </c>
      <c r="D16" s="54">
        <v>1</v>
      </c>
      <c r="E16" s="54">
        <v>0</v>
      </c>
      <c r="F16" s="54">
        <v>0</v>
      </c>
      <c r="G16" s="55"/>
      <c r="H16" s="55"/>
      <c r="I16" s="55">
        <v>8800</v>
      </c>
      <c r="J16" s="55">
        <v>5400</v>
      </c>
      <c r="K16" s="55"/>
      <c r="L16" s="55"/>
      <c r="M16" s="55"/>
      <c r="N16" s="55">
        <v>8800</v>
      </c>
      <c r="O16" s="55">
        <v>5400</v>
      </c>
      <c r="P16" s="55"/>
      <c r="Q16" s="56"/>
      <c r="R16" s="57">
        <v>1</v>
      </c>
      <c r="S16" s="57">
        <v>1</v>
      </c>
      <c r="T16" s="58"/>
      <c r="U16" s="57"/>
      <c r="V16" s="56"/>
      <c r="W16" s="55">
        <f>Tabelle589711142925[[#This Row],[Potenzial pos. max MW Referenz]]/Tabelle589711142925[[#This Row],[flexibilisierbarer Anteil Referenz]]</f>
        <v>8800</v>
      </c>
      <c r="X16" s="55">
        <f>Tabelle589711142925[[#This Row],[Potenzial pos. max MW optimistisch (Szenario 2)]]/Tabelle589711142925[[#This Row],[flexibilisierbarer Anteil optimistisch (Szenario 2)]]</f>
        <v>5400</v>
      </c>
      <c r="Y16" s="58"/>
      <c r="Z16" s="55"/>
      <c r="AA16" s="59"/>
      <c r="AB16" s="59"/>
      <c r="AC16" s="59"/>
      <c r="AD16" s="54"/>
      <c r="AE16" s="54"/>
      <c r="AF16" s="54"/>
      <c r="AG16" s="54"/>
      <c r="AH16" s="54"/>
      <c r="AI16" s="54"/>
      <c r="AJ16" s="54">
        <v>18</v>
      </c>
      <c r="AK16" s="54">
        <v>18</v>
      </c>
      <c r="AL16" s="54"/>
      <c r="AM16" s="59"/>
      <c r="AN16" s="54"/>
      <c r="AO16" s="55"/>
      <c r="AP16" s="55"/>
      <c r="AQ16" s="55"/>
      <c r="AR16" s="60"/>
      <c r="AS16" s="60"/>
      <c r="AT16" s="60"/>
      <c r="AU16" s="60"/>
      <c r="AV16" s="60"/>
      <c r="AW16" s="54"/>
      <c r="AX16" s="54"/>
      <c r="AY16" s="1" t="s">
        <v>930</v>
      </c>
      <c r="AZ16" s="1" t="s">
        <v>930</v>
      </c>
      <c r="BA16" s="12" t="s">
        <v>958</v>
      </c>
      <c r="BB16" s="12" t="s">
        <v>958</v>
      </c>
      <c r="BC16" s="61"/>
      <c r="BD16" s="61">
        <v>89</v>
      </c>
      <c r="BE16" s="61"/>
      <c r="BF16" s="61"/>
      <c r="BG16" s="1" t="s">
        <v>958</v>
      </c>
      <c r="BH16" s="61"/>
      <c r="BI16" s="61"/>
      <c r="BJ16" s="54"/>
      <c r="BK16" s="1" t="s">
        <v>958</v>
      </c>
      <c r="BL16" s="54"/>
      <c r="BM16" s="54"/>
      <c r="BN16" s="54"/>
      <c r="BO16" s="54"/>
      <c r="BP16" s="54"/>
      <c r="BQ16" s="54"/>
      <c r="BR16" s="54"/>
      <c r="BS16" s="54"/>
      <c r="BT16" s="54"/>
    </row>
    <row r="17" spans="1:72" x14ac:dyDescent="0.2">
      <c r="A17" s="54" t="s">
        <v>138</v>
      </c>
      <c r="B17" s="1" t="s">
        <v>142</v>
      </c>
      <c r="C17" s="54">
        <v>2030</v>
      </c>
      <c r="D17" s="54">
        <v>1</v>
      </c>
      <c r="E17" s="54">
        <v>0</v>
      </c>
      <c r="F17" s="54">
        <v>0</v>
      </c>
      <c r="G17" s="55"/>
      <c r="H17" s="55"/>
      <c r="I17" s="55">
        <v>6300</v>
      </c>
      <c r="J17" s="55">
        <v>3200</v>
      </c>
      <c r="K17" s="55"/>
      <c r="L17" s="55"/>
      <c r="M17" s="55"/>
      <c r="N17" s="55">
        <v>6300</v>
      </c>
      <c r="O17" s="55">
        <v>3200</v>
      </c>
      <c r="P17" s="55"/>
      <c r="Q17" s="56"/>
      <c r="R17" s="57">
        <v>1</v>
      </c>
      <c r="S17" s="57">
        <v>1</v>
      </c>
      <c r="T17" s="58"/>
      <c r="U17" s="57"/>
      <c r="V17" s="56"/>
      <c r="W17" s="55">
        <f>Tabelle589711142925[[#This Row],[Potenzial pos. max MW Referenz]]/Tabelle589711142925[[#This Row],[flexibilisierbarer Anteil Referenz]]</f>
        <v>6300</v>
      </c>
      <c r="X17" s="55">
        <f>Tabelle589711142925[[#This Row],[Potenzial pos. max MW optimistisch (Szenario 2)]]/Tabelle589711142925[[#This Row],[flexibilisierbarer Anteil optimistisch (Szenario 2)]]</f>
        <v>3200</v>
      </c>
      <c r="Y17" s="58"/>
      <c r="Z17" s="55"/>
      <c r="AA17" s="59"/>
      <c r="AB17" s="59"/>
      <c r="AC17" s="59"/>
      <c r="AD17" s="54"/>
      <c r="AE17" s="54"/>
      <c r="AF17" s="54"/>
      <c r="AG17" s="54"/>
      <c r="AH17" s="54"/>
      <c r="AI17" s="54"/>
      <c r="AJ17" s="54">
        <v>18</v>
      </c>
      <c r="AK17" s="54">
        <v>18</v>
      </c>
      <c r="AL17" s="54"/>
      <c r="AM17" s="59"/>
      <c r="AN17" s="54"/>
      <c r="AO17" s="55"/>
      <c r="AP17" s="55"/>
      <c r="AQ17" s="55"/>
      <c r="AR17" s="60"/>
      <c r="AS17" s="60"/>
      <c r="AT17" s="60"/>
      <c r="AU17" s="60"/>
      <c r="AV17" s="60"/>
      <c r="AW17" s="54"/>
      <c r="AX17" s="54"/>
      <c r="AY17" s="1" t="s">
        <v>930</v>
      </c>
      <c r="AZ17" s="1" t="s">
        <v>930</v>
      </c>
      <c r="BA17" s="12" t="s">
        <v>958</v>
      </c>
      <c r="BB17" s="12" t="s">
        <v>958</v>
      </c>
      <c r="BC17" s="61"/>
      <c r="BD17" s="61">
        <v>89</v>
      </c>
      <c r="BE17" s="61"/>
      <c r="BF17" s="61"/>
      <c r="BG17" s="1" t="s">
        <v>958</v>
      </c>
      <c r="BH17" s="61"/>
      <c r="BI17" s="61"/>
      <c r="BJ17" s="54"/>
      <c r="BK17" s="1" t="s">
        <v>958</v>
      </c>
      <c r="BL17" s="54"/>
      <c r="BM17" s="54"/>
      <c r="BN17" s="54"/>
      <c r="BO17" s="54"/>
      <c r="BP17" s="54"/>
      <c r="BQ17" s="54"/>
      <c r="BR17" s="54"/>
      <c r="BS17" s="54"/>
      <c r="BT17" s="54"/>
    </row>
    <row r="18" spans="1:72" x14ac:dyDescent="0.2">
      <c r="A18" s="54" t="s">
        <v>767</v>
      </c>
      <c r="B18" s="1" t="s">
        <v>142</v>
      </c>
      <c r="C18" s="54">
        <v>2020</v>
      </c>
      <c r="D18" s="54">
        <v>1</v>
      </c>
      <c r="E18" s="54">
        <v>0</v>
      </c>
      <c r="F18" s="54">
        <v>0</v>
      </c>
      <c r="G18" s="55"/>
      <c r="H18" s="55"/>
      <c r="I18" s="55">
        <v>1900</v>
      </c>
      <c r="J18" s="55">
        <v>4800</v>
      </c>
      <c r="K18" s="55"/>
      <c r="L18" s="55"/>
      <c r="M18" s="55"/>
      <c r="N18" s="55">
        <v>1900</v>
      </c>
      <c r="O18" s="55">
        <v>4800</v>
      </c>
      <c r="P18" s="55"/>
      <c r="Q18" s="56"/>
      <c r="R18" s="57">
        <v>0.4</v>
      </c>
      <c r="S18" s="57">
        <v>1</v>
      </c>
      <c r="T18" s="58"/>
      <c r="U18" s="57"/>
      <c r="V18" s="56"/>
      <c r="W18" s="55">
        <f>Tabelle589711142925[[#This Row],[Potenzial pos. max MW Referenz]]/Tabelle589711142925[[#This Row],[flexibilisierbarer Anteil Referenz]]</f>
        <v>4750</v>
      </c>
      <c r="X18" s="55">
        <f>Tabelle589711142925[[#This Row],[Potenzial pos. max MW optimistisch (Szenario 2)]]/Tabelle589711142925[[#This Row],[flexibilisierbarer Anteil optimistisch (Szenario 2)]]</f>
        <v>4800</v>
      </c>
      <c r="Y18" s="58"/>
      <c r="Z18" s="55"/>
      <c r="AA18" s="59"/>
      <c r="AB18" s="59"/>
      <c r="AC18" s="59"/>
      <c r="AD18" s="54"/>
      <c r="AE18" s="54"/>
      <c r="AF18" s="54"/>
      <c r="AG18" s="54"/>
      <c r="AH18" s="54">
        <v>5</v>
      </c>
      <c r="AI18" s="54">
        <v>12</v>
      </c>
      <c r="AJ18" s="54"/>
      <c r="AK18" s="54">
        <v>8.5</v>
      </c>
      <c r="AL18" s="54"/>
      <c r="AM18" s="59"/>
      <c r="AN18" s="54"/>
      <c r="AO18" s="55"/>
      <c r="AP18" s="55"/>
      <c r="AQ18" s="55"/>
      <c r="AR18" s="60"/>
      <c r="AS18" s="60"/>
      <c r="AT18" s="60"/>
      <c r="AU18" s="60"/>
      <c r="AV18" s="60"/>
      <c r="AW18" s="54"/>
      <c r="AX18" s="54"/>
      <c r="AY18" s="1" t="s">
        <v>930</v>
      </c>
      <c r="AZ18" s="1" t="s">
        <v>930</v>
      </c>
      <c r="BA18" s="12" t="s">
        <v>958</v>
      </c>
      <c r="BB18" s="12" t="s">
        <v>958</v>
      </c>
      <c r="BC18" s="61"/>
      <c r="BD18" s="61">
        <v>89</v>
      </c>
      <c r="BE18" s="61"/>
      <c r="BF18" s="61"/>
      <c r="BG18" s="1" t="s">
        <v>958</v>
      </c>
      <c r="BH18" s="61"/>
      <c r="BI18" s="61"/>
      <c r="BJ18" s="54"/>
      <c r="BK18" s="1" t="s">
        <v>958</v>
      </c>
      <c r="BL18" s="54"/>
      <c r="BM18" s="54"/>
      <c r="BN18" s="54"/>
      <c r="BO18" s="54"/>
      <c r="BP18" s="54"/>
      <c r="BQ18" s="54"/>
      <c r="BR18" s="54"/>
      <c r="BS18" s="54"/>
      <c r="BT18" s="54"/>
    </row>
    <row r="19" spans="1:72" x14ac:dyDescent="0.2">
      <c r="A19" s="54" t="s">
        <v>767</v>
      </c>
      <c r="B19" s="1" t="s">
        <v>142</v>
      </c>
      <c r="C19" s="54">
        <v>2030</v>
      </c>
      <c r="D19" s="54">
        <v>1</v>
      </c>
      <c r="E19" s="54">
        <v>0</v>
      </c>
      <c r="F19" s="54">
        <v>0</v>
      </c>
      <c r="G19" s="55"/>
      <c r="H19" s="55"/>
      <c r="I19" s="55">
        <v>14900</v>
      </c>
      <c r="J19" s="55">
        <v>26100</v>
      </c>
      <c r="K19" s="55"/>
      <c r="L19" s="55"/>
      <c r="M19" s="55"/>
      <c r="N19" s="55">
        <v>14900</v>
      </c>
      <c r="O19" s="55">
        <v>26100</v>
      </c>
      <c r="P19" s="55"/>
      <c r="Q19" s="56"/>
      <c r="R19" s="57">
        <v>0.6</v>
      </c>
      <c r="S19" s="57">
        <v>1</v>
      </c>
      <c r="T19" s="58"/>
      <c r="U19" s="57"/>
      <c r="V19" s="56"/>
      <c r="W19" s="55">
        <f>Tabelle589711142925[[#This Row],[Potenzial pos. max MW Referenz]]/Tabelle589711142925[[#This Row],[flexibilisierbarer Anteil Referenz]]</f>
        <v>24833.333333333336</v>
      </c>
      <c r="X19" s="55">
        <f>Tabelle589711142925[[#This Row],[Potenzial pos. max MW optimistisch (Szenario 2)]]/Tabelle589711142925[[#This Row],[flexibilisierbarer Anteil optimistisch (Szenario 2)]]</f>
        <v>26100</v>
      </c>
      <c r="Y19" s="58"/>
      <c r="Z19" s="55"/>
      <c r="AA19" s="59"/>
      <c r="AB19" s="59"/>
      <c r="AC19" s="59"/>
      <c r="AD19" s="54"/>
      <c r="AE19" s="54"/>
      <c r="AF19" s="54"/>
      <c r="AG19" s="54"/>
      <c r="AH19" s="54">
        <v>5</v>
      </c>
      <c r="AI19" s="54">
        <v>12</v>
      </c>
      <c r="AJ19" s="54"/>
      <c r="AK19" s="54">
        <v>8.5</v>
      </c>
      <c r="AL19" s="54"/>
      <c r="AM19" s="59"/>
      <c r="AN19" s="54"/>
      <c r="AO19" s="55"/>
      <c r="AP19" s="55"/>
      <c r="AQ19" s="55"/>
      <c r="AR19" s="60"/>
      <c r="AS19" s="60"/>
      <c r="AT19" s="60"/>
      <c r="AU19" s="60"/>
      <c r="AV19" s="60"/>
      <c r="AW19" s="54"/>
      <c r="AX19" s="54"/>
      <c r="AY19" s="1" t="s">
        <v>930</v>
      </c>
      <c r="AZ19" s="1" t="s">
        <v>930</v>
      </c>
      <c r="BA19" s="12" t="s">
        <v>958</v>
      </c>
      <c r="BB19" s="12" t="s">
        <v>958</v>
      </c>
      <c r="BC19" s="61"/>
      <c r="BD19" s="61">
        <v>89</v>
      </c>
      <c r="BE19" s="61"/>
      <c r="BF19" s="61"/>
      <c r="BG19" s="1" t="s">
        <v>958</v>
      </c>
      <c r="BH19" s="61"/>
      <c r="BI19" s="61"/>
      <c r="BJ19" s="54"/>
      <c r="BK19" s="1" t="s">
        <v>958</v>
      </c>
      <c r="BL19" s="54"/>
      <c r="BM19" s="54"/>
      <c r="BN19" s="54"/>
      <c r="BO19" s="54"/>
      <c r="BP19" s="54"/>
      <c r="BQ19" s="54"/>
      <c r="BR19" s="54"/>
      <c r="BS19" s="54"/>
      <c r="BT19" s="54"/>
    </row>
    <row r="20" spans="1:72" x14ac:dyDescent="0.2">
      <c r="A20" s="54" t="s">
        <v>365</v>
      </c>
      <c r="B20" s="1" t="s">
        <v>130</v>
      </c>
      <c r="C20" s="54">
        <v>2020</v>
      </c>
      <c r="D20" s="54">
        <v>1</v>
      </c>
      <c r="E20" s="54">
        <v>0</v>
      </c>
      <c r="F20" s="54">
        <v>0</v>
      </c>
      <c r="G20" s="55"/>
      <c r="H20" s="55"/>
      <c r="I20" s="55">
        <v>900</v>
      </c>
      <c r="J20" s="55">
        <v>3500</v>
      </c>
      <c r="K20" s="55"/>
      <c r="L20" s="55"/>
      <c r="M20" s="55"/>
      <c r="N20" s="55">
        <v>900</v>
      </c>
      <c r="O20" s="55">
        <v>3500</v>
      </c>
      <c r="P20" s="55"/>
      <c r="Q20" s="56"/>
      <c r="R20" s="57">
        <v>7.0000000000000007E-2</v>
      </c>
      <c r="S20" s="57">
        <v>0.3</v>
      </c>
      <c r="T20" s="58"/>
      <c r="U20" s="57"/>
      <c r="V20" s="56"/>
      <c r="W20" s="55">
        <f>Tabelle589711142925[[#This Row],[Potenzial pos. max MW Referenz]]/Tabelle589711142925[[#This Row],[flexibilisierbarer Anteil Referenz]]</f>
        <v>12857.142857142855</v>
      </c>
      <c r="X20" s="55">
        <f>Tabelle589711142925[[#This Row],[Potenzial pos. max MW optimistisch (Szenario 2)]]/Tabelle589711142925[[#This Row],[flexibilisierbarer Anteil optimistisch (Szenario 2)]]</f>
        <v>11666.666666666668</v>
      </c>
      <c r="Y20" s="58"/>
      <c r="Z20" s="55"/>
      <c r="AA20" s="59"/>
      <c r="AB20" s="59"/>
      <c r="AC20" s="59"/>
      <c r="AD20" s="54"/>
      <c r="AE20" s="54"/>
      <c r="AF20" s="54"/>
      <c r="AG20" s="54"/>
      <c r="AH20" s="54"/>
      <c r="AI20" s="54"/>
      <c r="AJ20" s="54">
        <v>1</v>
      </c>
      <c r="AK20" s="54">
        <v>2</v>
      </c>
      <c r="AL20" s="54"/>
      <c r="AM20" s="59"/>
      <c r="AN20" s="54"/>
      <c r="AO20" s="55"/>
      <c r="AP20" s="55"/>
      <c r="AQ20" s="55"/>
      <c r="AR20" s="60"/>
      <c r="AS20" s="60"/>
      <c r="AT20" s="60"/>
      <c r="AU20" s="60"/>
      <c r="AV20" s="60"/>
      <c r="AW20" s="54"/>
      <c r="AX20" s="54"/>
      <c r="AY20" s="1" t="s">
        <v>930</v>
      </c>
      <c r="AZ20" s="1" t="s">
        <v>930</v>
      </c>
      <c r="BA20" s="12" t="s">
        <v>958</v>
      </c>
      <c r="BB20" s="12" t="s">
        <v>958</v>
      </c>
      <c r="BC20" s="61"/>
      <c r="BD20" s="61">
        <v>89</v>
      </c>
      <c r="BE20" s="61"/>
      <c r="BF20" s="61"/>
      <c r="BG20" s="1" t="s">
        <v>958</v>
      </c>
      <c r="BH20" s="61"/>
      <c r="BI20" s="61"/>
      <c r="BJ20" s="54"/>
      <c r="BK20" s="1" t="s">
        <v>958</v>
      </c>
      <c r="BL20" s="54"/>
      <c r="BM20" s="54"/>
      <c r="BN20" s="54"/>
      <c r="BO20" s="54"/>
      <c r="BP20" s="54"/>
      <c r="BQ20" s="54"/>
      <c r="BR20" s="54"/>
      <c r="BS20" s="54"/>
      <c r="BT20" s="54"/>
    </row>
    <row r="21" spans="1:72" x14ac:dyDescent="0.2">
      <c r="A21" s="54" t="s">
        <v>365</v>
      </c>
      <c r="B21" s="1" t="s">
        <v>130</v>
      </c>
      <c r="C21" s="54">
        <v>2030</v>
      </c>
      <c r="D21" s="54">
        <v>1</v>
      </c>
      <c r="E21" s="54">
        <v>0</v>
      </c>
      <c r="F21" s="54">
        <v>0</v>
      </c>
      <c r="G21" s="55"/>
      <c r="H21" s="55"/>
      <c r="I21" s="55">
        <v>2700</v>
      </c>
      <c r="J21" s="55">
        <v>9800</v>
      </c>
      <c r="K21" s="55"/>
      <c r="L21" s="55"/>
      <c r="M21" s="55"/>
      <c r="N21" s="55">
        <v>2700</v>
      </c>
      <c r="O21" s="55">
        <v>9800</v>
      </c>
      <c r="P21" s="55"/>
      <c r="Q21" s="56"/>
      <c r="R21" s="57">
        <v>0.2</v>
      </c>
      <c r="S21" s="57">
        <v>0.8</v>
      </c>
      <c r="T21" s="58"/>
      <c r="U21" s="57"/>
      <c r="V21" s="56"/>
      <c r="W21" s="55">
        <f>Tabelle589711142925[[#This Row],[Potenzial pos. max MW Referenz]]/Tabelle589711142925[[#This Row],[flexibilisierbarer Anteil Referenz]]</f>
        <v>13500</v>
      </c>
      <c r="X21" s="55">
        <f>Tabelle589711142925[[#This Row],[Potenzial pos. max MW optimistisch (Szenario 2)]]/Tabelle589711142925[[#This Row],[flexibilisierbarer Anteil optimistisch (Szenario 2)]]</f>
        <v>12250</v>
      </c>
      <c r="Y21" s="58"/>
      <c r="Z21" s="55"/>
      <c r="AA21" s="59"/>
      <c r="AB21" s="59"/>
      <c r="AC21" s="59"/>
      <c r="AD21" s="54"/>
      <c r="AE21" s="54"/>
      <c r="AF21" s="54"/>
      <c r="AG21" s="54"/>
      <c r="AH21" s="54"/>
      <c r="AI21" s="54"/>
      <c r="AJ21" s="54">
        <v>2</v>
      </c>
      <c r="AK21" s="54">
        <v>4</v>
      </c>
      <c r="AL21" s="54"/>
      <c r="AM21" s="59"/>
      <c r="AN21" s="54"/>
      <c r="AO21" s="55"/>
      <c r="AP21" s="55"/>
      <c r="AQ21" s="55"/>
      <c r="AR21" s="60"/>
      <c r="AS21" s="60"/>
      <c r="AT21" s="60"/>
      <c r="AU21" s="60"/>
      <c r="AV21" s="60"/>
      <c r="AW21" s="54"/>
      <c r="AX21" s="54"/>
      <c r="AY21" s="1" t="s">
        <v>930</v>
      </c>
      <c r="AZ21" s="1" t="s">
        <v>930</v>
      </c>
      <c r="BA21" s="12" t="s">
        <v>958</v>
      </c>
      <c r="BB21" s="12" t="s">
        <v>958</v>
      </c>
      <c r="BC21" s="61"/>
      <c r="BD21" s="61">
        <v>89</v>
      </c>
      <c r="BE21" s="61"/>
      <c r="BF21" s="61"/>
      <c r="BG21" s="1" t="s">
        <v>958</v>
      </c>
      <c r="BH21" s="61"/>
      <c r="BI21" s="61"/>
      <c r="BJ21" s="54"/>
      <c r="BK21" s="1" t="s">
        <v>958</v>
      </c>
      <c r="BL21" s="54"/>
      <c r="BM21" s="54"/>
      <c r="BN21" s="54"/>
      <c r="BO21" s="54"/>
      <c r="BP21" s="54"/>
      <c r="BQ21" s="54"/>
      <c r="BR21" s="54"/>
      <c r="BS21" s="54"/>
      <c r="BT21" s="54"/>
    </row>
    <row r="22" spans="1:72" x14ac:dyDescent="0.2">
      <c r="A22" s="54" t="s">
        <v>758</v>
      </c>
      <c r="B22" s="1" t="s">
        <v>129</v>
      </c>
      <c r="C22" s="54">
        <v>2020</v>
      </c>
      <c r="D22" s="54">
        <v>1</v>
      </c>
      <c r="E22" s="54">
        <v>1</v>
      </c>
      <c r="F22" s="54">
        <v>0</v>
      </c>
      <c r="G22" s="55"/>
      <c r="H22" s="55"/>
      <c r="I22" s="55">
        <v>100</v>
      </c>
      <c r="J22" s="55">
        <v>1300</v>
      </c>
      <c r="K22" s="55"/>
      <c r="L22" s="55"/>
      <c r="M22" s="55"/>
      <c r="N22" s="55">
        <v>100</v>
      </c>
      <c r="O22" s="55">
        <v>1300</v>
      </c>
      <c r="P22" s="55"/>
      <c r="Q22" s="56"/>
      <c r="R22" s="57">
        <v>0.03</v>
      </c>
      <c r="S22" s="57">
        <v>0.25</v>
      </c>
      <c r="T22" s="58"/>
      <c r="U22" s="57"/>
      <c r="V22" s="56"/>
      <c r="W22" s="55">
        <f>Tabelle589711142925[[#This Row],[Potenzial pos. max MW Referenz]]/Tabelle589711142925[[#This Row],[flexibilisierbarer Anteil Referenz]]</f>
        <v>3333.3333333333335</v>
      </c>
      <c r="X22" s="55">
        <f>Tabelle589711142925[[#This Row],[Potenzial pos. max MW optimistisch (Szenario 2)]]/Tabelle589711142925[[#This Row],[flexibilisierbarer Anteil optimistisch (Szenario 2)]]</f>
        <v>5200</v>
      </c>
      <c r="Y22" s="58"/>
      <c r="Z22" s="55"/>
      <c r="AA22" s="59"/>
      <c r="AB22" s="59"/>
      <c r="AC22" s="59"/>
      <c r="AD22" s="54"/>
      <c r="AE22" s="54"/>
      <c r="AF22" s="54"/>
      <c r="AG22" s="54"/>
      <c r="AH22" s="54">
        <v>1</v>
      </c>
      <c r="AI22" s="54">
        <v>4</v>
      </c>
      <c r="AJ22" s="54"/>
      <c r="AK22" s="54">
        <v>2.5</v>
      </c>
      <c r="AL22" s="54"/>
      <c r="AM22" s="59"/>
      <c r="AN22" s="54"/>
      <c r="AO22" s="55"/>
      <c r="AP22" s="55"/>
      <c r="AQ22" s="55"/>
      <c r="AR22" s="60"/>
      <c r="AS22" s="60"/>
      <c r="AT22" s="60"/>
      <c r="AU22" s="60"/>
      <c r="AV22" s="60"/>
      <c r="AW22" s="54"/>
      <c r="AX22" s="54"/>
      <c r="AY22" s="1" t="s">
        <v>930</v>
      </c>
      <c r="AZ22" s="1" t="s">
        <v>930</v>
      </c>
      <c r="BA22" s="12" t="s">
        <v>958</v>
      </c>
      <c r="BB22" s="12" t="s">
        <v>958</v>
      </c>
      <c r="BC22" s="61"/>
      <c r="BD22" s="61">
        <v>89</v>
      </c>
      <c r="BE22" s="61"/>
      <c r="BF22" s="61"/>
      <c r="BG22" s="1" t="s">
        <v>958</v>
      </c>
      <c r="BH22" s="61"/>
      <c r="BI22" s="61"/>
      <c r="BJ22" s="54"/>
      <c r="BK22" s="1" t="s">
        <v>958</v>
      </c>
      <c r="BL22" s="54"/>
      <c r="BM22" s="54"/>
      <c r="BN22" s="54"/>
      <c r="BO22" s="54"/>
      <c r="BP22" s="54"/>
      <c r="BQ22" s="54"/>
      <c r="BR22" s="54"/>
      <c r="BS22" s="54"/>
      <c r="BT22" s="54"/>
    </row>
    <row r="23" spans="1:72" x14ac:dyDescent="0.2">
      <c r="A23" s="54" t="s">
        <v>758</v>
      </c>
      <c r="B23" s="1" t="s">
        <v>129</v>
      </c>
      <c r="C23" s="54">
        <v>2030</v>
      </c>
      <c r="D23" s="54">
        <v>1</v>
      </c>
      <c r="E23" s="54">
        <v>1</v>
      </c>
      <c r="F23" s="54">
        <v>0</v>
      </c>
      <c r="G23" s="55"/>
      <c r="H23" s="55"/>
      <c r="I23" s="55">
        <v>500</v>
      </c>
      <c r="J23" s="55">
        <v>4500</v>
      </c>
      <c r="K23" s="55"/>
      <c r="L23" s="55"/>
      <c r="M23" s="55"/>
      <c r="N23" s="55">
        <v>500</v>
      </c>
      <c r="O23" s="55">
        <v>4500</v>
      </c>
      <c r="P23" s="55"/>
      <c r="Q23" s="56"/>
      <c r="R23" s="57">
        <v>0.1</v>
      </c>
      <c r="S23" s="57">
        <v>0.85</v>
      </c>
      <c r="T23" s="58"/>
      <c r="U23" s="57"/>
      <c r="V23" s="56"/>
      <c r="W23" s="55">
        <f>Tabelle589711142925[[#This Row],[Potenzial pos. max MW Referenz]]/Tabelle589711142925[[#This Row],[flexibilisierbarer Anteil Referenz]]</f>
        <v>5000</v>
      </c>
      <c r="X23" s="55">
        <f>Tabelle589711142925[[#This Row],[Potenzial pos. max MW optimistisch (Szenario 2)]]/Tabelle589711142925[[#This Row],[flexibilisierbarer Anteil optimistisch (Szenario 2)]]</f>
        <v>5294.1176470588234</v>
      </c>
      <c r="Y23" s="58"/>
      <c r="Z23" s="55"/>
      <c r="AA23" s="59"/>
      <c r="AB23" s="59"/>
      <c r="AC23" s="59"/>
      <c r="AD23" s="54"/>
      <c r="AE23" s="54"/>
      <c r="AF23" s="54"/>
      <c r="AG23" s="54"/>
      <c r="AH23" s="54">
        <v>1</v>
      </c>
      <c r="AI23" s="54">
        <v>4</v>
      </c>
      <c r="AJ23" s="54"/>
      <c r="AK23" s="54">
        <v>2.5</v>
      </c>
      <c r="AL23" s="54"/>
      <c r="AM23" s="59"/>
      <c r="AN23" s="54"/>
      <c r="AO23" s="55"/>
      <c r="AP23" s="55"/>
      <c r="AQ23" s="55"/>
      <c r="AR23" s="60"/>
      <c r="AS23" s="60"/>
      <c r="AT23" s="60"/>
      <c r="AU23" s="60"/>
      <c r="AV23" s="60"/>
      <c r="AW23" s="54"/>
      <c r="AX23" s="54"/>
      <c r="AY23" s="1" t="s">
        <v>930</v>
      </c>
      <c r="AZ23" s="1" t="s">
        <v>930</v>
      </c>
      <c r="BA23" s="12" t="s">
        <v>958</v>
      </c>
      <c r="BB23" s="12" t="s">
        <v>958</v>
      </c>
      <c r="BC23" s="61"/>
      <c r="BD23" s="61">
        <v>89</v>
      </c>
      <c r="BE23" s="61"/>
      <c r="BF23" s="61"/>
      <c r="BG23" s="1" t="s">
        <v>958</v>
      </c>
      <c r="BH23" s="61"/>
      <c r="BI23" s="61"/>
      <c r="BJ23" s="54"/>
      <c r="BK23" s="1" t="s">
        <v>958</v>
      </c>
      <c r="BL23" s="54"/>
      <c r="BM23" s="54"/>
      <c r="BN23" s="54"/>
      <c r="BO23" s="54"/>
      <c r="BP23" s="54"/>
      <c r="BQ23" s="54"/>
      <c r="BR23" s="54"/>
      <c r="BS23" s="54"/>
      <c r="BT23" s="54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96BC42-A61E-4E80-B0B0-9FB2704246AB}">
          <x14:formula1>
            <xm:f>Dropdown!$C$2:$C$4</xm:f>
          </x14:formula1>
          <xm:sqref>B2:B23</xm:sqref>
        </x14:dataValidation>
        <x14:dataValidation type="list" allowBlank="1" showInputMessage="1" showErrorMessage="1" xr:uid="{11B04EFC-20E4-4F2E-9CFD-7BAF45185F0D}">
          <x14:formula1>
            <xm:f>Dropdown!$A$1:$A$92</xm:f>
          </x14:formula1>
          <xm:sqref>A2:A23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FD9F-5B6B-4533-9CBC-A8ABCB594DE3}">
  <sheetPr codeName="Tabelle8"/>
  <dimension ref="A1:BW15"/>
  <sheetViews>
    <sheetView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N1" sqref="AN1"/>
    </sheetView>
  </sheetViews>
  <sheetFormatPr baseColWidth="10" defaultRowHeight="15" x14ac:dyDescent="0.25"/>
  <cols>
    <col min="1" max="1" width="24.140625" bestFit="1" customWidth="1"/>
    <col min="7" max="7" width="26.7109375" bestFit="1" customWidth="1"/>
    <col min="8" max="8" width="26" bestFit="1" customWidth="1"/>
  </cols>
  <sheetData>
    <row r="1" spans="1:75" s="1" customFormat="1" ht="12.75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805</v>
      </c>
      <c r="H1" s="2" t="s">
        <v>806</v>
      </c>
      <c r="I1" s="2" t="s">
        <v>49</v>
      </c>
      <c r="J1" s="2" t="s">
        <v>149</v>
      </c>
      <c r="K1" s="2" t="s">
        <v>50</v>
      </c>
      <c r="L1" s="2" t="s">
        <v>97</v>
      </c>
      <c r="M1" s="2" t="s">
        <v>154</v>
      </c>
      <c r="N1" s="2" t="s">
        <v>156</v>
      </c>
      <c r="O1" s="2" t="s">
        <v>155</v>
      </c>
      <c r="P1" s="2" t="s">
        <v>56</v>
      </c>
      <c r="Q1" s="2" t="s">
        <v>55</v>
      </c>
      <c r="R1" s="2" t="s">
        <v>797</v>
      </c>
      <c r="S1" s="2" t="s">
        <v>798</v>
      </c>
      <c r="T1" s="2" t="s">
        <v>235</v>
      </c>
      <c r="U1" s="2" t="s">
        <v>792</v>
      </c>
      <c r="V1" s="2" t="s">
        <v>116</v>
      </c>
      <c r="W1" s="2" t="s">
        <v>57</v>
      </c>
      <c r="X1" s="2" t="s">
        <v>123</v>
      </c>
      <c r="Y1" s="2" t="s">
        <v>58</v>
      </c>
      <c r="Z1" s="2" t="s">
        <v>9</v>
      </c>
      <c r="AA1" s="2" t="s">
        <v>423</v>
      </c>
      <c r="AB1" s="2" t="s">
        <v>225</v>
      </c>
      <c r="AC1" s="2" t="s">
        <v>157</v>
      </c>
      <c r="AD1" s="2" t="s">
        <v>227</v>
      </c>
      <c r="AE1" s="2" t="s">
        <v>228</v>
      </c>
      <c r="AF1" s="2" t="s">
        <v>158</v>
      </c>
      <c r="AG1" s="2" t="s">
        <v>214</v>
      </c>
      <c r="AH1" s="2" t="s">
        <v>215</v>
      </c>
      <c r="AI1" s="2" t="s">
        <v>3</v>
      </c>
      <c r="AJ1" s="2" t="s">
        <v>10</v>
      </c>
      <c r="AK1" s="2" t="s">
        <v>16</v>
      </c>
      <c r="AL1" s="2" t="s">
        <v>4</v>
      </c>
      <c r="AM1" s="2" t="s">
        <v>99</v>
      </c>
      <c r="AN1" s="2" t="s">
        <v>183</v>
      </c>
      <c r="AO1" s="2" t="s">
        <v>182</v>
      </c>
      <c r="AP1" s="2" t="s">
        <v>12</v>
      </c>
      <c r="AQ1" s="2" t="s">
        <v>799</v>
      </c>
      <c r="AR1" s="2" t="s">
        <v>231</v>
      </c>
      <c r="AS1" s="2" t="s">
        <v>232</v>
      </c>
      <c r="AT1" s="2" t="s">
        <v>230</v>
      </c>
      <c r="AU1" s="2" t="s">
        <v>332</v>
      </c>
      <c r="AV1" s="2" t="s">
        <v>451</v>
      </c>
      <c r="AW1" s="2" t="s">
        <v>333</v>
      </c>
      <c r="AX1" s="2" t="s">
        <v>147</v>
      </c>
      <c r="AY1" s="2" t="s">
        <v>22</v>
      </c>
      <c r="AZ1" s="2" t="s">
        <v>162</v>
      </c>
      <c r="BA1" s="2" t="s">
        <v>163</v>
      </c>
      <c r="BB1" s="2" t="s">
        <v>807</v>
      </c>
      <c r="BC1" s="2" t="s">
        <v>1</v>
      </c>
      <c r="BD1" s="2" t="s">
        <v>2</v>
      </c>
      <c r="BE1" s="2" t="s">
        <v>59</v>
      </c>
      <c r="BF1" s="2" t="s">
        <v>1089</v>
      </c>
      <c r="BG1" s="2" t="s">
        <v>236</v>
      </c>
      <c r="BH1" s="2" t="s">
        <v>117</v>
      </c>
      <c r="BI1" s="2" t="s">
        <v>60</v>
      </c>
      <c r="BJ1" s="2" t="s">
        <v>61</v>
      </c>
      <c r="BK1" s="2" t="s">
        <v>98</v>
      </c>
      <c r="BL1" s="2" t="s">
        <v>5</v>
      </c>
      <c r="BM1" s="2" t="s">
        <v>6</v>
      </c>
      <c r="BN1" s="2" t="s">
        <v>17</v>
      </c>
      <c r="BO1" s="2" t="s">
        <v>18</v>
      </c>
      <c r="BP1" s="2" t="s">
        <v>7</v>
      </c>
      <c r="BQ1" s="2" t="s">
        <v>19</v>
      </c>
      <c r="BR1" s="2" t="s">
        <v>793</v>
      </c>
      <c r="BS1" s="2" t="s">
        <v>20</v>
      </c>
      <c r="BT1" s="2" t="s">
        <v>21</v>
      </c>
      <c r="BU1" s="2" t="s">
        <v>148</v>
      </c>
      <c r="BV1" s="2" t="s">
        <v>23</v>
      </c>
      <c r="BW1" s="2" t="s">
        <v>51</v>
      </c>
    </row>
    <row r="2" spans="1:75" s="1" customFormat="1" ht="12.75" x14ac:dyDescent="0.2">
      <c r="A2" s="1" t="s">
        <v>29</v>
      </c>
      <c r="B2" s="1" t="s">
        <v>129</v>
      </c>
      <c r="C2" s="1">
        <v>2013</v>
      </c>
      <c r="D2" s="1">
        <v>1</v>
      </c>
      <c r="E2" s="1">
        <v>0</v>
      </c>
      <c r="F2" s="1">
        <v>0</v>
      </c>
      <c r="I2" s="18"/>
      <c r="J2" s="18">
        <v>64</v>
      </c>
      <c r="K2" s="18"/>
      <c r="L2" s="18"/>
      <c r="M2" s="18"/>
      <c r="N2" s="18">
        <v>14</v>
      </c>
      <c r="O2" s="18"/>
      <c r="P2" s="18"/>
      <c r="Q2" s="19"/>
      <c r="R2" s="8"/>
      <c r="S2" s="8"/>
      <c r="T2" s="8"/>
      <c r="U2" s="19"/>
      <c r="V2" s="19"/>
      <c r="W2" s="18"/>
      <c r="X2" s="8"/>
      <c r="Y2" s="18"/>
      <c r="AI2" s="1">
        <v>2</v>
      </c>
      <c r="AN2" s="18"/>
      <c r="AO2" s="18"/>
      <c r="AP2" s="18"/>
      <c r="AQ2" s="18"/>
      <c r="AR2" s="7"/>
      <c r="AS2" s="7"/>
      <c r="AT2" s="7"/>
      <c r="AU2" s="7"/>
      <c r="AV2" s="7"/>
      <c r="AW2" s="7"/>
      <c r="AZ2" s="1">
        <v>32</v>
      </c>
      <c r="BA2" s="1">
        <v>32</v>
      </c>
      <c r="BC2" s="12">
        <v>33</v>
      </c>
      <c r="BD2" s="1">
        <v>33</v>
      </c>
      <c r="BE2" s="12"/>
      <c r="BF2" s="12"/>
      <c r="BG2" s="12"/>
      <c r="BH2" s="12"/>
      <c r="BJ2" s="12"/>
      <c r="BK2" s="12"/>
      <c r="BM2" s="1">
        <v>33</v>
      </c>
    </row>
    <row r="3" spans="1:75" x14ac:dyDescent="0.25">
      <c r="A3" s="54" t="s">
        <v>188</v>
      </c>
      <c r="B3" s="54" t="s">
        <v>129</v>
      </c>
      <c r="C3" s="1">
        <v>2013</v>
      </c>
      <c r="D3" s="1">
        <v>1</v>
      </c>
      <c r="E3" s="1">
        <v>0</v>
      </c>
      <c r="F3" s="1">
        <v>0</v>
      </c>
      <c r="G3" s="54"/>
      <c r="H3" s="54"/>
      <c r="I3" s="55"/>
      <c r="J3" s="55">
        <v>730</v>
      </c>
      <c r="K3" s="55"/>
      <c r="L3" s="55"/>
      <c r="M3" s="55"/>
      <c r="N3" s="55">
        <v>283</v>
      </c>
      <c r="O3" s="55"/>
      <c r="P3" s="55"/>
      <c r="Q3" s="56"/>
      <c r="R3" s="57"/>
      <c r="S3" s="57"/>
      <c r="T3" s="57"/>
      <c r="U3" s="56"/>
      <c r="V3" s="56"/>
      <c r="W3" s="55"/>
      <c r="X3" s="58"/>
      <c r="Y3" s="55"/>
      <c r="Z3" s="59"/>
      <c r="AA3" s="59"/>
      <c r="AB3" s="59"/>
      <c r="AC3" s="54"/>
      <c r="AD3" s="54"/>
      <c r="AE3" s="54"/>
      <c r="AF3" s="54"/>
      <c r="AG3" s="54"/>
      <c r="AH3" s="54"/>
      <c r="AI3" s="54">
        <v>2</v>
      </c>
      <c r="AJ3" s="54"/>
      <c r="AK3" s="54"/>
      <c r="AL3" s="59"/>
      <c r="AM3" s="54"/>
      <c r="AN3" s="55"/>
      <c r="AO3" s="55"/>
      <c r="AP3" s="59"/>
      <c r="AQ3" s="55"/>
      <c r="AR3" s="60"/>
      <c r="AS3" s="60"/>
      <c r="AT3" s="60"/>
      <c r="AU3" s="60"/>
      <c r="AV3" s="60"/>
      <c r="AW3" s="59"/>
      <c r="AX3" s="59"/>
      <c r="AY3" s="54"/>
      <c r="AZ3" s="54">
        <v>32</v>
      </c>
      <c r="BA3" s="54">
        <v>32</v>
      </c>
      <c r="BB3" s="54"/>
      <c r="BC3" s="12">
        <v>33</v>
      </c>
      <c r="BD3" s="1">
        <v>33</v>
      </c>
      <c r="BE3" s="61"/>
      <c r="BF3" s="61"/>
      <c r="BG3" s="61"/>
      <c r="BH3" s="61"/>
      <c r="BI3" s="54"/>
      <c r="BJ3" s="61"/>
      <c r="BK3" s="61"/>
      <c r="BL3" s="54"/>
      <c r="BM3" s="1">
        <v>33</v>
      </c>
      <c r="BN3" s="54"/>
      <c r="BO3" s="54"/>
      <c r="BP3" s="54"/>
      <c r="BQ3" s="54"/>
      <c r="BR3" s="54"/>
      <c r="BS3" s="54"/>
      <c r="BT3" s="54"/>
      <c r="BU3" s="54"/>
      <c r="BV3" s="54"/>
      <c r="BW3" s="54"/>
    </row>
    <row r="4" spans="1:75" x14ac:dyDescent="0.25">
      <c r="A4" s="1" t="s">
        <v>880</v>
      </c>
      <c r="B4" s="1" t="s">
        <v>129</v>
      </c>
      <c r="C4" s="1">
        <v>2013</v>
      </c>
      <c r="D4" s="1">
        <v>1</v>
      </c>
      <c r="E4" s="1">
        <v>0</v>
      </c>
      <c r="F4" s="1">
        <v>0</v>
      </c>
      <c r="G4" s="1"/>
      <c r="H4" s="1"/>
      <c r="I4" s="18"/>
      <c r="J4" s="18">
        <v>313</v>
      </c>
      <c r="K4" s="18"/>
      <c r="L4" s="18"/>
      <c r="M4" s="18"/>
      <c r="N4" s="18">
        <v>313</v>
      </c>
      <c r="O4" s="18"/>
      <c r="P4" s="18"/>
      <c r="Q4" s="19"/>
      <c r="R4" s="63"/>
      <c r="S4" s="63"/>
      <c r="T4" s="63"/>
      <c r="U4" s="19"/>
      <c r="V4" s="19"/>
      <c r="W4" s="18"/>
      <c r="X4" s="8"/>
      <c r="Y4" s="18"/>
      <c r="Z4" s="64"/>
      <c r="AA4" s="64"/>
      <c r="AB4" s="64"/>
      <c r="AC4" s="1"/>
      <c r="AD4" s="1"/>
      <c r="AE4" s="1"/>
      <c r="AF4" s="1"/>
      <c r="AG4" s="1"/>
      <c r="AH4" s="1"/>
      <c r="AI4" s="1">
        <v>72</v>
      </c>
      <c r="AJ4" s="1"/>
      <c r="AK4" s="1"/>
      <c r="AL4" s="64"/>
      <c r="AM4" s="1"/>
      <c r="AN4" s="18"/>
      <c r="AO4" s="18"/>
      <c r="AP4" s="64"/>
      <c r="AQ4" s="18"/>
      <c r="AR4" s="7"/>
      <c r="AS4" s="7"/>
      <c r="AT4" s="7"/>
      <c r="AU4" s="7"/>
      <c r="AV4" s="7"/>
      <c r="AW4" s="64"/>
      <c r="AX4" s="64"/>
      <c r="AY4" s="1"/>
      <c r="AZ4" s="1">
        <v>32</v>
      </c>
      <c r="BA4" s="1">
        <v>32</v>
      </c>
      <c r="BB4" s="1"/>
      <c r="BC4" s="12">
        <v>33</v>
      </c>
      <c r="BD4" s="1">
        <v>33</v>
      </c>
      <c r="BE4" s="12"/>
      <c r="BF4" s="12"/>
      <c r="BG4" s="12"/>
      <c r="BH4" s="12"/>
      <c r="BI4" s="1"/>
      <c r="BJ4" s="12"/>
      <c r="BK4" s="12"/>
      <c r="BL4" s="1"/>
      <c r="BM4" s="1">
        <v>33</v>
      </c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5">
      <c r="A5" s="1" t="s">
        <v>209</v>
      </c>
      <c r="B5" s="1" t="s">
        <v>129</v>
      </c>
      <c r="C5" s="1">
        <v>2013</v>
      </c>
      <c r="D5" s="1">
        <v>1</v>
      </c>
      <c r="E5" s="1">
        <v>0</v>
      </c>
      <c r="F5" s="1">
        <v>0</v>
      </c>
      <c r="G5" s="1"/>
      <c r="H5" s="1"/>
      <c r="I5" s="18"/>
      <c r="J5" s="18">
        <v>500</v>
      </c>
      <c r="K5" s="18"/>
      <c r="L5" s="18"/>
      <c r="M5" s="18"/>
      <c r="N5" s="18">
        <v>235</v>
      </c>
      <c r="O5" s="18"/>
      <c r="P5" s="18"/>
      <c r="Q5" s="19"/>
      <c r="R5" s="63"/>
      <c r="S5" s="63"/>
      <c r="T5" s="63"/>
      <c r="U5" s="19"/>
      <c r="V5" s="19"/>
      <c r="W5" s="18"/>
      <c r="X5" s="8"/>
      <c r="Y5" s="18"/>
      <c r="Z5" s="64"/>
      <c r="AA5" s="64"/>
      <c r="AB5" s="64"/>
      <c r="AC5" s="1"/>
      <c r="AD5" s="1"/>
      <c r="AE5" s="1"/>
      <c r="AF5" s="1"/>
      <c r="AG5" s="1"/>
      <c r="AH5" s="1"/>
      <c r="AI5" s="1">
        <v>2</v>
      </c>
      <c r="AJ5" s="1"/>
      <c r="AK5" s="1"/>
      <c r="AL5" s="64"/>
      <c r="AM5" s="1"/>
      <c r="AN5" s="18"/>
      <c r="AO5" s="18"/>
      <c r="AP5" s="64"/>
      <c r="AQ5" s="18"/>
      <c r="AR5" s="7"/>
      <c r="AS5" s="7"/>
      <c r="AT5" s="7"/>
      <c r="AU5" s="7"/>
      <c r="AV5" s="7"/>
      <c r="AW5" s="64"/>
      <c r="AX5" s="64"/>
      <c r="AY5" s="1"/>
      <c r="AZ5" s="1">
        <v>32</v>
      </c>
      <c r="BA5" s="1">
        <v>32</v>
      </c>
      <c r="BB5" s="1"/>
      <c r="BC5" s="12">
        <v>33</v>
      </c>
      <c r="BD5" s="1">
        <v>33</v>
      </c>
      <c r="BE5" s="12"/>
      <c r="BF5" s="12"/>
      <c r="BG5" s="12"/>
      <c r="BH5" s="12"/>
      <c r="BI5" s="1"/>
      <c r="BJ5" s="12"/>
      <c r="BK5" s="12"/>
      <c r="BL5" s="1"/>
      <c r="BM5" s="1">
        <v>33</v>
      </c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5">
      <c r="A6" s="1" t="s">
        <v>811</v>
      </c>
      <c r="B6" s="1" t="s">
        <v>130</v>
      </c>
      <c r="C6" s="1">
        <v>2013</v>
      </c>
      <c r="D6" s="1">
        <v>1</v>
      </c>
      <c r="E6" s="1">
        <v>0</v>
      </c>
      <c r="F6" s="1">
        <v>0</v>
      </c>
      <c r="G6" s="1"/>
      <c r="H6" s="1"/>
      <c r="I6" s="18"/>
      <c r="J6" s="18">
        <v>415</v>
      </c>
      <c r="K6" s="18"/>
      <c r="L6" s="18"/>
      <c r="M6" s="18"/>
      <c r="N6" s="18">
        <v>230</v>
      </c>
      <c r="O6" s="18"/>
      <c r="P6" s="18"/>
      <c r="Q6" s="19"/>
      <c r="R6" s="63"/>
      <c r="S6" s="63"/>
      <c r="T6" s="63"/>
      <c r="U6" s="19"/>
      <c r="V6" s="19"/>
      <c r="W6" s="18"/>
      <c r="X6" s="8"/>
      <c r="Y6" s="18"/>
      <c r="Z6" s="64"/>
      <c r="AA6" s="64"/>
      <c r="AB6" s="64"/>
      <c r="AC6" s="1"/>
      <c r="AD6" s="1"/>
      <c r="AE6" s="1"/>
      <c r="AF6" s="1"/>
      <c r="AG6" s="1"/>
      <c r="AH6" s="1"/>
      <c r="AI6" s="1">
        <v>2</v>
      </c>
      <c r="AJ6" s="1"/>
      <c r="AK6" s="1"/>
      <c r="AL6" s="64"/>
      <c r="AM6" s="1"/>
      <c r="AN6" s="18"/>
      <c r="AO6" s="18"/>
      <c r="AP6" s="64"/>
      <c r="AQ6" s="18"/>
      <c r="AR6" s="7"/>
      <c r="AS6" s="7"/>
      <c r="AT6" s="7"/>
      <c r="AU6" s="7"/>
      <c r="AV6" s="7"/>
      <c r="AW6" s="64"/>
      <c r="AX6" s="64"/>
      <c r="AY6" s="1"/>
      <c r="AZ6" s="1">
        <v>32</v>
      </c>
      <c r="BA6" s="1">
        <v>32</v>
      </c>
      <c r="BB6" s="1"/>
      <c r="BC6" s="12">
        <v>33</v>
      </c>
      <c r="BD6" s="1">
        <v>33</v>
      </c>
      <c r="BE6" s="12"/>
      <c r="BF6" s="12"/>
      <c r="BG6" s="12"/>
      <c r="BH6" s="12"/>
      <c r="BI6" s="1"/>
      <c r="BJ6" s="12"/>
      <c r="BK6" s="12"/>
      <c r="BL6" s="1"/>
      <c r="BM6" s="1">
        <v>33</v>
      </c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5">
      <c r="A7" s="1" t="s">
        <v>102</v>
      </c>
      <c r="B7" s="1" t="s">
        <v>130</v>
      </c>
      <c r="C7" s="1">
        <v>2013</v>
      </c>
      <c r="D7" s="1">
        <v>1</v>
      </c>
      <c r="E7" s="1">
        <v>0</v>
      </c>
      <c r="F7" s="1">
        <v>0</v>
      </c>
      <c r="G7" s="1"/>
      <c r="H7" s="1"/>
      <c r="I7" s="18"/>
      <c r="J7" s="18">
        <v>160</v>
      </c>
      <c r="K7" s="18"/>
      <c r="L7" s="18"/>
      <c r="M7" s="18"/>
      <c r="N7" s="18">
        <v>120</v>
      </c>
      <c r="O7" s="18"/>
      <c r="P7" s="18"/>
      <c r="Q7" s="19"/>
      <c r="R7" s="63"/>
      <c r="S7" s="63"/>
      <c r="T7" s="63"/>
      <c r="U7" s="19"/>
      <c r="V7" s="19"/>
      <c r="W7" s="18"/>
      <c r="X7" s="8"/>
      <c r="Y7" s="18"/>
      <c r="Z7" s="64"/>
      <c r="AA7" s="64"/>
      <c r="AB7" s="64"/>
      <c r="AC7" s="1"/>
      <c r="AD7" s="1"/>
      <c r="AE7" s="1"/>
      <c r="AF7" s="1"/>
      <c r="AG7" s="1"/>
      <c r="AH7" s="1"/>
      <c r="AI7" s="1">
        <v>1</v>
      </c>
      <c r="AJ7" s="1"/>
      <c r="AK7" s="1"/>
      <c r="AL7" s="64"/>
      <c r="AM7" s="1"/>
      <c r="AN7" s="18"/>
      <c r="AO7" s="18"/>
      <c r="AP7" s="64"/>
      <c r="AQ7" s="18"/>
      <c r="AR7" s="7"/>
      <c r="AS7" s="7"/>
      <c r="AT7" s="7"/>
      <c r="AU7" s="7"/>
      <c r="AV7" s="7"/>
      <c r="AW7" s="64"/>
      <c r="AX7" s="64"/>
      <c r="AY7" s="1"/>
      <c r="AZ7" s="1">
        <v>32</v>
      </c>
      <c r="BA7" s="1">
        <v>32</v>
      </c>
      <c r="BB7" s="1"/>
      <c r="BC7" s="12">
        <v>33</v>
      </c>
      <c r="BD7" s="1">
        <v>33</v>
      </c>
      <c r="BE7" s="12"/>
      <c r="BF7" s="12"/>
      <c r="BG7" s="12"/>
      <c r="BH7" s="12"/>
      <c r="BI7" s="1"/>
      <c r="BJ7" s="12"/>
      <c r="BK7" s="12"/>
      <c r="BL7" s="1"/>
      <c r="BM7" s="1">
        <v>33</v>
      </c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5">
      <c r="A8" s="1" t="s">
        <v>139</v>
      </c>
      <c r="B8" s="1" t="s">
        <v>130</v>
      </c>
      <c r="C8" s="1">
        <v>2013</v>
      </c>
      <c r="D8" s="1">
        <v>1</v>
      </c>
      <c r="E8" s="1">
        <v>0</v>
      </c>
      <c r="F8" s="1">
        <v>0</v>
      </c>
      <c r="G8" s="1"/>
      <c r="H8" s="1"/>
      <c r="I8" s="18"/>
      <c r="J8" s="18">
        <v>370</v>
      </c>
      <c r="K8" s="18"/>
      <c r="L8" s="18"/>
      <c r="M8" s="18"/>
      <c r="N8" s="18">
        <v>740</v>
      </c>
      <c r="O8" s="18"/>
      <c r="P8" s="18"/>
      <c r="Q8" s="19"/>
      <c r="R8" s="63"/>
      <c r="S8" s="63"/>
      <c r="T8" s="63"/>
      <c r="U8" s="19"/>
      <c r="V8" s="19"/>
      <c r="W8" s="18"/>
      <c r="X8" s="8"/>
      <c r="Y8" s="18"/>
      <c r="Z8" s="64"/>
      <c r="AA8" s="64"/>
      <c r="AB8" s="64"/>
      <c r="AC8" s="1"/>
      <c r="AD8" s="1"/>
      <c r="AE8" s="1"/>
      <c r="AF8" s="1"/>
      <c r="AG8" s="1"/>
      <c r="AH8" s="1"/>
      <c r="AI8" s="1">
        <v>16</v>
      </c>
      <c r="AJ8" s="1"/>
      <c r="AK8" s="1"/>
      <c r="AL8" s="64"/>
      <c r="AM8" s="1"/>
      <c r="AN8" s="18"/>
      <c r="AO8" s="18"/>
      <c r="AP8" s="64"/>
      <c r="AQ8" s="18"/>
      <c r="AR8" s="7"/>
      <c r="AS8" s="7"/>
      <c r="AT8" s="7"/>
      <c r="AU8" s="7"/>
      <c r="AV8" s="7"/>
      <c r="AW8" s="64"/>
      <c r="AX8" s="64"/>
      <c r="AY8" s="1"/>
      <c r="AZ8" s="1">
        <v>32</v>
      </c>
      <c r="BA8" s="1">
        <v>32</v>
      </c>
      <c r="BB8" s="1"/>
      <c r="BC8" s="12">
        <v>33</v>
      </c>
      <c r="BD8" s="1">
        <v>33</v>
      </c>
      <c r="BE8" s="12"/>
      <c r="BF8" s="12"/>
      <c r="BG8" s="12"/>
      <c r="BH8" s="12"/>
      <c r="BI8" s="1"/>
      <c r="BJ8" s="12"/>
      <c r="BK8" s="12"/>
      <c r="BL8" s="1"/>
      <c r="BM8" s="1">
        <v>33</v>
      </c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5">
      <c r="A9" s="1" t="s">
        <v>140</v>
      </c>
      <c r="B9" s="1" t="s">
        <v>130</v>
      </c>
      <c r="C9" s="1">
        <v>2013</v>
      </c>
      <c r="D9" s="1">
        <v>1</v>
      </c>
      <c r="E9" s="1">
        <v>0</v>
      </c>
      <c r="F9" s="1">
        <v>0</v>
      </c>
      <c r="G9" s="1"/>
      <c r="H9" s="1"/>
      <c r="I9" s="18"/>
      <c r="J9" s="18">
        <v>740</v>
      </c>
      <c r="K9" s="18"/>
      <c r="L9" s="18"/>
      <c r="M9" s="18"/>
      <c r="N9" s="18">
        <v>2950</v>
      </c>
      <c r="O9" s="18"/>
      <c r="P9" s="18"/>
      <c r="Q9" s="19"/>
      <c r="R9" s="63"/>
      <c r="S9" s="63"/>
      <c r="T9" s="63"/>
      <c r="U9" s="19"/>
      <c r="V9" s="19"/>
      <c r="W9" s="18"/>
      <c r="X9" s="8"/>
      <c r="Y9" s="18"/>
      <c r="Z9" s="64"/>
      <c r="AA9" s="64"/>
      <c r="AB9" s="64"/>
      <c r="AC9" s="1"/>
      <c r="AD9" s="1"/>
      <c r="AE9" s="1"/>
      <c r="AF9" s="1"/>
      <c r="AG9" s="1"/>
      <c r="AH9" s="1"/>
      <c r="AI9" s="1">
        <v>16</v>
      </c>
      <c r="AJ9" s="1"/>
      <c r="AK9" s="1"/>
      <c r="AL9" s="64"/>
      <c r="AM9" s="1"/>
      <c r="AN9" s="18"/>
      <c r="AO9" s="18"/>
      <c r="AP9" s="64"/>
      <c r="AQ9" s="18"/>
      <c r="AR9" s="7"/>
      <c r="AS9" s="7"/>
      <c r="AT9" s="7"/>
      <c r="AU9" s="7"/>
      <c r="AV9" s="7"/>
      <c r="AW9" s="64"/>
      <c r="AX9" s="64"/>
      <c r="AY9" s="1"/>
      <c r="AZ9" s="1">
        <v>32</v>
      </c>
      <c r="BA9" s="1">
        <v>32</v>
      </c>
      <c r="BB9" s="1"/>
      <c r="BC9" s="12">
        <v>33</v>
      </c>
      <c r="BD9" s="1">
        <v>33</v>
      </c>
      <c r="BE9" s="12"/>
      <c r="BF9" s="12"/>
      <c r="BG9" s="12"/>
      <c r="BH9" s="12"/>
      <c r="BI9" s="1"/>
      <c r="BJ9" s="12"/>
      <c r="BK9" s="12"/>
      <c r="BL9" s="1"/>
      <c r="BM9" s="1">
        <v>33</v>
      </c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5">
      <c r="A10" s="1" t="s">
        <v>165</v>
      </c>
      <c r="B10" s="1" t="s">
        <v>142</v>
      </c>
      <c r="C10" s="1">
        <v>2013</v>
      </c>
      <c r="D10" s="1">
        <v>1</v>
      </c>
      <c r="E10" s="1">
        <v>0</v>
      </c>
      <c r="F10" s="1">
        <v>0</v>
      </c>
      <c r="G10" s="1"/>
      <c r="H10" s="1"/>
      <c r="I10" s="18"/>
      <c r="J10" s="18">
        <v>415</v>
      </c>
      <c r="K10" s="18"/>
      <c r="L10" s="18"/>
      <c r="M10" s="18"/>
      <c r="N10" s="18">
        <v>3300</v>
      </c>
      <c r="O10" s="18"/>
      <c r="P10" s="18"/>
      <c r="Q10" s="19"/>
      <c r="R10" s="63"/>
      <c r="S10" s="63"/>
      <c r="T10" s="63"/>
      <c r="U10" s="19"/>
      <c r="V10" s="19"/>
      <c r="W10" s="18"/>
      <c r="X10" s="8"/>
      <c r="Y10" s="18"/>
      <c r="Z10" s="64"/>
      <c r="AA10" s="64"/>
      <c r="AB10" s="64"/>
      <c r="AC10" s="1"/>
      <c r="AD10" s="1"/>
      <c r="AE10" s="1"/>
      <c r="AF10" s="1"/>
      <c r="AG10" s="1"/>
      <c r="AH10" s="1"/>
      <c r="AI10" s="1">
        <v>4</v>
      </c>
      <c r="AJ10" s="1"/>
      <c r="AK10" s="1"/>
      <c r="AL10" s="64"/>
      <c r="AM10" s="1"/>
      <c r="AN10" s="18"/>
      <c r="AO10" s="18"/>
      <c r="AP10" s="64"/>
      <c r="AQ10" s="18"/>
      <c r="AR10" s="7"/>
      <c r="AS10" s="7"/>
      <c r="AT10" s="7"/>
      <c r="AU10" s="7"/>
      <c r="AV10" s="7"/>
      <c r="AW10" s="64"/>
      <c r="AX10" s="64"/>
      <c r="AY10" s="1"/>
      <c r="AZ10" s="1">
        <v>32</v>
      </c>
      <c r="BA10" s="1">
        <v>32</v>
      </c>
      <c r="BB10" s="1"/>
      <c r="BC10" s="12">
        <v>33</v>
      </c>
      <c r="BD10" s="1">
        <v>33</v>
      </c>
      <c r="BE10" s="12"/>
      <c r="BF10" s="12"/>
      <c r="BG10" s="12"/>
      <c r="BH10" s="12"/>
      <c r="BI10" s="1"/>
      <c r="BJ10" s="12"/>
      <c r="BK10" s="12"/>
      <c r="BL10" s="1"/>
      <c r="BM10" s="1">
        <v>33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5">
      <c r="A11" s="1" t="s">
        <v>392</v>
      </c>
      <c r="B11" s="1" t="s">
        <v>142</v>
      </c>
      <c r="C11" s="1">
        <v>2013</v>
      </c>
      <c r="D11" s="1">
        <v>1</v>
      </c>
      <c r="E11" s="1">
        <v>0</v>
      </c>
      <c r="F11" s="1">
        <v>0</v>
      </c>
      <c r="G11" s="1"/>
      <c r="H11" s="1"/>
      <c r="I11" s="18"/>
      <c r="J11" s="18">
        <v>830</v>
      </c>
      <c r="K11" s="18"/>
      <c r="L11" s="18"/>
      <c r="M11" s="18"/>
      <c r="N11" s="18">
        <v>1660</v>
      </c>
      <c r="O11" s="18"/>
      <c r="P11" s="18"/>
      <c r="Q11" s="19"/>
      <c r="R11" s="63"/>
      <c r="S11" s="63"/>
      <c r="T11" s="63"/>
      <c r="U11" s="19"/>
      <c r="V11" s="19"/>
      <c r="W11" s="18"/>
      <c r="X11" s="8"/>
      <c r="Y11" s="18"/>
      <c r="Z11" s="64"/>
      <c r="AA11" s="64"/>
      <c r="AB11" s="64"/>
      <c r="AC11" s="1"/>
      <c r="AD11" s="1"/>
      <c r="AE11" s="1"/>
      <c r="AF11" s="1"/>
      <c r="AG11" s="1"/>
      <c r="AH11" s="1"/>
      <c r="AI11" s="1">
        <v>1</v>
      </c>
      <c r="AJ11" s="1"/>
      <c r="AK11" s="1"/>
      <c r="AL11" s="64"/>
      <c r="AM11" s="1"/>
      <c r="AN11" s="18"/>
      <c r="AO11" s="18"/>
      <c r="AP11" s="64"/>
      <c r="AQ11" s="18"/>
      <c r="AR11" s="7"/>
      <c r="AS11" s="7"/>
      <c r="AT11" s="7"/>
      <c r="AU11" s="7"/>
      <c r="AV11" s="7"/>
      <c r="AW11" s="64"/>
      <c r="AX11" s="64"/>
      <c r="AY11" s="1"/>
      <c r="AZ11" s="1">
        <v>32</v>
      </c>
      <c r="BA11" s="1">
        <v>32</v>
      </c>
      <c r="BB11" s="1"/>
      <c r="BC11" s="12">
        <v>33</v>
      </c>
      <c r="BD11" s="1">
        <v>33</v>
      </c>
      <c r="BE11" s="12"/>
      <c r="BF11" s="12"/>
      <c r="BG11" s="12"/>
      <c r="BH11" s="12"/>
      <c r="BI11" s="1"/>
      <c r="BJ11" s="12"/>
      <c r="BK11" s="12"/>
      <c r="BL11" s="1"/>
      <c r="BM11" s="1">
        <v>33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5">
      <c r="A12" s="1" t="s">
        <v>137</v>
      </c>
      <c r="B12" s="1" t="s">
        <v>142</v>
      </c>
      <c r="C12" s="1">
        <v>2013</v>
      </c>
      <c r="D12" s="1">
        <v>1</v>
      </c>
      <c r="E12" s="1">
        <v>0</v>
      </c>
      <c r="F12" s="1">
        <v>0</v>
      </c>
      <c r="G12" s="1"/>
      <c r="H12" s="1"/>
      <c r="I12" s="18"/>
      <c r="J12" s="18">
        <v>170</v>
      </c>
      <c r="K12" s="18"/>
      <c r="L12" s="18"/>
      <c r="M12" s="18"/>
      <c r="N12" s="18">
        <v>300</v>
      </c>
      <c r="O12" s="18"/>
      <c r="P12" s="18"/>
      <c r="Q12" s="19"/>
      <c r="R12" s="63"/>
      <c r="S12" s="63"/>
      <c r="T12" s="63"/>
      <c r="U12" s="19"/>
      <c r="V12" s="19"/>
      <c r="W12" s="18"/>
      <c r="X12" s="8"/>
      <c r="Y12" s="18"/>
      <c r="Z12" s="64"/>
      <c r="AA12" s="64"/>
      <c r="AB12" s="64"/>
      <c r="AC12" s="1"/>
      <c r="AD12" s="1"/>
      <c r="AE12" s="1"/>
      <c r="AF12" s="1"/>
      <c r="AG12" s="1"/>
      <c r="AH12" s="1"/>
      <c r="AI12" s="1">
        <v>1</v>
      </c>
      <c r="AJ12" s="1"/>
      <c r="AK12" s="1"/>
      <c r="AL12" s="64"/>
      <c r="AM12" s="1"/>
      <c r="AN12" s="18"/>
      <c r="AO12" s="18"/>
      <c r="AP12" s="64"/>
      <c r="AQ12" s="18"/>
      <c r="AR12" s="7"/>
      <c r="AS12" s="7"/>
      <c r="AT12" s="7"/>
      <c r="AU12" s="7"/>
      <c r="AV12" s="7"/>
      <c r="AW12" s="64"/>
      <c r="AX12" s="64"/>
      <c r="AY12" s="1"/>
      <c r="AZ12" s="1">
        <v>32</v>
      </c>
      <c r="BA12" s="1">
        <v>32</v>
      </c>
      <c r="BB12" s="1"/>
      <c r="BC12" s="12">
        <v>33</v>
      </c>
      <c r="BD12" s="1">
        <v>33</v>
      </c>
      <c r="BE12" s="12"/>
      <c r="BF12" s="12"/>
      <c r="BG12" s="12"/>
      <c r="BH12" s="12"/>
      <c r="BI12" s="1"/>
      <c r="BJ12" s="12"/>
      <c r="BK12" s="12"/>
      <c r="BL12" s="1"/>
      <c r="BM12" s="1">
        <v>33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5">
      <c r="A13" s="1" t="s">
        <v>138</v>
      </c>
      <c r="B13" s="1" t="s">
        <v>142</v>
      </c>
      <c r="C13" s="1">
        <v>2013</v>
      </c>
      <c r="D13" s="1">
        <v>1</v>
      </c>
      <c r="E13" s="1">
        <v>0</v>
      </c>
      <c r="F13" s="1">
        <v>0</v>
      </c>
      <c r="G13" s="1"/>
      <c r="H13" s="1"/>
      <c r="I13" s="18"/>
      <c r="J13" s="18">
        <v>440</v>
      </c>
      <c r="K13" s="18"/>
      <c r="L13" s="18"/>
      <c r="M13" s="18"/>
      <c r="N13" s="18">
        <v>1380</v>
      </c>
      <c r="O13" s="18"/>
      <c r="P13" s="18"/>
      <c r="Q13" s="19"/>
      <c r="R13" s="63"/>
      <c r="S13" s="63"/>
      <c r="T13" s="63"/>
      <c r="U13" s="19"/>
      <c r="V13" s="19"/>
      <c r="W13" s="18"/>
      <c r="X13" s="8"/>
      <c r="Y13" s="18"/>
      <c r="Z13" s="64"/>
      <c r="AA13" s="64"/>
      <c r="AB13" s="64"/>
      <c r="AC13" s="1"/>
      <c r="AD13" s="1"/>
      <c r="AE13" s="1"/>
      <c r="AF13" s="1"/>
      <c r="AG13" s="1"/>
      <c r="AH13" s="1"/>
      <c r="AI13" s="1">
        <v>16</v>
      </c>
      <c r="AJ13" s="1"/>
      <c r="AK13" s="1"/>
      <c r="AL13" s="64"/>
      <c r="AM13" s="1"/>
      <c r="AN13" s="18"/>
      <c r="AO13" s="18"/>
      <c r="AP13" s="64"/>
      <c r="AQ13" s="18"/>
      <c r="AR13" s="7"/>
      <c r="AS13" s="7"/>
      <c r="AT13" s="7"/>
      <c r="AU13" s="7"/>
      <c r="AV13" s="7"/>
      <c r="AW13" s="64"/>
      <c r="AX13" s="64"/>
      <c r="AY13" s="1"/>
      <c r="AZ13" s="1">
        <v>32</v>
      </c>
      <c r="BA13" s="1">
        <v>32</v>
      </c>
      <c r="BB13" s="1"/>
      <c r="BC13" s="12">
        <v>33</v>
      </c>
      <c r="BD13" s="1">
        <v>33</v>
      </c>
      <c r="BE13" s="12"/>
      <c r="BF13" s="12"/>
      <c r="BG13" s="12"/>
      <c r="BH13" s="12"/>
      <c r="BI13" s="1"/>
      <c r="BJ13" s="12"/>
      <c r="BK13" s="12"/>
      <c r="BL13" s="1"/>
      <c r="BM13" s="1">
        <v>33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5">
      <c r="A14" s="1" t="s">
        <v>141</v>
      </c>
      <c r="B14" s="1" t="s">
        <v>142</v>
      </c>
      <c r="C14" s="1">
        <v>2013</v>
      </c>
      <c r="D14" s="1">
        <v>1</v>
      </c>
      <c r="E14" s="1">
        <v>0</v>
      </c>
      <c r="F14" s="1">
        <v>0</v>
      </c>
      <c r="G14" s="1"/>
      <c r="H14" s="1"/>
      <c r="I14" s="18"/>
      <c r="J14" s="18">
        <v>1290</v>
      </c>
      <c r="K14" s="18"/>
      <c r="L14" s="18"/>
      <c r="M14" s="18"/>
      <c r="N14" s="18">
        <v>5100</v>
      </c>
      <c r="O14" s="18"/>
      <c r="P14" s="18"/>
      <c r="Q14" s="19"/>
      <c r="R14" s="63"/>
      <c r="S14" s="63"/>
      <c r="T14" s="63"/>
      <c r="U14" s="19"/>
      <c r="V14" s="19"/>
      <c r="W14" s="18"/>
      <c r="X14" s="8"/>
      <c r="Y14" s="18"/>
      <c r="Z14" s="64"/>
      <c r="AA14" s="64"/>
      <c r="AB14" s="64"/>
      <c r="AC14" s="1"/>
      <c r="AD14" s="1"/>
      <c r="AE14" s="1"/>
      <c r="AF14" s="1"/>
      <c r="AG14" s="1"/>
      <c r="AH14" s="1"/>
      <c r="AI14" s="1">
        <v>16</v>
      </c>
      <c r="AJ14" s="1"/>
      <c r="AK14" s="1"/>
      <c r="AL14" s="64"/>
      <c r="AM14" s="1"/>
      <c r="AN14" s="18"/>
      <c r="AO14" s="18"/>
      <c r="AP14" s="64"/>
      <c r="AQ14" s="18"/>
      <c r="AR14" s="7"/>
      <c r="AS14" s="7"/>
      <c r="AT14" s="7"/>
      <c r="AU14" s="7"/>
      <c r="AV14" s="7"/>
      <c r="AW14" s="64"/>
      <c r="AX14" s="64"/>
      <c r="AY14" s="1"/>
      <c r="AZ14" s="1">
        <v>32</v>
      </c>
      <c r="BA14" s="1">
        <v>32</v>
      </c>
      <c r="BB14" s="1"/>
      <c r="BC14" s="12">
        <v>33</v>
      </c>
      <c r="BD14" s="1">
        <v>33</v>
      </c>
      <c r="BE14" s="12"/>
      <c r="BF14" s="12"/>
      <c r="BG14" s="12"/>
      <c r="BH14" s="12"/>
      <c r="BI14" s="1"/>
      <c r="BJ14" s="12"/>
      <c r="BK14" s="12"/>
      <c r="BL14" s="1"/>
      <c r="BM14" s="1">
        <v>33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5">
      <c r="A15" s="1" t="s">
        <v>365</v>
      </c>
      <c r="B15" s="1" t="s">
        <v>812</v>
      </c>
      <c r="C15" s="1">
        <v>2013</v>
      </c>
      <c r="D15" s="1">
        <v>1</v>
      </c>
      <c r="E15" s="1">
        <v>0</v>
      </c>
      <c r="F15" s="1">
        <v>0</v>
      </c>
      <c r="G15" s="1"/>
      <c r="H15" s="1"/>
      <c r="I15" s="18"/>
      <c r="J15" s="18">
        <v>70</v>
      </c>
      <c r="K15" s="18"/>
      <c r="L15" s="18"/>
      <c r="M15" s="18"/>
      <c r="N15" s="18">
        <v>90</v>
      </c>
      <c r="O15" s="18"/>
      <c r="P15" s="18"/>
      <c r="Q15" s="19"/>
      <c r="R15" s="63"/>
      <c r="S15" s="63"/>
      <c r="T15" s="63"/>
      <c r="U15" s="19"/>
      <c r="V15" s="19"/>
      <c r="W15" s="18"/>
      <c r="X15" s="8"/>
      <c r="Y15" s="18"/>
      <c r="Z15" s="64"/>
      <c r="AA15" s="64"/>
      <c r="AB15" s="64"/>
      <c r="AC15" s="1"/>
      <c r="AD15" s="1"/>
      <c r="AE15" s="1"/>
      <c r="AF15" s="1"/>
      <c r="AG15" s="1"/>
      <c r="AH15" s="1"/>
      <c r="AI15" s="1">
        <v>1</v>
      </c>
      <c r="AJ15" s="1"/>
      <c r="AK15" s="1"/>
      <c r="AL15" s="64"/>
      <c r="AM15" s="1"/>
      <c r="AN15" s="18"/>
      <c r="AO15" s="18"/>
      <c r="AP15" s="64"/>
      <c r="AQ15" s="18"/>
      <c r="AR15" s="7"/>
      <c r="AS15" s="7"/>
      <c r="AT15" s="7"/>
      <c r="AU15" s="7"/>
      <c r="AV15" s="7"/>
      <c r="AW15" s="64"/>
      <c r="AX15" s="64"/>
      <c r="AY15" s="1"/>
      <c r="AZ15" s="1">
        <v>32</v>
      </c>
      <c r="BA15" s="1">
        <v>32</v>
      </c>
      <c r="BB15" s="1"/>
      <c r="BC15" s="12">
        <v>33</v>
      </c>
      <c r="BD15" s="1">
        <v>33</v>
      </c>
      <c r="BE15" s="12"/>
      <c r="BF15" s="12"/>
      <c r="BG15" s="12"/>
      <c r="BH15" s="12"/>
      <c r="BI15" s="1"/>
      <c r="BJ15" s="12"/>
      <c r="BK15" s="12"/>
      <c r="BL15" s="1"/>
      <c r="BM15" s="1">
        <v>33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26D020-526F-4B4E-9D40-D6D34BD6CD26}">
          <x14:formula1>
            <xm:f>Dropdown!$C$2:$C$4</xm:f>
          </x14:formula1>
          <xm:sqref>B2:B14</xm:sqref>
        </x14:dataValidation>
        <x14:dataValidation type="list" allowBlank="1" showInputMessage="1" showErrorMessage="1" xr:uid="{556A6EC9-8855-418B-813C-68A205141095}">
          <x14:formula1>
            <xm:f>Dropdown!$C$2:$C$5</xm:f>
          </x14:formula1>
          <xm:sqref>B15</xm:sqref>
        </x14:dataValidation>
        <x14:dataValidation type="list" allowBlank="1" showInputMessage="1" showErrorMessage="1" xr:uid="{84078E24-F16A-4E3E-B6E2-992107F7B154}">
          <x14:formula1>
            <xm:f>Dropdown!$A$2:$A$92</xm:f>
          </x14:formula1>
          <xm:sqref>A2:A15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9"/>
  <dimension ref="A1:BZ34"/>
  <sheetViews>
    <sheetView zoomScale="85" zoomScaleNormal="8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K24" sqref="K24"/>
    </sheetView>
  </sheetViews>
  <sheetFormatPr baseColWidth="10" defaultColWidth="11.42578125" defaultRowHeight="12.75" x14ac:dyDescent="0.2"/>
  <cols>
    <col min="1" max="1" width="33.42578125" style="1" bestFit="1" customWidth="1"/>
    <col min="2" max="2" width="33.42578125" style="1" customWidth="1"/>
    <col min="3" max="3" width="9.5703125" style="1" bestFit="1" customWidth="1"/>
    <col min="4" max="4" width="23.42578125" style="1" bestFit="1" customWidth="1"/>
    <col min="5" max="5" width="17.7109375" style="1" bestFit="1" customWidth="1"/>
    <col min="6" max="6" width="17.7109375" style="1" customWidth="1"/>
    <col min="7" max="7" width="32.5703125" style="1" bestFit="1" customWidth="1"/>
    <col min="8" max="8" width="28.85546875" style="1" bestFit="1" customWidth="1"/>
    <col min="9" max="9" width="38.85546875" style="1" bestFit="1" customWidth="1"/>
    <col min="10" max="10" width="29.28515625" style="1" bestFit="1" customWidth="1"/>
    <col min="11" max="11" width="29.28515625" style="1" customWidth="1"/>
    <col min="12" max="14" width="24.5703125" style="1" customWidth="1"/>
    <col min="15" max="15" width="24.42578125" style="1" bestFit="1" customWidth="1"/>
    <col min="16" max="21" width="24.42578125" style="1" customWidth="1"/>
    <col min="22" max="22" width="37.7109375" style="1" bestFit="1" customWidth="1"/>
    <col min="23" max="24" width="24.7109375" style="1" customWidth="1"/>
    <col min="25" max="25" width="28.42578125" style="1" customWidth="1"/>
    <col min="26" max="26" width="27.42578125" style="1" bestFit="1" customWidth="1"/>
    <col min="27" max="28" width="27.42578125" style="1" customWidth="1"/>
    <col min="29" max="29" width="20.7109375" style="1" bestFit="1" customWidth="1"/>
    <col min="30" max="34" width="20.7109375" style="1" customWidth="1"/>
    <col min="35" max="35" width="25.85546875" style="1" bestFit="1" customWidth="1"/>
    <col min="36" max="36" width="29.7109375" style="1" bestFit="1" customWidth="1"/>
    <col min="37" max="37" width="29.7109375" style="1" customWidth="1"/>
    <col min="38" max="38" width="24" style="1" bestFit="1" customWidth="1"/>
    <col min="39" max="39" width="38.28515625" style="1" bestFit="1" customWidth="1"/>
    <col min="40" max="42" width="38.28515625" style="1" customWidth="1"/>
    <col min="43" max="43" width="38.28515625" style="1" bestFit="1" customWidth="1"/>
    <col min="44" max="45" width="38.28515625" style="1" customWidth="1"/>
    <col min="46" max="46" width="33.42578125" style="1" bestFit="1" customWidth="1"/>
    <col min="47" max="49" width="33.42578125" style="1" customWidth="1"/>
    <col min="50" max="50" width="25.7109375" style="1" bestFit="1" customWidth="1"/>
    <col min="51" max="53" width="25.7109375" style="1" customWidth="1"/>
    <col min="54" max="54" width="56.7109375" style="1" bestFit="1" customWidth="1"/>
    <col min="55" max="57" width="35.5703125" style="1" customWidth="1"/>
    <col min="58" max="58" width="31.7109375" style="1" bestFit="1" customWidth="1"/>
    <col min="59" max="59" width="31.5703125" style="1" bestFit="1" customWidth="1"/>
    <col min="60" max="64" width="31.5703125" style="1" customWidth="1"/>
    <col min="65" max="65" width="37.42578125" style="1" bestFit="1" customWidth="1"/>
    <col min="66" max="66" width="35.7109375" style="1" bestFit="1" customWidth="1"/>
    <col min="67" max="67" width="28.85546875" style="1" bestFit="1" customWidth="1"/>
    <col min="68" max="68" width="34" style="1" bestFit="1" customWidth="1"/>
    <col min="69" max="69" width="37.85546875" style="1" bestFit="1" customWidth="1"/>
    <col min="70" max="70" width="34.42578125" style="1" bestFit="1" customWidth="1"/>
    <col min="71" max="71" width="38.140625" style="1" bestFit="1" customWidth="1"/>
    <col min="72" max="72" width="22.85546875" style="1" bestFit="1" customWidth="1"/>
    <col min="73" max="73" width="28.5703125" style="1" bestFit="1" customWidth="1"/>
    <col min="74" max="74" width="28.28515625" style="1" bestFit="1" customWidth="1"/>
    <col min="75" max="76" width="28.28515625" style="1" customWidth="1"/>
    <col min="77" max="77" width="31" style="1" bestFit="1" customWidth="1"/>
    <col min="78" max="78" width="28.85546875" style="1" bestFit="1" customWidth="1"/>
    <col min="79" max="16384" width="11.42578125" style="1"/>
  </cols>
  <sheetData>
    <row r="1" spans="1:78" x14ac:dyDescent="0.2">
      <c r="A1" s="2" t="s">
        <v>0</v>
      </c>
      <c r="B1" s="2" t="s">
        <v>131</v>
      </c>
      <c r="C1" s="2" t="s">
        <v>8</v>
      </c>
      <c r="D1" s="2" t="s">
        <v>159</v>
      </c>
      <c r="E1" s="2" t="s">
        <v>160</v>
      </c>
      <c r="F1" s="2" t="s">
        <v>313</v>
      </c>
      <c r="G1" s="2" t="s">
        <v>771</v>
      </c>
      <c r="H1" s="2" t="s">
        <v>49</v>
      </c>
      <c r="I1" s="2" t="s">
        <v>149</v>
      </c>
      <c r="J1" s="2" t="s">
        <v>50</v>
      </c>
      <c r="K1" s="2" t="s">
        <v>541</v>
      </c>
      <c r="L1" s="2" t="s">
        <v>97</v>
      </c>
      <c r="M1" s="2" t="s">
        <v>154</v>
      </c>
      <c r="N1" s="2" t="s">
        <v>156</v>
      </c>
      <c r="O1" s="2" t="s">
        <v>155</v>
      </c>
      <c r="P1" s="2" t="s">
        <v>56</v>
      </c>
      <c r="Q1" s="2" t="s">
        <v>55</v>
      </c>
      <c r="R1" s="2" t="s">
        <v>551</v>
      </c>
      <c r="S1" s="2" t="s">
        <v>1082</v>
      </c>
      <c r="T1" s="2" t="s">
        <v>235</v>
      </c>
      <c r="U1" s="2" t="s">
        <v>552</v>
      </c>
      <c r="V1" s="2" t="s">
        <v>116</v>
      </c>
      <c r="W1" s="2" t="s">
        <v>57</v>
      </c>
      <c r="X1" s="2" t="s">
        <v>123</v>
      </c>
      <c r="Y1" s="2" t="s">
        <v>58</v>
      </c>
      <c r="Z1" s="2" t="s">
        <v>9</v>
      </c>
      <c r="AA1" s="2" t="s">
        <v>423</v>
      </c>
      <c r="AB1" s="2" t="s">
        <v>225</v>
      </c>
      <c r="AC1" s="2" t="s">
        <v>157</v>
      </c>
      <c r="AD1" s="2" t="s">
        <v>227</v>
      </c>
      <c r="AE1" s="2" t="s">
        <v>228</v>
      </c>
      <c r="AF1" s="2" t="s">
        <v>158</v>
      </c>
      <c r="AG1" s="2" t="s">
        <v>214</v>
      </c>
      <c r="AH1" s="2" t="s">
        <v>215</v>
      </c>
      <c r="AI1" s="2" t="s">
        <v>3</v>
      </c>
      <c r="AJ1" s="2" t="s">
        <v>560</v>
      </c>
      <c r="AK1" s="2" t="s">
        <v>561</v>
      </c>
      <c r="AL1" s="2" t="s">
        <v>16</v>
      </c>
      <c r="AM1" s="2" t="s">
        <v>4</v>
      </c>
      <c r="AN1" s="2" t="s">
        <v>99</v>
      </c>
      <c r="AO1" s="2" t="s">
        <v>183</v>
      </c>
      <c r="AP1" s="2" t="s">
        <v>182</v>
      </c>
      <c r="AQ1" s="2" t="s">
        <v>12</v>
      </c>
      <c r="AR1" s="2" t="s">
        <v>231</v>
      </c>
      <c r="AS1" s="2" t="s">
        <v>232</v>
      </c>
      <c r="AT1" s="2" t="s">
        <v>562</v>
      </c>
      <c r="AU1" s="2" t="s">
        <v>563</v>
      </c>
      <c r="AV1" s="2" t="s">
        <v>555</v>
      </c>
      <c r="AW1" s="2" t="s">
        <v>332</v>
      </c>
      <c r="AX1" s="2" t="s">
        <v>333</v>
      </c>
      <c r="AY1" s="2" t="s">
        <v>147</v>
      </c>
      <c r="AZ1" s="2" t="s">
        <v>557</v>
      </c>
      <c r="BA1" s="2" t="s">
        <v>558</v>
      </c>
      <c r="BB1" s="2" t="s">
        <v>22</v>
      </c>
      <c r="BC1" s="2" t="s">
        <v>162</v>
      </c>
      <c r="BD1" s="2" t="s">
        <v>163</v>
      </c>
      <c r="BE1" s="2" t="s">
        <v>807</v>
      </c>
      <c r="BF1" s="2" t="s">
        <v>1</v>
      </c>
      <c r="BG1" s="2" t="s">
        <v>2</v>
      </c>
      <c r="BH1" s="2" t="s">
        <v>59</v>
      </c>
      <c r="BI1" s="2" t="s">
        <v>1089</v>
      </c>
      <c r="BJ1" s="2" t="s">
        <v>236</v>
      </c>
      <c r="BK1" s="2" t="s">
        <v>117</v>
      </c>
      <c r="BL1" s="2" t="s">
        <v>60</v>
      </c>
      <c r="BM1" s="2" t="s">
        <v>61</v>
      </c>
      <c r="BN1" s="2" t="s">
        <v>98</v>
      </c>
      <c r="BO1" s="2" t="s">
        <v>5</v>
      </c>
      <c r="BP1" s="2" t="s">
        <v>6</v>
      </c>
      <c r="BQ1" s="2" t="s">
        <v>17</v>
      </c>
      <c r="BR1" s="2" t="s">
        <v>18</v>
      </c>
      <c r="BS1" s="2" t="s">
        <v>7</v>
      </c>
      <c r="BT1" s="2" t="s">
        <v>19</v>
      </c>
      <c r="BU1" s="2" t="s">
        <v>20</v>
      </c>
      <c r="BV1" s="2" t="s">
        <v>21</v>
      </c>
      <c r="BW1" s="2" t="s">
        <v>148</v>
      </c>
      <c r="BX1" s="2" t="s">
        <v>408</v>
      </c>
      <c r="BY1" s="2" t="s">
        <v>23</v>
      </c>
      <c r="BZ1" s="2" t="s">
        <v>51</v>
      </c>
    </row>
    <row r="2" spans="1:78" x14ac:dyDescent="0.2">
      <c r="A2" s="83" t="s">
        <v>54</v>
      </c>
      <c r="B2" s="1" t="s">
        <v>129</v>
      </c>
      <c r="C2" s="1">
        <v>2012</v>
      </c>
      <c r="D2" s="1">
        <v>0</v>
      </c>
      <c r="E2" s="1">
        <v>1</v>
      </c>
      <c r="F2" s="1">
        <v>0</v>
      </c>
      <c r="G2" s="1">
        <v>6.8659999999999997</v>
      </c>
      <c r="H2" s="18"/>
      <c r="I2" s="18">
        <v>281</v>
      </c>
      <c r="J2" s="18"/>
      <c r="K2" s="18">
        <v>1126</v>
      </c>
      <c r="L2" s="18"/>
      <c r="M2" s="18"/>
      <c r="N2" s="18"/>
      <c r="O2" s="18"/>
      <c r="P2" s="18"/>
      <c r="Q2" s="8"/>
      <c r="R2" s="8">
        <v>0.25</v>
      </c>
      <c r="S2" s="8">
        <v>0</v>
      </c>
      <c r="T2" s="8"/>
      <c r="U2" s="48">
        <v>6100</v>
      </c>
      <c r="V2" s="19">
        <v>1126</v>
      </c>
      <c r="W2" s="18"/>
      <c r="X2" s="8"/>
      <c r="Y2" s="18"/>
      <c r="Z2" s="1">
        <v>0.25</v>
      </c>
      <c r="AC2" s="1">
        <v>1</v>
      </c>
      <c r="AN2" s="1">
        <v>52</v>
      </c>
      <c r="AO2" s="18">
        <f>0.2*Umrechnungsfaktoren!$B$15/Umrechnungsfaktoren!$B$14</f>
        <v>0.20352941176470588</v>
      </c>
      <c r="AP2" s="18">
        <f>0.9*Umrechnungsfaktoren!$B$15/Umrechnungsfaktoren!$B$14</f>
        <v>0.91588235294117648</v>
      </c>
      <c r="AQ2" s="18">
        <f>0.5*Umrechnungsfaktoren!$B$15/Umrechnungsfaktoren!$B$14</f>
        <v>0.50882352941176467</v>
      </c>
      <c r="AR2" s="7"/>
      <c r="AS2" s="7"/>
      <c r="AT2" s="18">
        <f>7.2*Umrechnungsfaktoren!$B$15/Umrechnungsfaktoren!$B$14</f>
        <v>7.3270588235294118</v>
      </c>
      <c r="AU2" s="18">
        <f>7.2*Umrechnungsfaktoren!$B$15/Umrechnungsfaktoren!$B$14</f>
        <v>7.3270588235294118</v>
      </c>
      <c r="AV2" s="18">
        <f>164*Umrechnungsfaktoren!$B$15/Umrechnungsfaktoren!$B$14</f>
        <v>166.89411764705881</v>
      </c>
      <c r="AW2" s="7"/>
      <c r="AX2" s="18">
        <f>0.05*Umrechnungsfaktoren!$B$15/Umrechnungsfaktoren!$B$14</f>
        <v>5.0882352941176469E-2</v>
      </c>
      <c r="AY2" s="7"/>
      <c r="AZ2" s="6">
        <v>0.96399999999999997</v>
      </c>
      <c r="BA2" s="6">
        <v>0.96399999999999997</v>
      </c>
      <c r="BE2" s="1">
        <v>56</v>
      </c>
      <c r="BF2" s="12" t="s">
        <v>553</v>
      </c>
      <c r="BG2" s="1">
        <v>57</v>
      </c>
      <c r="BH2" s="12"/>
      <c r="BI2" s="12">
        <v>57</v>
      </c>
      <c r="BJ2" s="12"/>
      <c r="BK2" s="12">
        <v>56</v>
      </c>
      <c r="BM2" s="12"/>
      <c r="BN2" s="12">
        <v>60</v>
      </c>
      <c r="BO2" s="1" t="s">
        <v>363</v>
      </c>
      <c r="BS2" s="1" t="s">
        <v>363</v>
      </c>
      <c r="BT2" s="1">
        <v>70</v>
      </c>
      <c r="BU2" s="1">
        <v>69</v>
      </c>
      <c r="BV2" s="1">
        <v>70</v>
      </c>
      <c r="BX2" s="1" t="s">
        <v>556</v>
      </c>
    </row>
    <row r="3" spans="1:78" x14ac:dyDescent="0.2">
      <c r="A3" s="83" t="s">
        <v>54</v>
      </c>
      <c r="B3" s="1" t="s">
        <v>129</v>
      </c>
      <c r="C3" s="1">
        <v>2020</v>
      </c>
      <c r="D3" s="1">
        <v>0</v>
      </c>
      <c r="E3" s="1">
        <v>1</v>
      </c>
      <c r="F3" s="1">
        <v>0</v>
      </c>
      <c r="H3" s="18"/>
      <c r="I3" s="18">
        <v>277</v>
      </c>
      <c r="J3" s="18"/>
      <c r="K3" s="18">
        <v>1107</v>
      </c>
      <c r="L3" s="18"/>
      <c r="M3" s="18"/>
      <c r="N3" s="18"/>
      <c r="O3" s="18"/>
      <c r="P3" s="18"/>
      <c r="Q3" s="8"/>
      <c r="R3" s="8">
        <v>0.25</v>
      </c>
      <c r="S3" s="8">
        <v>0</v>
      </c>
      <c r="T3" s="8"/>
      <c r="U3" s="48"/>
      <c r="V3" s="19"/>
      <c r="W3" s="18"/>
      <c r="X3" s="8"/>
      <c r="Y3" s="18"/>
      <c r="Z3" s="1">
        <v>0.25</v>
      </c>
      <c r="AC3" s="1">
        <v>1</v>
      </c>
      <c r="AO3" s="18">
        <f>0.2*Umrechnungsfaktoren!$B$15/Umrechnungsfaktoren!$B$14</f>
        <v>0.20352941176470588</v>
      </c>
      <c r="AP3" s="18">
        <f>0.9*Umrechnungsfaktoren!$B$15/Umrechnungsfaktoren!$B$14</f>
        <v>0.91588235294117648</v>
      </c>
      <c r="AQ3" s="18">
        <f>0.5*Umrechnungsfaktoren!$B$15/Umrechnungsfaktoren!$B$14</f>
        <v>0.50882352941176467</v>
      </c>
      <c r="AR3" s="7"/>
      <c r="AS3" s="7"/>
      <c r="AT3" s="18">
        <f>7.2*Umrechnungsfaktoren!$B$15/Umrechnungsfaktoren!$B$14</f>
        <v>7.3270588235294118</v>
      </c>
      <c r="AU3" s="18">
        <f>7.2*Umrechnungsfaktoren!$B$15/Umrechnungsfaktoren!$B$14</f>
        <v>7.3270588235294118</v>
      </c>
      <c r="AV3" s="18">
        <f>164*Umrechnungsfaktoren!$B$15/Umrechnungsfaktoren!$B$14</f>
        <v>166.89411764705881</v>
      </c>
      <c r="AW3" s="7"/>
      <c r="AX3" s="18">
        <f>0.05*Umrechnungsfaktoren!$B$15/Umrechnungsfaktoren!$B$14</f>
        <v>5.0882352941176469E-2</v>
      </c>
      <c r="AY3" s="7"/>
      <c r="AZ3" s="6">
        <v>0.96399999999999997</v>
      </c>
      <c r="BA3" s="6">
        <v>0.96399999999999997</v>
      </c>
      <c r="BF3" s="12">
        <v>80</v>
      </c>
      <c r="BG3" s="12">
        <v>80</v>
      </c>
      <c r="BH3" s="12"/>
      <c r="BI3" s="12"/>
      <c r="BJ3" s="12"/>
      <c r="BK3" s="12"/>
      <c r="BM3" s="12"/>
      <c r="BN3" s="12"/>
    </row>
    <row r="4" spans="1:78" x14ac:dyDescent="0.2">
      <c r="A4" s="83" t="s">
        <v>54</v>
      </c>
      <c r="B4" s="1" t="s">
        <v>129</v>
      </c>
      <c r="C4" s="1">
        <v>2025</v>
      </c>
      <c r="D4" s="1">
        <v>0</v>
      </c>
      <c r="E4" s="1">
        <v>1</v>
      </c>
      <c r="F4" s="1">
        <v>0</v>
      </c>
      <c r="H4" s="18"/>
      <c r="I4" s="18">
        <v>257</v>
      </c>
      <c r="J4" s="18"/>
      <c r="K4" s="18">
        <v>1029</v>
      </c>
      <c r="L4" s="18"/>
      <c r="M4" s="18"/>
      <c r="N4" s="18"/>
      <c r="O4" s="18"/>
      <c r="P4" s="18"/>
      <c r="Q4" s="8"/>
      <c r="R4" s="8">
        <v>0.25</v>
      </c>
      <c r="S4" s="8">
        <v>0</v>
      </c>
      <c r="T4" s="8"/>
      <c r="U4" s="48"/>
      <c r="V4" s="19"/>
      <c r="W4" s="18"/>
      <c r="X4" s="8"/>
      <c r="Y4" s="18"/>
      <c r="Z4" s="1">
        <v>0.25</v>
      </c>
      <c r="AC4" s="1">
        <v>1</v>
      </c>
      <c r="AO4" s="18">
        <f>0.2*Umrechnungsfaktoren!$B$15/Umrechnungsfaktoren!$B$14</f>
        <v>0.20352941176470588</v>
      </c>
      <c r="AP4" s="18">
        <f>0.9*Umrechnungsfaktoren!$B$15/Umrechnungsfaktoren!$B$14</f>
        <v>0.91588235294117648</v>
      </c>
      <c r="AQ4" s="18">
        <f>0.5*Umrechnungsfaktoren!$B$15/Umrechnungsfaktoren!$B$14</f>
        <v>0.50882352941176467</v>
      </c>
      <c r="AR4" s="7"/>
      <c r="AS4" s="7"/>
      <c r="AT4" s="18">
        <f>7.2*Umrechnungsfaktoren!$B$15/Umrechnungsfaktoren!$B$14</f>
        <v>7.3270588235294118</v>
      </c>
      <c r="AU4" s="18">
        <f>7.2*Umrechnungsfaktoren!$B$15/Umrechnungsfaktoren!$B$14</f>
        <v>7.3270588235294118</v>
      </c>
      <c r="AV4" s="18">
        <f>164*Umrechnungsfaktoren!$B$15/Umrechnungsfaktoren!$B$14</f>
        <v>166.89411764705881</v>
      </c>
      <c r="AW4" s="7"/>
      <c r="AX4" s="18">
        <f>0.05*Umrechnungsfaktoren!$B$15/Umrechnungsfaktoren!$B$14</f>
        <v>5.0882352941176469E-2</v>
      </c>
      <c r="AY4" s="7"/>
      <c r="AZ4" s="6">
        <v>0.96399999999999997</v>
      </c>
      <c r="BA4" s="6">
        <v>0.96399999999999997</v>
      </c>
      <c r="BF4" s="12">
        <v>80</v>
      </c>
      <c r="BG4" s="12">
        <v>80</v>
      </c>
      <c r="BH4" s="12"/>
      <c r="BI4" s="12"/>
      <c r="BJ4" s="12"/>
      <c r="BK4" s="12"/>
      <c r="BM4" s="12"/>
      <c r="BN4" s="12"/>
    </row>
    <row r="5" spans="1:78" x14ac:dyDescent="0.2">
      <c r="A5" s="83" t="s">
        <v>54</v>
      </c>
      <c r="B5" s="1" t="s">
        <v>129</v>
      </c>
      <c r="C5" s="1">
        <v>2030</v>
      </c>
      <c r="D5" s="1">
        <v>0</v>
      </c>
      <c r="E5" s="1">
        <v>1</v>
      </c>
      <c r="F5" s="1">
        <v>0</v>
      </c>
      <c r="H5" s="18"/>
      <c r="I5" s="18">
        <v>238</v>
      </c>
      <c r="J5" s="18"/>
      <c r="K5" s="18">
        <v>951</v>
      </c>
      <c r="L5" s="18"/>
      <c r="M5" s="18"/>
      <c r="N5" s="18"/>
      <c r="O5" s="18"/>
      <c r="P5" s="18"/>
      <c r="Q5" s="8"/>
      <c r="R5" s="8">
        <v>0.25</v>
      </c>
      <c r="S5" s="8">
        <v>0</v>
      </c>
      <c r="T5" s="8"/>
      <c r="U5" s="48"/>
      <c r="V5" s="19"/>
      <c r="W5" s="18"/>
      <c r="X5" s="8"/>
      <c r="Y5" s="18"/>
      <c r="Z5" s="1">
        <v>0.25</v>
      </c>
      <c r="AC5" s="1">
        <v>1</v>
      </c>
      <c r="AO5" s="18">
        <f>0.2*Umrechnungsfaktoren!$B$15/Umrechnungsfaktoren!$B$14</f>
        <v>0.20352941176470588</v>
      </c>
      <c r="AP5" s="18">
        <f>0.9*Umrechnungsfaktoren!$B$15/Umrechnungsfaktoren!$B$14</f>
        <v>0.91588235294117648</v>
      </c>
      <c r="AQ5" s="18">
        <f>0.5*Umrechnungsfaktoren!$B$15/Umrechnungsfaktoren!$B$14</f>
        <v>0.50882352941176467</v>
      </c>
      <c r="AR5" s="7"/>
      <c r="AS5" s="7"/>
      <c r="AT5" s="18">
        <f>7.2*Umrechnungsfaktoren!$B$15/Umrechnungsfaktoren!$B$14</f>
        <v>7.3270588235294118</v>
      </c>
      <c r="AU5" s="18">
        <f>7.2*Umrechnungsfaktoren!$B$15/Umrechnungsfaktoren!$B$14</f>
        <v>7.3270588235294118</v>
      </c>
      <c r="AV5" s="18">
        <f>164*Umrechnungsfaktoren!$B$15/Umrechnungsfaktoren!$B$14</f>
        <v>166.89411764705881</v>
      </c>
      <c r="AW5" s="7"/>
      <c r="AX5" s="18">
        <f>0.05*Umrechnungsfaktoren!$B$15/Umrechnungsfaktoren!$B$14</f>
        <v>5.0882352941176469E-2</v>
      </c>
      <c r="AY5" s="7"/>
      <c r="AZ5" s="6">
        <v>0.96399999999999997</v>
      </c>
      <c r="BA5" s="6">
        <v>0.96399999999999997</v>
      </c>
      <c r="BF5" s="12">
        <v>80</v>
      </c>
      <c r="BG5" s="12">
        <v>80</v>
      </c>
      <c r="BH5" s="12"/>
      <c r="BI5" s="12"/>
      <c r="BJ5" s="12"/>
      <c r="BK5" s="12"/>
      <c r="BM5" s="12"/>
      <c r="BN5" s="12"/>
    </row>
    <row r="6" spans="1:78" x14ac:dyDescent="0.2">
      <c r="A6" s="83" t="s">
        <v>29</v>
      </c>
      <c r="B6" s="1" t="s">
        <v>129</v>
      </c>
      <c r="C6" s="1">
        <v>2012</v>
      </c>
      <c r="D6" s="1">
        <v>1</v>
      </c>
      <c r="E6" s="1">
        <v>1</v>
      </c>
      <c r="F6" s="1">
        <v>0</v>
      </c>
      <c r="G6" s="1">
        <f>1.837+5.773</f>
        <v>7.6099999999999994</v>
      </c>
      <c r="H6" s="18"/>
      <c r="I6" s="18">
        <f>114+359</f>
        <v>473</v>
      </c>
      <c r="J6" s="18"/>
      <c r="K6" s="18">
        <v>988</v>
      </c>
      <c r="L6" s="18"/>
      <c r="M6" s="18"/>
      <c r="N6" s="18">
        <f>72+227</f>
        <v>299</v>
      </c>
      <c r="O6" s="18"/>
      <c r="P6" s="18"/>
      <c r="Q6" s="19"/>
      <c r="R6" s="8">
        <v>0.48</v>
      </c>
      <c r="S6" s="8">
        <v>0.3</v>
      </c>
      <c r="T6" s="8"/>
      <c r="U6" s="48">
        <v>7700</v>
      </c>
      <c r="V6" s="19">
        <f>239+750</f>
        <v>989</v>
      </c>
      <c r="W6" s="18"/>
      <c r="X6" s="8"/>
      <c r="Y6" s="18"/>
      <c r="Z6" s="1">
        <v>0.25</v>
      </c>
      <c r="AC6" s="1">
        <v>2</v>
      </c>
      <c r="AN6" s="1">
        <v>52</v>
      </c>
      <c r="AO6" s="18">
        <f>0.2*Umrechnungsfaktoren!$B$15/Umrechnungsfaktoren!$B$14</f>
        <v>0.20352941176470588</v>
      </c>
      <c r="AP6" s="18">
        <f>0.9*Umrechnungsfaktoren!$B$15/Umrechnungsfaktoren!$B$14</f>
        <v>0.91588235294117648</v>
      </c>
      <c r="AQ6" s="18">
        <f>0.5*Umrechnungsfaktoren!$B$15/Umrechnungsfaktoren!$B$14</f>
        <v>0.50882352941176467</v>
      </c>
      <c r="AR6" s="7"/>
      <c r="AS6" s="7"/>
      <c r="AT6" s="18"/>
      <c r="AU6" s="18">
        <f>27.7*Umrechnungsfaktoren!$B$15/Umrechnungsfaktoren!$B$14</f>
        <v>28.188823529411764</v>
      </c>
      <c r="AV6" s="7">
        <f>96*Umrechnungsfaktoren!$B$15/Umrechnungsfaktoren!$B$14</f>
        <v>97.694117647058818</v>
      </c>
      <c r="AW6" s="7"/>
      <c r="AX6" s="7">
        <f>0.05*Umrechnungsfaktoren!$B$15/Umrechnungsfaktoren!$B$14</f>
        <v>5.0882352941176469E-2</v>
      </c>
      <c r="AY6" s="7"/>
      <c r="AZ6" s="6">
        <v>1.036</v>
      </c>
      <c r="BA6" s="6">
        <v>0.95499999999999996</v>
      </c>
      <c r="BE6" s="1">
        <v>56</v>
      </c>
      <c r="BF6" s="12" t="s">
        <v>553</v>
      </c>
      <c r="BG6" s="1">
        <v>57</v>
      </c>
      <c r="BH6" s="12"/>
      <c r="BI6" s="12">
        <v>57</v>
      </c>
      <c r="BJ6" s="12"/>
      <c r="BK6" s="12">
        <v>56</v>
      </c>
      <c r="BM6" s="12"/>
      <c r="BN6" s="12">
        <v>60</v>
      </c>
      <c r="BO6" s="1" t="s">
        <v>363</v>
      </c>
      <c r="BS6" s="1" t="s">
        <v>363</v>
      </c>
      <c r="BT6" s="1">
        <v>70</v>
      </c>
      <c r="BU6" s="1">
        <v>69</v>
      </c>
      <c r="BV6" s="1">
        <v>70</v>
      </c>
      <c r="BX6" s="1" t="s">
        <v>556</v>
      </c>
    </row>
    <row r="7" spans="1:78" x14ac:dyDescent="0.2">
      <c r="A7" s="83" t="s">
        <v>29</v>
      </c>
      <c r="B7" s="1" t="s">
        <v>129</v>
      </c>
      <c r="C7" s="1">
        <v>2020</v>
      </c>
      <c r="D7" s="1">
        <v>1</v>
      </c>
      <c r="E7" s="1">
        <v>1</v>
      </c>
      <c r="F7" s="1">
        <v>0</v>
      </c>
      <c r="H7" s="18"/>
      <c r="I7" s="18">
        <v>430</v>
      </c>
      <c r="J7" s="18"/>
      <c r="K7" s="18">
        <v>1248</v>
      </c>
      <c r="L7" s="18"/>
      <c r="M7" s="18"/>
      <c r="N7" s="18">
        <v>272</v>
      </c>
      <c r="O7" s="18"/>
      <c r="P7" s="18"/>
      <c r="Q7" s="19"/>
      <c r="R7" s="8">
        <v>0.48</v>
      </c>
      <c r="S7" s="8">
        <v>0.3</v>
      </c>
      <c r="T7" s="8"/>
      <c r="U7" s="48"/>
      <c r="V7" s="19"/>
      <c r="W7" s="18"/>
      <c r="X7" s="8"/>
      <c r="Y7" s="18"/>
      <c r="Z7" s="1">
        <v>0.25</v>
      </c>
      <c r="AC7" s="1">
        <v>2</v>
      </c>
      <c r="AO7" s="18">
        <f>0.2*Umrechnungsfaktoren!$B$15/Umrechnungsfaktoren!$B$14</f>
        <v>0.20352941176470588</v>
      </c>
      <c r="AP7" s="18">
        <f>0.9*Umrechnungsfaktoren!$B$15/Umrechnungsfaktoren!$B$14</f>
        <v>0.91588235294117648</v>
      </c>
      <c r="AQ7" s="18">
        <f>0.5*Umrechnungsfaktoren!$B$15/Umrechnungsfaktoren!$B$14</f>
        <v>0.50882352941176467</v>
      </c>
      <c r="AR7" s="7"/>
      <c r="AS7" s="7"/>
      <c r="AT7" s="18"/>
      <c r="AU7" s="18">
        <f>27.7*Umrechnungsfaktoren!$B$15/Umrechnungsfaktoren!$B$14</f>
        <v>28.188823529411764</v>
      </c>
      <c r="AV7" s="7">
        <f>96*Umrechnungsfaktoren!$B$15/Umrechnungsfaktoren!$B$14</f>
        <v>97.694117647058818</v>
      </c>
      <c r="AW7" s="7"/>
      <c r="AX7" s="7">
        <f>0.05*Umrechnungsfaktoren!$B$15/Umrechnungsfaktoren!$B$14</f>
        <v>5.0882352941176469E-2</v>
      </c>
      <c r="AY7" s="7"/>
      <c r="AZ7" s="6">
        <v>1.036</v>
      </c>
      <c r="BA7" s="6">
        <v>0.95499999999999996</v>
      </c>
      <c r="BF7" s="12">
        <v>80</v>
      </c>
      <c r="BG7" s="12">
        <v>80</v>
      </c>
      <c r="BH7" s="12"/>
      <c r="BI7" s="12"/>
      <c r="BJ7" s="12"/>
      <c r="BK7" s="12"/>
      <c r="BM7" s="12"/>
      <c r="BN7" s="12"/>
    </row>
    <row r="8" spans="1:78" x14ac:dyDescent="0.2">
      <c r="A8" s="83" t="s">
        <v>29</v>
      </c>
      <c r="B8" s="1" t="s">
        <v>129</v>
      </c>
      <c r="C8" s="1">
        <v>2025</v>
      </c>
      <c r="D8" s="1">
        <v>1</v>
      </c>
      <c r="E8" s="1">
        <v>1</v>
      </c>
      <c r="F8" s="1">
        <v>0</v>
      </c>
      <c r="H8" s="18"/>
      <c r="I8" s="18">
        <v>563</v>
      </c>
      <c r="J8" s="18"/>
      <c r="K8" s="18">
        <v>1632</v>
      </c>
      <c r="L8" s="18"/>
      <c r="M8" s="18"/>
      <c r="N8" s="18">
        <v>356</v>
      </c>
      <c r="O8" s="18"/>
      <c r="P8" s="18"/>
      <c r="Q8" s="19"/>
      <c r="R8" s="8">
        <v>0.48</v>
      </c>
      <c r="S8" s="8">
        <v>0.3</v>
      </c>
      <c r="T8" s="8"/>
      <c r="U8" s="48"/>
      <c r="V8" s="19"/>
      <c r="W8" s="18"/>
      <c r="X8" s="8"/>
      <c r="Y8" s="18"/>
      <c r="Z8" s="1">
        <v>0.25</v>
      </c>
      <c r="AC8" s="1">
        <v>2</v>
      </c>
      <c r="AO8" s="18">
        <f>0.2*Umrechnungsfaktoren!$B$15/Umrechnungsfaktoren!$B$14</f>
        <v>0.20352941176470588</v>
      </c>
      <c r="AP8" s="18">
        <f>0.9*Umrechnungsfaktoren!$B$15/Umrechnungsfaktoren!$B$14</f>
        <v>0.91588235294117648</v>
      </c>
      <c r="AQ8" s="18">
        <f>0.5*Umrechnungsfaktoren!$B$15/Umrechnungsfaktoren!$B$14</f>
        <v>0.50882352941176467</v>
      </c>
      <c r="AR8" s="7"/>
      <c r="AS8" s="7"/>
      <c r="AT8" s="18"/>
      <c r="AU8" s="18">
        <f>27.7*Umrechnungsfaktoren!$B$15/Umrechnungsfaktoren!$B$14</f>
        <v>28.188823529411764</v>
      </c>
      <c r="AV8" s="7">
        <f>96*Umrechnungsfaktoren!$B$15/Umrechnungsfaktoren!$B$14</f>
        <v>97.694117647058818</v>
      </c>
      <c r="AW8" s="7"/>
      <c r="AX8" s="7">
        <f>0.05*Umrechnungsfaktoren!$B$15/Umrechnungsfaktoren!$B$14</f>
        <v>5.0882352941176469E-2</v>
      </c>
      <c r="AY8" s="7"/>
      <c r="AZ8" s="6">
        <v>1.036</v>
      </c>
      <c r="BA8" s="6">
        <v>0.95499999999999996</v>
      </c>
      <c r="BF8" s="12">
        <v>80</v>
      </c>
      <c r="BG8" s="12">
        <v>80</v>
      </c>
      <c r="BH8" s="12"/>
      <c r="BI8" s="12"/>
      <c r="BJ8" s="12"/>
      <c r="BK8" s="12"/>
      <c r="BM8" s="12"/>
      <c r="BN8" s="12"/>
    </row>
    <row r="9" spans="1:78" x14ac:dyDescent="0.2">
      <c r="A9" s="83" t="s">
        <v>29</v>
      </c>
      <c r="B9" s="1" t="s">
        <v>129</v>
      </c>
      <c r="C9" s="1">
        <v>2030</v>
      </c>
      <c r="D9" s="1">
        <v>1</v>
      </c>
      <c r="E9" s="1">
        <v>1</v>
      </c>
      <c r="F9" s="1">
        <v>0</v>
      </c>
      <c r="H9" s="18"/>
      <c r="I9" s="18">
        <v>557</v>
      </c>
      <c r="J9" s="18"/>
      <c r="K9" s="18">
        <v>1615</v>
      </c>
      <c r="L9" s="18"/>
      <c r="M9" s="18"/>
      <c r="N9" s="18">
        <v>352</v>
      </c>
      <c r="O9" s="18"/>
      <c r="P9" s="18"/>
      <c r="Q9" s="19"/>
      <c r="R9" s="8">
        <v>0.48</v>
      </c>
      <c r="S9" s="8">
        <v>0.3</v>
      </c>
      <c r="T9" s="8"/>
      <c r="U9" s="48"/>
      <c r="V9" s="19"/>
      <c r="W9" s="18"/>
      <c r="X9" s="8"/>
      <c r="Y9" s="18"/>
      <c r="Z9" s="1">
        <v>0.25</v>
      </c>
      <c r="AC9" s="1">
        <v>2</v>
      </c>
      <c r="AO9" s="18">
        <f>0.2*Umrechnungsfaktoren!$B$15/Umrechnungsfaktoren!$B$14</f>
        <v>0.20352941176470588</v>
      </c>
      <c r="AP9" s="18">
        <f>0.9*Umrechnungsfaktoren!$B$15/Umrechnungsfaktoren!$B$14</f>
        <v>0.91588235294117648</v>
      </c>
      <c r="AQ9" s="18">
        <f>0.5*Umrechnungsfaktoren!$B$15/Umrechnungsfaktoren!$B$14</f>
        <v>0.50882352941176467</v>
      </c>
      <c r="AR9" s="7"/>
      <c r="AS9" s="7"/>
      <c r="AT9" s="18"/>
      <c r="AU9" s="18">
        <f>27.7*Umrechnungsfaktoren!$B$15/Umrechnungsfaktoren!$B$14</f>
        <v>28.188823529411764</v>
      </c>
      <c r="AV9" s="7">
        <f>96*Umrechnungsfaktoren!$B$15/Umrechnungsfaktoren!$B$14</f>
        <v>97.694117647058818</v>
      </c>
      <c r="AW9" s="7"/>
      <c r="AX9" s="7">
        <f>0.05*Umrechnungsfaktoren!$B$15/Umrechnungsfaktoren!$B$14</f>
        <v>5.0882352941176469E-2</v>
      </c>
      <c r="AY9" s="7"/>
      <c r="AZ9" s="6">
        <v>1</v>
      </c>
      <c r="BA9" s="6">
        <v>1</v>
      </c>
      <c r="BF9" s="12">
        <v>80</v>
      </c>
      <c r="BG9" s="12">
        <v>80</v>
      </c>
      <c r="BH9" s="12"/>
      <c r="BI9" s="12"/>
      <c r="BJ9" s="12"/>
      <c r="BK9" s="12"/>
      <c r="BM9" s="12"/>
      <c r="BN9" s="12"/>
    </row>
    <row r="10" spans="1:78" x14ac:dyDescent="0.2">
      <c r="A10" s="83" t="s">
        <v>77</v>
      </c>
      <c r="B10" s="1" t="s">
        <v>129</v>
      </c>
      <c r="C10" s="1">
        <v>2012</v>
      </c>
      <c r="D10" s="1">
        <v>1</v>
      </c>
      <c r="E10" s="1">
        <v>0</v>
      </c>
      <c r="F10" s="1">
        <v>0</v>
      </c>
      <c r="G10" s="1">
        <f>1.556+0.789</f>
        <v>2.3450000000000002</v>
      </c>
      <c r="H10" s="18"/>
      <c r="I10" s="18">
        <f>207+105</f>
        <v>312</v>
      </c>
      <c r="J10" s="18"/>
      <c r="K10" s="18"/>
      <c r="L10" s="18"/>
      <c r="M10" s="18"/>
      <c r="N10" s="18">
        <f>46+23</f>
        <v>69</v>
      </c>
      <c r="O10" s="18"/>
      <c r="P10" s="18"/>
      <c r="Q10" s="19"/>
      <c r="R10" s="8">
        <v>1</v>
      </c>
      <c r="S10" s="8">
        <v>0.22</v>
      </c>
      <c r="T10" s="8"/>
      <c r="U10" s="48">
        <v>7500</v>
      </c>
      <c r="V10" s="19">
        <f>207+105</f>
        <v>312</v>
      </c>
      <c r="W10" s="18"/>
      <c r="X10" s="8"/>
      <c r="Y10" s="18"/>
      <c r="Z10" s="1">
        <v>0.25</v>
      </c>
      <c r="AC10" s="1">
        <v>2</v>
      </c>
      <c r="AN10" s="1">
        <v>52</v>
      </c>
      <c r="AO10" s="18">
        <f>0.2*Umrechnungsfaktoren!$B$15/Umrechnungsfaktoren!$B$14</f>
        <v>0.20352941176470588</v>
      </c>
      <c r="AP10" s="18">
        <f>0.9*Umrechnungsfaktoren!$B$15/Umrechnungsfaktoren!$B$14</f>
        <v>0.91588235294117648</v>
      </c>
      <c r="AQ10" s="18">
        <f>0.5*Umrechnungsfaktoren!$B$15/Umrechnungsfaktoren!$B$14</f>
        <v>0.50882352941176467</v>
      </c>
      <c r="AR10" s="7"/>
      <c r="AS10" s="7"/>
      <c r="AT10" s="7"/>
      <c r="AU10" s="7"/>
      <c r="AV10" s="7"/>
      <c r="AW10" s="7"/>
      <c r="AX10" s="7">
        <f>0.05*Umrechnungsfaktoren!$B$15/Umrechnungsfaktoren!$B$14</f>
        <v>5.0882352941176469E-2</v>
      </c>
      <c r="AY10" s="7"/>
      <c r="AZ10" s="6">
        <v>1</v>
      </c>
      <c r="BA10" s="6">
        <v>1</v>
      </c>
      <c r="BE10" s="1">
        <v>56</v>
      </c>
      <c r="BF10" s="12" t="s">
        <v>553</v>
      </c>
      <c r="BG10" s="1">
        <v>57</v>
      </c>
      <c r="BH10" s="12"/>
      <c r="BI10" s="12">
        <v>57</v>
      </c>
      <c r="BJ10" s="12"/>
      <c r="BK10" s="12">
        <v>56</v>
      </c>
      <c r="BM10" s="12"/>
      <c r="BN10" s="12">
        <v>60</v>
      </c>
      <c r="BO10" s="1" t="s">
        <v>363</v>
      </c>
      <c r="BS10" s="1" t="s">
        <v>363</v>
      </c>
      <c r="BT10" s="1">
        <v>70</v>
      </c>
      <c r="BU10" s="1">
        <v>69</v>
      </c>
      <c r="BV10" s="1">
        <v>70</v>
      </c>
    </row>
    <row r="11" spans="1:78" x14ac:dyDescent="0.2">
      <c r="A11" s="83" t="s">
        <v>77</v>
      </c>
      <c r="B11" s="1" t="s">
        <v>129</v>
      </c>
      <c r="C11" s="1">
        <v>2020</v>
      </c>
      <c r="D11" s="1">
        <v>1</v>
      </c>
      <c r="E11" s="1">
        <v>0</v>
      </c>
      <c r="F11" s="1">
        <v>0</v>
      </c>
      <c r="H11" s="18"/>
      <c r="I11" s="18">
        <v>290</v>
      </c>
      <c r="J11" s="18"/>
      <c r="K11" s="18"/>
      <c r="L11" s="18"/>
      <c r="M11" s="18"/>
      <c r="N11" s="18">
        <v>64</v>
      </c>
      <c r="O11" s="18"/>
      <c r="P11" s="18"/>
      <c r="Q11" s="19"/>
      <c r="R11" s="8">
        <v>1</v>
      </c>
      <c r="S11" s="8">
        <v>0.22</v>
      </c>
      <c r="T11" s="8"/>
      <c r="U11" s="48"/>
      <c r="V11" s="19"/>
      <c r="W11" s="18"/>
      <c r="X11" s="8"/>
      <c r="Y11" s="18"/>
      <c r="Z11" s="1">
        <v>0.25</v>
      </c>
      <c r="AC11" s="1">
        <v>2</v>
      </c>
      <c r="AO11" s="18">
        <f>0.2*Umrechnungsfaktoren!$B$15/Umrechnungsfaktoren!$B$14</f>
        <v>0.20352941176470588</v>
      </c>
      <c r="AP11" s="18">
        <f>0.9*Umrechnungsfaktoren!$B$15/Umrechnungsfaktoren!$B$14</f>
        <v>0.91588235294117648</v>
      </c>
      <c r="AQ11" s="18">
        <f>0.5*Umrechnungsfaktoren!$B$15/Umrechnungsfaktoren!$B$14</f>
        <v>0.50882352941176467</v>
      </c>
      <c r="AR11" s="7"/>
      <c r="AS11" s="7"/>
      <c r="AT11" s="7"/>
      <c r="AU11" s="7"/>
      <c r="AV11" s="7"/>
      <c r="AW11" s="7"/>
      <c r="AX11" s="7">
        <f>0.05*Umrechnungsfaktoren!$B$15/Umrechnungsfaktoren!$B$14</f>
        <v>5.0882352941176469E-2</v>
      </c>
      <c r="AY11" s="7"/>
      <c r="AZ11" s="6">
        <v>1</v>
      </c>
      <c r="BA11" s="6">
        <v>1</v>
      </c>
      <c r="BF11" s="12">
        <v>80</v>
      </c>
      <c r="BG11" s="12">
        <v>80</v>
      </c>
      <c r="BH11" s="12"/>
      <c r="BI11" s="12"/>
      <c r="BJ11" s="12"/>
      <c r="BK11" s="12"/>
      <c r="BM11" s="12"/>
      <c r="BN11" s="12"/>
    </row>
    <row r="12" spans="1:78" x14ac:dyDescent="0.2">
      <c r="A12" s="83" t="s">
        <v>77</v>
      </c>
      <c r="B12" s="1" t="s">
        <v>129</v>
      </c>
      <c r="C12" s="1">
        <v>2025</v>
      </c>
      <c r="D12" s="1">
        <v>1</v>
      </c>
      <c r="E12" s="1">
        <v>0</v>
      </c>
      <c r="F12" s="1">
        <v>0</v>
      </c>
      <c r="H12" s="18"/>
      <c r="I12" s="18">
        <v>257</v>
      </c>
      <c r="J12" s="18"/>
      <c r="K12" s="18"/>
      <c r="L12" s="18"/>
      <c r="M12" s="18"/>
      <c r="N12" s="18">
        <v>56</v>
      </c>
      <c r="O12" s="18"/>
      <c r="P12" s="18"/>
      <c r="Q12" s="19"/>
      <c r="R12" s="8">
        <v>1</v>
      </c>
      <c r="S12" s="8">
        <v>0.22</v>
      </c>
      <c r="T12" s="8"/>
      <c r="U12" s="48"/>
      <c r="V12" s="19"/>
      <c r="W12" s="18"/>
      <c r="X12" s="8"/>
      <c r="Y12" s="18"/>
      <c r="Z12" s="1">
        <v>0.25</v>
      </c>
      <c r="AC12" s="1">
        <v>2</v>
      </c>
      <c r="AO12" s="18">
        <f>0.2*Umrechnungsfaktoren!$B$15/Umrechnungsfaktoren!$B$14</f>
        <v>0.20352941176470588</v>
      </c>
      <c r="AP12" s="18">
        <f>0.9*Umrechnungsfaktoren!$B$15/Umrechnungsfaktoren!$B$14</f>
        <v>0.91588235294117648</v>
      </c>
      <c r="AQ12" s="18">
        <f>0.5*Umrechnungsfaktoren!$B$15/Umrechnungsfaktoren!$B$14</f>
        <v>0.50882352941176467</v>
      </c>
      <c r="AR12" s="7"/>
      <c r="AS12" s="7"/>
      <c r="AT12" s="7"/>
      <c r="AU12" s="7"/>
      <c r="AV12" s="7"/>
      <c r="AW12" s="7"/>
      <c r="AX12" s="7">
        <f>0.05*Umrechnungsfaktoren!$B$15/Umrechnungsfaktoren!$B$14</f>
        <v>5.0882352941176469E-2</v>
      </c>
      <c r="AY12" s="7"/>
      <c r="AZ12" s="6">
        <v>1</v>
      </c>
      <c r="BA12" s="6">
        <v>1</v>
      </c>
      <c r="BF12" s="12">
        <v>80</v>
      </c>
      <c r="BG12" s="12">
        <v>80</v>
      </c>
      <c r="BH12" s="12"/>
      <c r="BI12" s="12"/>
      <c r="BJ12" s="12"/>
      <c r="BK12" s="12"/>
      <c r="BM12" s="12"/>
      <c r="BN12" s="12"/>
    </row>
    <row r="13" spans="1:78" x14ac:dyDescent="0.2">
      <c r="A13" s="83" t="s">
        <v>77</v>
      </c>
      <c r="B13" s="1" t="s">
        <v>129</v>
      </c>
      <c r="C13" s="1">
        <v>2030</v>
      </c>
      <c r="D13" s="1">
        <v>1</v>
      </c>
      <c r="E13" s="1">
        <v>0</v>
      </c>
      <c r="F13" s="1">
        <v>0</v>
      </c>
      <c r="H13" s="18"/>
      <c r="I13" s="18">
        <v>228</v>
      </c>
      <c r="J13" s="18"/>
      <c r="K13" s="18"/>
      <c r="L13" s="18"/>
      <c r="M13" s="18"/>
      <c r="N13" s="18">
        <v>50</v>
      </c>
      <c r="O13" s="18"/>
      <c r="P13" s="18"/>
      <c r="Q13" s="19"/>
      <c r="R13" s="8">
        <v>1</v>
      </c>
      <c r="S13" s="8">
        <v>0.22</v>
      </c>
      <c r="T13" s="8"/>
      <c r="U13" s="48"/>
      <c r="V13" s="19"/>
      <c r="W13" s="18"/>
      <c r="X13" s="8"/>
      <c r="Y13" s="18"/>
      <c r="Z13" s="1">
        <v>0.25</v>
      </c>
      <c r="AC13" s="1">
        <v>2</v>
      </c>
      <c r="AO13" s="18">
        <f>0.2*Umrechnungsfaktoren!$B$15/Umrechnungsfaktoren!$B$14</f>
        <v>0.20352941176470588</v>
      </c>
      <c r="AP13" s="18">
        <f>0.9*Umrechnungsfaktoren!$B$15/Umrechnungsfaktoren!$B$14</f>
        <v>0.91588235294117648</v>
      </c>
      <c r="AQ13" s="18">
        <f>0.5*Umrechnungsfaktoren!$B$15/Umrechnungsfaktoren!$B$14</f>
        <v>0.50882352941176467</v>
      </c>
      <c r="AR13" s="7"/>
      <c r="AS13" s="7"/>
      <c r="AT13" s="7"/>
      <c r="AU13" s="7"/>
      <c r="AV13" s="7"/>
      <c r="AW13" s="7"/>
      <c r="AX13" s="7">
        <f>0.05*Umrechnungsfaktoren!$B$15/Umrechnungsfaktoren!$B$14</f>
        <v>5.0882352941176469E-2</v>
      </c>
      <c r="AY13" s="7"/>
      <c r="AZ13" s="6">
        <v>1</v>
      </c>
      <c r="BA13" s="6">
        <v>1</v>
      </c>
      <c r="BF13" s="12">
        <v>80</v>
      </c>
      <c r="BG13" s="12">
        <v>80</v>
      </c>
      <c r="BH13" s="12"/>
      <c r="BI13" s="12"/>
      <c r="BJ13" s="12"/>
      <c r="BK13" s="12"/>
      <c r="BM13" s="12"/>
      <c r="BN13" s="12"/>
    </row>
    <row r="14" spans="1:78" x14ac:dyDescent="0.2">
      <c r="A14" s="83" t="s">
        <v>188</v>
      </c>
      <c r="B14" s="1" t="s">
        <v>129</v>
      </c>
      <c r="C14" s="1">
        <v>2012</v>
      </c>
      <c r="D14" s="1">
        <v>0</v>
      </c>
      <c r="E14" s="1">
        <v>1</v>
      </c>
      <c r="F14" s="1">
        <v>0</v>
      </c>
      <c r="G14" s="1">
        <v>20.398</v>
      </c>
      <c r="H14" s="18"/>
      <c r="I14" s="18"/>
      <c r="J14" s="18"/>
      <c r="K14" s="18">
        <v>2720</v>
      </c>
      <c r="L14" s="18"/>
      <c r="M14" s="18"/>
      <c r="N14" s="18"/>
      <c r="O14" s="18"/>
      <c r="P14" s="18"/>
      <c r="Q14" s="19"/>
      <c r="R14" s="8"/>
      <c r="S14" s="8"/>
      <c r="T14" s="8"/>
      <c r="U14" s="48"/>
      <c r="V14" s="19"/>
      <c r="W14" s="18"/>
      <c r="X14" s="8"/>
      <c r="Y14" s="18"/>
      <c r="Z14" s="1">
        <v>0.25</v>
      </c>
      <c r="AO14" s="18">
        <f>0.2*Umrechnungsfaktoren!$B$15/Umrechnungsfaktoren!$B$14</f>
        <v>0.20352941176470588</v>
      </c>
      <c r="AP14" s="18">
        <f>0.9*Umrechnungsfaktoren!$B$15/Umrechnungsfaktoren!$B$14</f>
        <v>0.91588235294117648</v>
      </c>
      <c r="AQ14" s="18">
        <f>0.5*Umrechnungsfaktoren!$B$15/Umrechnungsfaktoren!$B$14</f>
        <v>0.50882352941176467</v>
      </c>
      <c r="AR14" s="7"/>
      <c r="AS14" s="7"/>
      <c r="AT14" s="7"/>
      <c r="AU14" s="7"/>
      <c r="AV14" s="7">
        <f>433*Umrechnungsfaktoren!$B$15/Umrechnungsfaktoren!$B$14</f>
        <v>440.64117647058822</v>
      </c>
      <c r="AW14" s="7"/>
      <c r="AX14" s="7">
        <f>0.05*Umrechnungsfaktoren!$B$15/Umrechnungsfaktoren!$B$14</f>
        <v>5.0882352941176469E-2</v>
      </c>
      <c r="AY14" s="7"/>
      <c r="AZ14" s="6">
        <v>1</v>
      </c>
      <c r="BA14" s="6">
        <v>1</v>
      </c>
      <c r="BF14" s="12" t="s">
        <v>553</v>
      </c>
      <c r="BG14" s="1">
        <v>57</v>
      </c>
      <c r="BH14" s="12"/>
      <c r="BI14" s="12"/>
      <c r="BJ14" s="12"/>
      <c r="BK14" s="12"/>
      <c r="BM14" s="12"/>
      <c r="BN14" s="12">
        <v>60</v>
      </c>
      <c r="BT14" s="1">
        <v>70</v>
      </c>
      <c r="BU14" s="1">
        <v>69</v>
      </c>
      <c r="BV14" s="1">
        <v>70</v>
      </c>
    </row>
    <row r="15" spans="1:78" x14ac:dyDescent="0.2">
      <c r="A15" s="83" t="s">
        <v>188</v>
      </c>
      <c r="B15" s="1" t="s">
        <v>129</v>
      </c>
      <c r="C15" s="1">
        <v>2020</v>
      </c>
      <c r="D15" s="1">
        <v>0</v>
      </c>
      <c r="E15" s="1">
        <v>1</v>
      </c>
      <c r="F15" s="1">
        <v>0</v>
      </c>
      <c r="H15" s="18"/>
      <c r="I15" s="18"/>
      <c r="J15" s="18"/>
      <c r="K15" s="18">
        <v>2524</v>
      </c>
      <c r="L15" s="18"/>
      <c r="M15" s="18"/>
      <c r="N15" s="18"/>
      <c r="O15" s="18"/>
      <c r="P15" s="18"/>
      <c r="Q15" s="19"/>
      <c r="R15" s="8"/>
      <c r="S15" s="8"/>
      <c r="T15" s="8"/>
      <c r="U15" s="48"/>
      <c r="V15" s="19"/>
      <c r="W15" s="18"/>
      <c r="X15" s="8"/>
      <c r="Y15" s="18"/>
      <c r="Z15" s="1">
        <v>0.25</v>
      </c>
      <c r="AO15" s="18">
        <f>0.2*Umrechnungsfaktoren!$B$15/Umrechnungsfaktoren!$B$14</f>
        <v>0.20352941176470588</v>
      </c>
      <c r="AP15" s="18">
        <f>0.9*Umrechnungsfaktoren!$B$15/Umrechnungsfaktoren!$B$14</f>
        <v>0.91588235294117648</v>
      </c>
      <c r="AQ15" s="18">
        <f>0.5*Umrechnungsfaktoren!$B$15/Umrechnungsfaktoren!$B$14</f>
        <v>0.50882352941176467</v>
      </c>
      <c r="AR15" s="7"/>
      <c r="AS15" s="7"/>
      <c r="AT15" s="7"/>
      <c r="AU15" s="7"/>
      <c r="AV15" s="7">
        <f>433*Umrechnungsfaktoren!$B$15/Umrechnungsfaktoren!$B$14</f>
        <v>440.64117647058822</v>
      </c>
      <c r="AW15" s="7"/>
      <c r="AX15" s="7">
        <f>0.05*Umrechnungsfaktoren!$B$15/Umrechnungsfaktoren!$B$14</f>
        <v>5.0882352941176469E-2</v>
      </c>
      <c r="AY15" s="7"/>
      <c r="AZ15" s="6">
        <v>1</v>
      </c>
      <c r="BA15" s="6">
        <v>1</v>
      </c>
      <c r="BF15" s="12">
        <v>80</v>
      </c>
      <c r="BG15" s="12">
        <v>80</v>
      </c>
      <c r="BH15" s="12"/>
      <c r="BI15" s="12"/>
      <c r="BJ15" s="12"/>
      <c r="BK15" s="12"/>
      <c r="BM15" s="12"/>
      <c r="BN15" s="12"/>
    </row>
    <row r="16" spans="1:78" x14ac:dyDescent="0.2">
      <c r="A16" s="83" t="s">
        <v>188</v>
      </c>
      <c r="B16" s="1" t="s">
        <v>129</v>
      </c>
      <c r="C16" s="1">
        <v>2025</v>
      </c>
      <c r="D16" s="1">
        <v>0</v>
      </c>
      <c r="E16" s="1">
        <v>1</v>
      </c>
      <c r="F16" s="1">
        <v>0</v>
      </c>
      <c r="H16" s="18"/>
      <c r="I16" s="18"/>
      <c r="J16" s="18"/>
      <c r="K16" s="18">
        <v>2237</v>
      </c>
      <c r="L16" s="18"/>
      <c r="M16" s="18"/>
      <c r="N16" s="18"/>
      <c r="O16" s="18"/>
      <c r="P16" s="18"/>
      <c r="Q16" s="19"/>
      <c r="R16" s="8"/>
      <c r="S16" s="8"/>
      <c r="T16" s="8"/>
      <c r="U16" s="48"/>
      <c r="V16" s="19"/>
      <c r="W16" s="18"/>
      <c r="X16" s="8"/>
      <c r="Y16" s="18"/>
      <c r="Z16" s="1">
        <v>0.25</v>
      </c>
      <c r="AO16" s="18">
        <f>0.2*Umrechnungsfaktoren!$B$15/Umrechnungsfaktoren!$B$14</f>
        <v>0.20352941176470588</v>
      </c>
      <c r="AP16" s="18">
        <f>0.9*Umrechnungsfaktoren!$B$15/Umrechnungsfaktoren!$B$14</f>
        <v>0.91588235294117648</v>
      </c>
      <c r="AQ16" s="18">
        <f>0.5*Umrechnungsfaktoren!$B$15/Umrechnungsfaktoren!$B$14</f>
        <v>0.50882352941176467</v>
      </c>
      <c r="AR16" s="7"/>
      <c r="AS16" s="7"/>
      <c r="AT16" s="7"/>
      <c r="AU16" s="7"/>
      <c r="AV16" s="7">
        <f>433*Umrechnungsfaktoren!$B$15/Umrechnungsfaktoren!$B$14</f>
        <v>440.64117647058822</v>
      </c>
      <c r="AW16" s="7"/>
      <c r="AX16" s="7">
        <f>0.05*Umrechnungsfaktoren!$B$15/Umrechnungsfaktoren!$B$14</f>
        <v>5.0882352941176469E-2</v>
      </c>
      <c r="AY16" s="7"/>
      <c r="AZ16" s="6">
        <v>1</v>
      </c>
      <c r="BA16" s="6">
        <v>1</v>
      </c>
      <c r="BF16" s="12">
        <v>80</v>
      </c>
      <c r="BG16" s="12">
        <v>80</v>
      </c>
      <c r="BH16" s="12"/>
      <c r="BI16" s="12"/>
      <c r="BJ16" s="12"/>
      <c r="BK16" s="12"/>
      <c r="BM16" s="12"/>
      <c r="BN16" s="12"/>
    </row>
    <row r="17" spans="1:78" x14ac:dyDescent="0.2">
      <c r="A17" s="83" t="s">
        <v>188</v>
      </c>
      <c r="B17" s="1" t="s">
        <v>129</v>
      </c>
      <c r="C17" s="1">
        <v>2030</v>
      </c>
      <c r="D17" s="1">
        <v>0</v>
      </c>
      <c r="E17" s="1">
        <v>1</v>
      </c>
      <c r="F17" s="1">
        <v>0</v>
      </c>
      <c r="H17" s="18"/>
      <c r="I17" s="18"/>
      <c r="J17" s="18"/>
      <c r="K17" s="18">
        <v>1984</v>
      </c>
      <c r="L17" s="18"/>
      <c r="M17" s="18"/>
      <c r="N17" s="18"/>
      <c r="O17" s="18"/>
      <c r="P17" s="18"/>
      <c r="Q17" s="19"/>
      <c r="R17" s="8"/>
      <c r="S17" s="8"/>
      <c r="T17" s="8"/>
      <c r="U17" s="48"/>
      <c r="V17" s="19"/>
      <c r="W17" s="18"/>
      <c r="X17" s="8"/>
      <c r="Y17" s="18"/>
      <c r="Z17" s="1">
        <v>0.25</v>
      </c>
      <c r="AO17" s="18">
        <f>0.2*Umrechnungsfaktoren!$B$15/Umrechnungsfaktoren!$B$14</f>
        <v>0.20352941176470588</v>
      </c>
      <c r="AP17" s="18">
        <f>0.9*Umrechnungsfaktoren!$B$15/Umrechnungsfaktoren!$B$14</f>
        <v>0.91588235294117648</v>
      </c>
      <c r="AQ17" s="18">
        <f>0.5*Umrechnungsfaktoren!$B$15/Umrechnungsfaktoren!$B$14</f>
        <v>0.50882352941176467</v>
      </c>
      <c r="AR17" s="7"/>
      <c r="AS17" s="7"/>
      <c r="AT17" s="7"/>
      <c r="AU17" s="7"/>
      <c r="AV17" s="7">
        <f>433*Umrechnungsfaktoren!$B$15/Umrechnungsfaktoren!$B$14</f>
        <v>440.64117647058822</v>
      </c>
      <c r="AW17" s="7"/>
      <c r="AX17" s="7">
        <f>0.05*Umrechnungsfaktoren!$B$15/Umrechnungsfaktoren!$B$14</f>
        <v>5.0882352941176469E-2</v>
      </c>
      <c r="AY17" s="7"/>
      <c r="AZ17" s="6">
        <v>1</v>
      </c>
      <c r="BA17" s="6">
        <v>1</v>
      </c>
      <c r="BF17" s="12">
        <v>80</v>
      </c>
      <c r="BG17" s="12">
        <v>80</v>
      </c>
      <c r="BH17" s="12"/>
      <c r="BI17" s="12"/>
      <c r="BJ17" s="12"/>
      <c r="BK17" s="12"/>
      <c r="BM17" s="12"/>
      <c r="BN17" s="12"/>
    </row>
    <row r="18" spans="1:78" x14ac:dyDescent="0.2">
      <c r="A18" s="83" t="s">
        <v>84</v>
      </c>
      <c r="B18" s="1" t="s">
        <v>129</v>
      </c>
      <c r="C18" s="1">
        <v>2012</v>
      </c>
      <c r="D18" s="23">
        <v>0</v>
      </c>
      <c r="E18" s="23">
        <v>1</v>
      </c>
      <c r="F18" s="1">
        <v>0</v>
      </c>
      <c r="G18" s="23">
        <v>5.3869999999999996</v>
      </c>
      <c r="H18" s="24"/>
      <c r="I18" s="24">
        <v>957</v>
      </c>
      <c r="J18" s="24"/>
      <c r="K18" s="24">
        <v>1114</v>
      </c>
      <c r="L18" s="24"/>
      <c r="M18" s="24"/>
      <c r="N18" s="18"/>
      <c r="O18" s="18"/>
      <c r="P18" s="24"/>
      <c r="Q18" s="25"/>
      <c r="R18" s="26">
        <v>1</v>
      </c>
      <c r="S18" s="26">
        <v>0</v>
      </c>
      <c r="T18" s="26"/>
      <c r="U18" s="48">
        <v>6100</v>
      </c>
      <c r="V18" s="25">
        <v>957</v>
      </c>
      <c r="W18" s="24"/>
      <c r="X18" s="26"/>
      <c r="Y18" s="24"/>
      <c r="Z18" s="1">
        <v>0.25</v>
      </c>
      <c r="AA18" s="23"/>
      <c r="AB18" s="23"/>
      <c r="AC18" s="23">
        <v>1.5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>
        <v>52</v>
      </c>
      <c r="AO18" s="24">
        <f>0.2*Umrechnungsfaktoren!$B$15/Umrechnungsfaktoren!$B$14</f>
        <v>0.20352941176470588</v>
      </c>
      <c r="AP18" s="24">
        <f>0.9*Umrechnungsfaktoren!$B$15/Umrechnungsfaktoren!$B$14</f>
        <v>0.91588235294117648</v>
      </c>
      <c r="AQ18" s="24">
        <f>0.5*Umrechnungsfaktoren!$B$15/Umrechnungsfaktoren!$B$14</f>
        <v>0.50882352941176467</v>
      </c>
      <c r="AR18" s="27"/>
      <c r="AS18" s="27"/>
      <c r="AT18" s="27"/>
      <c r="AU18" s="27"/>
      <c r="AV18" s="7">
        <f>392*Umrechnungsfaktoren!$B$15/Umrechnungsfaktoren!$B$14</f>
        <v>398.91764705882349</v>
      </c>
      <c r="AW18" s="27"/>
      <c r="AX18" s="27">
        <f>0.05*Umrechnungsfaktoren!$B$15/Umrechnungsfaktoren!$B$14</f>
        <v>5.0882352941176469E-2</v>
      </c>
      <c r="AY18" s="27"/>
      <c r="AZ18" s="50">
        <v>0.97499999999999998</v>
      </c>
      <c r="BA18" s="50">
        <v>1</v>
      </c>
      <c r="BB18" s="23"/>
      <c r="BC18" s="23"/>
      <c r="BD18" s="23"/>
      <c r="BE18" s="1">
        <v>56</v>
      </c>
      <c r="BF18" s="12" t="s">
        <v>553</v>
      </c>
      <c r="BG18" s="1">
        <v>57</v>
      </c>
      <c r="BH18" s="28"/>
      <c r="BI18" s="12">
        <v>57</v>
      </c>
      <c r="BJ18" s="28"/>
      <c r="BK18" s="12">
        <v>56</v>
      </c>
      <c r="BL18" s="23"/>
      <c r="BM18" s="28"/>
      <c r="BN18" s="12">
        <v>60</v>
      </c>
      <c r="BO18" s="1" t="s">
        <v>363</v>
      </c>
      <c r="BP18" s="23"/>
      <c r="BQ18" s="23"/>
      <c r="BR18" s="23"/>
      <c r="BS18" s="1" t="s">
        <v>363</v>
      </c>
      <c r="BT18" s="1">
        <v>70</v>
      </c>
      <c r="BU18" s="1">
        <v>69</v>
      </c>
      <c r="BV18" s="1">
        <v>70</v>
      </c>
      <c r="BW18" s="23"/>
      <c r="BX18" s="1" t="s">
        <v>556</v>
      </c>
      <c r="BY18" s="23"/>
      <c r="BZ18" s="23"/>
    </row>
    <row r="19" spans="1:78" x14ac:dyDescent="0.2">
      <c r="A19" s="83" t="s">
        <v>84</v>
      </c>
      <c r="B19" s="1" t="s">
        <v>129</v>
      </c>
      <c r="C19" s="1">
        <v>2020</v>
      </c>
      <c r="D19" s="23">
        <v>0</v>
      </c>
      <c r="E19" s="23">
        <v>1</v>
      </c>
      <c r="F19" s="1">
        <v>0</v>
      </c>
      <c r="G19" s="23"/>
      <c r="H19" s="24"/>
      <c r="I19" s="24">
        <v>953</v>
      </c>
      <c r="J19" s="24"/>
      <c r="K19" s="24">
        <v>1110</v>
      </c>
      <c r="L19" s="24"/>
      <c r="M19" s="24"/>
      <c r="N19" s="18"/>
      <c r="O19" s="18"/>
      <c r="P19" s="24"/>
      <c r="Q19" s="25"/>
      <c r="R19" s="26">
        <v>1</v>
      </c>
      <c r="S19" s="26">
        <v>0</v>
      </c>
      <c r="T19" s="26"/>
      <c r="U19" s="48"/>
      <c r="V19" s="25"/>
      <c r="W19" s="24"/>
      <c r="X19" s="26"/>
      <c r="Y19" s="24"/>
      <c r="Z19" s="1">
        <v>0.25</v>
      </c>
      <c r="AA19" s="23"/>
      <c r="AB19" s="23"/>
      <c r="AC19" s="23">
        <v>1.5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4">
        <f>0.2*Umrechnungsfaktoren!$B$15/Umrechnungsfaktoren!$B$14</f>
        <v>0.20352941176470588</v>
      </c>
      <c r="AP19" s="24">
        <f>0.9*Umrechnungsfaktoren!$B$15/Umrechnungsfaktoren!$B$14</f>
        <v>0.91588235294117648</v>
      </c>
      <c r="AQ19" s="24">
        <f>0.5*Umrechnungsfaktoren!$B$15/Umrechnungsfaktoren!$B$14</f>
        <v>0.50882352941176467</v>
      </c>
      <c r="AR19" s="27"/>
      <c r="AS19" s="27"/>
      <c r="AT19" s="27"/>
      <c r="AU19" s="27"/>
      <c r="AV19" s="7">
        <f>392*Umrechnungsfaktoren!$B$15/Umrechnungsfaktoren!$B$14</f>
        <v>398.91764705882349</v>
      </c>
      <c r="AW19" s="27"/>
      <c r="AX19" s="27">
        <f>0.05*Umrechnungsfaktoren!$B$15/Umrechnungsfaktoren!$B$14</f>
        <v>5.0882352941176469E-2</v>
      </c>
      <c r="AY19" s="27"/>
      <c r="AZ19" s="50">
        <v>0.97499999999999998</v>
      </c>
      <c r="BA19" s="50">
        <v>1</v>
      </c>
      <c r="BB19" s="23"/>
      <c r="BC19" s="23"/>
      <c r="BD19" s="23"/>
      <c r="BF19" s="12">
        <v>80</v>
      </c>
      <c r="BG19" s="12">
        <v>80</v>
      </c>
      <c r="BH19" s="28"/>
      <c r="BI19" s="12"/>
      <c r="BJ19" s="28"/>
      <c r="BK19" s="12"/>
      <c r="BL19" s="23"/>
      <c r="BM19" s="28"/>
      <c r="BN19" s="12"/>
      <c r="BP19" s="23"/>
      <c r="BQ19" s="23"/>
      <c r="BR19" s="23"/>
      <c r="BW19" s="23"/>
      <c r="BY19" s="23"/>
      <c r="BZ19" s="23"/>
    </row>
    <row r="20" spans="1:78" x14ac:dyDescent="0.2">
      <c r="A20" s="83" t="s">
        <v>84</v>
      </c>
      <c r="B20" s="1" t="s">
        <v>129</v>
      </c>
      <c r="C20" s="1">
        <v>2025</v>
      </c>
      <c r="D20" s="23">
        <v>0</v>
      </c>
      <c r="E20" s="23">
        <v>1</v>
      </c>
      <c r="F20" s="1">
        <v>0</v>
      </c>
      <c r="G20" s="23"/>
      <c r="H20" s="24"/>
      <c r="I20" s="24">
        <v>983</v>
      </c>
      <c r="J20" s="24"/>
      <c r="K20" s="24">
        <v>1145</v>
      </c>
      <c r="L20" s="24"/>
      <c r="M20" s="24"/>
      <c r="N20" s="18"/>
      <c r="O20" s="18"/>
      <c r="P20" s="24"/>
      <c r="Q20" s="25"/>
      <c r="R20" s="26">
        <v>1</v>
      </c>
      <c r="S20" s="26">
        <v>0</v>
      </c>
      <c r="T20" s="26"/>
      <c r="U20" s="48"/>
      <c r="V20" s="25"/>
      <c r="W20" s="24"/>
      <c r="X20" s="26"/>
      <c r="Y20" s="24"/>
      <c r="Z20" s="1">
        <v>0.25</v>
      </c>
      <c r="AA20" s="23"/>
      <c r="AB20" s="23"/>
      <c r="AC20" s="23">
        <v>1.5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4">
        <f>0.2*Umrechnungsfaktoren!$B$15/Umrechnungsfaktoren!$B$14</f>
        <v>0.20352941176470588</v>
      </c>
      <c r="AP20" s="24">
        <f>0.9*Umrechnungsfaktoren!$B$15/Umrechnungsfaktoren!$B$14</f>
        <v>0.91588235294117648</v>
      </c>
      <c r="AQ20" s="24">
        <f>0.5*Umrechnungsfaktoren!$B$15/Umrechnungsfaktoren!$B$14</f>
        <v>0.50882352941176467</v>
      </c>
      <c r="AR20" s="27"/>
      <c r="AS20" s="27"/>
      <c r="AT20" s="27"/>
      <c r="AU20" s="27"/>
      <c r="AV20" s="7">
        <f>392*Umrechnungsfaktoren!$B$15/Umrechnungsfaktoren!$B$14</f>
        <v>398.91764705882349</v>
      </c>
      <c r="AW20" s="27"/>
      <c r="AX20" s="27">
        <f>0.05*Umrechnungsfaktoren!$B$15/Umrechnungsfaktoren!$B$14</f>
        <v>5.0882352941176469E-2</v>
      </c>
      <c r="AY20" s="27"/>
      <c r="AZ20" s="50">
        <v>0.97499999999999998</v>
      </c>
      <c r="BA20" s="50">
        <v>1</v>
      </c>
      <c r="BB20" s="23"/>
      <c r="BC20" s="23"/>
      <c r="BD20" s="23"/>
      <c r="BF20" s="12">
        <v>80</v>
      </c>
      <c r="BG20" s="12">
        <v>80</v>
      </c>
      <c r="BH20" s="28"/>
      <c r="BI20" s="12"/>
      <c r="BJ20" s="28"/>
      <c r="BK20" s="12"/>
      <c r="BL20" s="23"/>
      <c r="BM20" s="28"/>
      <c r="BN20" s="12"/>
      <c r="BP20" s="23"/>
      <c r="BQ20" s="23"/>
      <c r="BR20" s="23"/>
      <c r="BW20" s="23"/>
      <c r="BY20" s="23"/>
      <c r="BZ20" s="23"/>
    </row>
    <row r="21" spans="1:78" x14ac:dyDescent="0.2">
      <c r="A21" s="83" t="s">
        <v>84</v>
      </c>
      <c r="B21" s="1" t="s">
        <v>129</v>
      </c>
      <c r="C21" s="1">
        <v>2030</v>
      </c>
      <c r="D21" s="23">
        <v>0</v>
      </c>
      <c r="E21" s="23">
        <v>1</v>
      </c>
      <c r="F21" s="1">
        <v>0</v>
      </c>
      <c r="G21" s="23"/>
      <c r="H21" s="24"/>
      <c r="I21" s="24">
        <v>960</v>
      </c>
      <c r="J21" s="24"/>
      <c r="K21" s="24">
        <v>1117</v>
      </c>
      <c r="L21" s="24"/>
      <c r="M21" s="24"/>
      <c r="N21" s="18"/>
      <c r="O21" s="18"/>
      <c r="P21" s="24"/>
      <c r="Q21" s="25"/>
      <c r="R21" s="26">
        <v>1</v>
      </c>
      <c r="S21" s="26">
        <v>0</v>
      </c>
      <c r="T21" s="26"/>
      <c r="U21" s="48"/>
      <c r="V21" s="25"/>
      <c r="W21" s="24"/>
      <c r="X21" s="26"/>
      <c r="Y21" s="24"/>
      <c r="Z21" s="1">
        <v>0.25</v>
      </c>
      <c r="AA21" s="23"/>
      <c r="AB21" s="23"/>
      <c r="AC21" s="23">
        <v>1.5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4">
        <f>0.2*Umrechnungsfaktoren!$B$15/Umrechnungsfaktoren!$B$14</f>
        <v>0.20352941176470588</v>
      </c>
      <c r="AP21" s="24">
        <f>0.9*Umrechnungsfaktoren!$B$15/Umrechnungsfaktoren!$B$14</f>
        <v>0.91588235294117648</v>
      </c>
      <c r="AQ21" s="24">
        <f>0.5*Umrechnungsfaktoren!$B$15/Umrechnungsfaktoren!$B$14</f>
        <v>0.50882352941176467</v>
      </c>
      <c r="AR21" s="27"/>
      <c r="AS21" s="27"/>
      <c r="AT21" s="27"/>
      <c r="AU21" s="27"/>
      <c r="AV21" s="7">
        <f>392*Umrechnungsfaktoren!$B$15/Umrechnungsfaktoren!$B$14</f>
        <v>398.91764705882349</v>
      </c>
      <c r="AW21" s="27"/>
      <c r="AX21" s="27">
        <f>0.05*Umrechnungsfaktoren!$B$15/Umrechnungsfaktoren!$B$14</f>
        <v>5.0882352941176469E-2</v>
      </c>
      <c r="AY21" s="27"/>
      <c r="AZ21" s="50">
        <v>0.97499999999999998</v>
      </c>
      <c r="BA21" s="50">
        <v>1</v>
      </c>
      <c r="BB21" s="23"/>
      <c r="BC21" s="23"/>
      <c r="BD21" s="23"/>
      <c r="BF21" s="12">
        <v>80</v>
      </c>
      <c r="BG21" s="12">
        <v>80</v>
      </c>
      <c r="BH21" s="28"/>
      <c r="BI21" s="12"/>
      <c r="BJ21" s="28"/>
      <c r="BK21" s="12"/>
      <c r="BL21" s="23"/>
      <c r="BM21" s="28"/>
      <c r="BN21" s="12"/>
      <c r="BP21" s="23"/>
      <c r="BQ21" s="23"/>
      <c r="BR21" s="23"/>
      <c r="BW21" s="23"/>
      <c r="BY21" s="23"/>
      <c r="BZ21" s="23"/>
    </row>
    <row r="22" spans="1:78" x14ac:dyDescent="0.2">
      <c r="A22" s="83" t="s">
        <v>880</v>
      </c>
      <c r="B22" s="1" t="s">
        <v>129</v>
      </c>
      <c r="C22" s="1">
        <v>2012</v>
      </c>
      <c r="D22" s="23">
        <v>1</v>
      </c>
      <c r="E22" s="23">
        <v>1</v>
      </c>
      <c r="F22" s="1">
        <v>0</v>
      </c>
      <c r="G22" s="23">
        <f>0.639+1.456</f>
        <v>2.0949999999999998</v>
      </c>
      <c r="H22" s="24"/>
      <c r="I22" s="24">
        <f>116+265</f>
        <v>381</v>
      </c>
      <c r="J22" s="24"/>
      <c r="K22" s="24">
        <v>921</v>
      </c>
      <c r="L22" s="24"/>
      <c r="M22" s="24"/>
      <c r="N22" s="24">
        <v>163</v>
      </c>
      <c r="O22" s="24"/>
      <c r="P22" s="24"/>
      <c r="Q22" s="25"/>
      <c r="R22" s="26">
        <v>1</v>
      </c>
      <c r="S22" s="26">
        <v>0.43</v>
      </c>
      <c r="T22" s="26"/>
      <c r="U22" s="49">
        <v>5500</v>
      </c>
      <c r="V22" s="25">
        <f>116+265</f>
        <v>381</v>
      </c>
      <c r="W22" s="24"/>
      <c r="X22" s="26"/>
      <c r="Y22" s="24"/>
      <c r="Z22" s="1">
        <v>0.25</v>
      </c>
      <c r="AA22" s="23"/>
      <c r="AB22" s="23"/>
      <c r="AC22" s="23">
        <v>3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>
        <v>52</v>
      </c>
      <c r="AO22" s="24">
        <f>0.2*Umrechnungsfaktoren!$B$15/Umrechnungsfaktoren!$B$14</f>
        <v>0.20352941176470588</v>
      </c>
      <c r="AP22" s="24">
        <f>0.9*Umrechnungsfaktoren!$B$15/Umrechnungsfaktoren!$B$14</f>
        <v>0.91588235294117648</v>
      </c>
      <c r="AQ22" s="24">
        <f>0.5*Umrechnungsfaktoren!$B$15/Umrechnungsfaktoren!$B$14</f>
        <v>0.50882352941176467</v>
      </c>
      <c r="AR22" s="27"/>
      <c r="AS22" s="27"/>
      <c r="AT22" s="27"/>
      <c r="AU22" s="27"/>
      <c r="AV22" s="7">
        <f>317*Umrechnungsfaktoren!$B$15/Umrechnungsfaktoren!$B$14</f>
        <v>322.59411764705879</v>
      </c>
      <c r="AW22" s="27"/>
      <c r="AX22" s="27">
        <f>0.05*Umrechnungsfaktoren!$B$15/Umrechnungsfaktoren!$B$14</f>
        <v>5.0882352941176469E-2</v>
      </c>
      <c r="AY22" s="27"/>
      <c r="AZ22" s="6">
        <v>1</v>
      </c>
      <c r="BA22" s="6">
        <v>1</v>
      </c>
      <c r="BB22" s="1" t="s">
        <v>554</v>
      </c>
      <c r="BC22" s="23"/>
      <c r="BD22" s="23"/>
      <c r="BE22" s="1">
        <v>56</v>
      </c>
      <c r="BF22" s="12" t="s">
        <v>553</v>
      </c>
      <c r="BG22" s="1">
        <v>57</v>
      </c>
      <c r="BH22" s="28"/>
      <c r="BI22" s="12">
        <v>57</v>
      </c>
      <c r="BJ22" s="28"/>
      <c r="BK22" s="12">
        <v>56</v>
      </c>
      <c r="BL22" s="23"/>
      <c r="BM22" s="28"/>
      <c r="BN22" s="12">
        <v>60</v>
      </c>
      <c r="BO22" s="1" t="s">
        <v>363</v>
      </c>
      <c r="BP22" s="23"/>
      <c r="BQ22" s="23"/>
      <c r="BR22" s="23"/>
      <c r="BS22" s="1" t="s">
        <v>363</v>
      </c>
      <c r="BT22" s="1">
        <v>70</v>
      </c>
      <c r="BU22" s="1">
        <v>69</v>
      </c>
      <c r="BV22" s="1">
        <v>70</v>
      </c>
      <c r="BW22" s="23"/>
      <c r="BX22" s="23"/>
      <c r="BY22" s="23"/>
      <c r="BZ22" s="23"/>
    </row>
    <row r="23" spans="1:78" x14ac:dyDescent="0.2">
      <c r="A23" s="83" t="s">
        <v>880</v>
      </c>
      <c r="B23" s="1" t="s">
        <v>129</v>
      </c>
      <c r="C23" s="1">
        <v>2020</v>
      </c>
      <c r="D23" s="23">
        <v>1</v>
      </c>
      <c r="E23" s="23">
        <v>1</v>
      </c>
      <c r="F23" s="1">
        <v>0</v>
      </c>
      <c r="G23" s="23"/>
      <c r="H23" s="24"/>
      <c r="I23" s="24">
        <v>379</v>
      </c>
      <c r="J23" s="24"/>
      <c r="K23" s="24">
        <v>917</v>
      </c>
      <c r="L23" s="24"/>
      <c r="M23" s="24"/>
      <c r="N23" s="24">
        <v>162</v>
      </c>
      <c r="O23" s="24"/>
      <c r="P23" s="24"/>
      <c r="Q23" s="25"/>
      <c r="R23" s="26">
        <v>1</v>
      </c>
      <c r="S23" s="26">
        <v>0.43</v>
      </c>
      <c r="T23" s="26"/>
      <c r="U23" s="49"/>
      <c r="V23" s="25"/>
      <c r="W23" s="24"/>
      <c r="X23" s="26"/>
      <c r="Y23" s="24"/>
      <c r="Z23" s="1">
        <v>0.25</v>
      </c>
      <c r="AA23" s="23"/>
      <c r="AB23" s="23"/>
      <c r="AC23" s="23">
        <v>3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4">
        <f>0.2*Umrechnungsfaktoren!$B$15/Umrechnungsfaktoren!$B$14</f>
        <v>0.20352941176470588</v>
      </c>
      <c r="AP23" s="24">
        <f>0.9*Umrechnungsfaktoren!$B$15/Umrechnungsfaktoren!$B$14</f>
        <v>0.91588235294117648</v>
      </c>
      <c r="AQ23" s="24">
        <f>0.5*Umrechnungsfaktoren!$B$15/Umrechnungsfaktoren!$B$14</f>
        <v>0.50882352941176467</v>
      </c>
      <c r="AR23" s="27"/>
      <c r="AS23" s="27"/>
      <c r="AT23" s="27"/>
      <c r="AU23" s="27"/>
      <c r="AV23" s="7">
        <f>317*Umrechnungsfaktoren!$B$15/Umrechnungsfaktoren!$B$14</f>
        <v>322.59411764705879</v>
      </c>
      <c r="AW23" s="27"/>
      <c r="AX23" s="27">
        <f>0.05*Umrechnungsfaktoren!$B$15/Umrechnungsfaktoren!$B$14</f>
        <v>5.0882352941176469E-2</v>
      </c>
      <c r="AY23" s="27"/>
      <c r="AZ23" s="6">
        <v>1</v>
      </c>
      <c r="BA23" s="6">
        <v>1</v>
      </c>
      <c r="BC23" s="23"/>
      <c r="BD23" s="23"/>
      <c r="BF23" s="12">
        <v>80</v>
      </c>
      <c r="BG23" s="12">
        <v>80</v>
      </c>
      <c r="BH23" s="28"/>
      <c r="BI23" s="12"/>
      <c r="BJ23" s="28"/>
      <c r="BK23" s="12"/>
      <c r="BL23" s="23"/>
      <c r="BM23" s="28"/>
      <c r="BN23" s="12"/>
      <c r="BP23" s="23"/>
      <c r="BQ23" s="23"/>
      <c r="BR23" s="23"/>
      <c r="BW23" s="23"/>
      <c r="BX23" s="23"/>
      <c r="BY23" s="23"/>
      <c r="BZ23" s="23"/>
    </row>
    <row r="24" spans="1:78" x14ac:dyDescent="0.2">
      <c r="A24" s="83" t="s">
        <v>880</v>
      </c>
      <c r="B24" s="1" t="s">
        <v>129</v>
      </c>
      <c r="C24" s="1">
        <v>2025</v>
      </c>
      <c r="D24" s="23">
        <v>1</v>
      </c>
      <c r="E24" s="23">
        <v>1</v>
      </c>
      <c r="F24" s="1">
        <v>0</v>
      </c>
      <c r="G24" s="23"/>
      <c r="H24" s="24"/>
      <c r="I24" s="24">
        <v>376</v>
      </c>
      <c r="J24" s="24"/>
      <c r="K24" s="24">
        <v>911</v>
      </c>
      <c r="L24" s="24"/>
      <c r="M24" s="24"/>
      <c r="N24" s="24">
        <v>161</v>
      </c>
      <c r="O24" s="24"/>
      <c r="P24" s="24"/>
      <c r="Q24" s="25"/>
      <c r="R24" s="26">
        <v>1</v>
      </c>
      <c r="S24" s="26">
        <v>0.43</v>
      </c>
      <c r="T24" s="26"/>
      <c r="U24" s="49"/>
      <c r="V24" s="25"/>
      <c r="W24" s="24"/>
      <c r="X24" s="26"/>
      <c r="Y24" s="24"/>
      <c r="Z24" s="1">
        <v>0.25</v>
      </c>
      <c r="AA24" s="23"/>
      <c r="AB24" s="23"/>
      <c r="AC24" s="23">
        <v>3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4">
        <f>0.2*Umrechnungsfaktoren!$B$15/Umrechnungsfaktoren!$B$14</f>
        <v>0.20352941176470588</v>
      </c>
      <c r="AP24" s="24">
        <f>0.9*Umrechnungsfaktoren!$B$15/Umrechnungsfaktoren!$B$14</f>
        <v>0.91588235294117648</v>
      </c>
      <c r="AQ24" s="24">
        <f>0.5*Umrechnungsfaktoren!$B$15/Umrechnungsfaktoren!$B$14</f>
        <v>0.50882352941176467</v>
      </c>
      <c r="AR24" s="27"/>
      <c r="AS24" s="27"/>
      <c r="AT24" s="27"/>
      <c r="AU24" s="27"/>
      <c r="AV24" s="7">
        <f>317*Umrechnungsfaktoren!$B$15/Umrechnungsfaktoren!$B$14</f>
        <v>322.59411764705879</v>
      </c>
      <c r="AW24" s="27"/>
      <c r="AX24" s="27">
        <f>0.05*Umrechnungsfaktoren!$B$15/Umrechnungsfaktoren!$B$14</f>
        <v>5.0882352941176469E-2</v>
      </c>
      <c r="AY24" s="27"/>
      <c r="AZ24" s="6">
        <v>1</v>
      </c>
      <c r="BA24" s="6">
        <v>1</v>
      </c>
      <c r="BC24" s="23"/>
      <c r="BD24" s="23"/>
      <c r="BF24" s="12">
        <v>80</v>
      </c>
      <c r="BG24" s="12">
        <v>80</v>
      </c>
      <c r="BH24" s="28"/>
      <c r="BI24" s="12"/>
      <c r="BJ24" s="28"/>
      <c r="BK24" s="12"/>
      <c r="BL24" s="23"/>
      <c r="BM24" s="28"/>
      <c r="BN24" s="12"/>
      <c r="BP24" s="23"/>
      <c r="BQ24" s="23"/>
      <c r="BR24" s="23"/>
      <c r="BW24" s="23"/>
      <c r="BX24" s="23"/>
      <c r="BY24" s="23"/>
      <c r="BZ24" s="23"/>
    </row>
    <row r="25" spans="1:78" x14ac:dyDescent="0.2">
      <c r="A25" s="83" t="s">
        <v>880</v>
      </c>
      <c r="B25" s="1" t="s">
        <v>129</v>
      </c>
      <c r="C25" s="1">
        <v>2030</v>
      </c>
      <c r="D25" s="23">
        <v>1</v>
      </c>
      <c r="E25" s="23">
        <v>1</v>
      </c>
      <c r="F25" s="1">
        <v>0</v>
      </c>
      <c r="G25" s="23"/>
      <c r="H25" s="24"/>
      <c r="I25" s="24">
        <v>373</v>
      </c>
      <c r="J25" s="24"/>
      <c r="K25" s="24">
        <v>902</v>
      </c>
      <c r="L25" s="24"/>
      <c r="M25" s="24"/>
      <c r="N25" s="24">
        <v>160</v>
      </c>
      <c r="O25" s="24"/>
      <c r="P25" s="24"/>
      <c r="Q25" s="25"/>
      <c r="R25" s="26">
        <v>1</v>
      </c>
      <c r="S25" s="26">
        <v>0.43</v>
      </c>
      <c r="T25" s="26"/>
      <c r="U25" s="49"/>
      <c r="V25" s="25"/>
      <c r="W25" s="24"/>
      <c r="X25" s="26"/>
      <c r="Y25" s="24"/>
      <c r="Z25" s="1">
        <v>0.25</v>
      </c>
      <c r="AA25" s="23"/>
      <c r="AB25" s="23"/>
      <c r="AC25" s="23">
        <v>3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4">
        <f>0.2*Umrechnungsfaktoren!$B$15/Umrechnungsfaktoren!$B$14</f>
        <v>0.20352941176470588</v>
      </c>
      <c r="AP25" s="24">
        <f>0.9*Umrechnungsfaktoren!$B$15/Umrechnungsfaktoren!$B$14</f>
        <v>0.91588235294117648</v>
      </c>
      <c r="AQ25" s="24">
        <f>0.5*Umrechnungsfaktoren!$B$15/Umrechnungsfaktoren!$B$14</f>
        <v>0.50882352941176467</v>
      </c>
      <c r="AR25" s="27"/>
      <c r="AS25" s="27"/>
      <c r="AT25" s="27"/>
      <c r="AU25" s="27"/>
      <c r="AV25" s="7">
        <f>317*Umrechnungsfaktoren!$B$15/Umrechnungsfaktoren!$B$14</f>
        <v>322.59411764705879</v>
      </c>
      <c r="AW25" s="27"/>
      <c r="AX25" s="27">
        <f>0.05*Umrechnungsfaktoren!$B$15/Umrechnungsfaktoren!$B$14</f>
        <v>5.0882352941176469E-2</v>
      </c>
      <c r="AY25" s="27"/>
      <c r="AZ25" s="6">
        <v>1</v>
      </c>
      <c r="BA25" s="6">
        <v>1</v>
      </c>
      <c r="BC25" s="23"/>
      <c r="BD25" s="23"/>
      <c r="BF25" s="12">
        <v>80</v>
      </c>
      <c r="BG25" s="12">
        <v>80</v>
      </c>
      <c r="BH25" s="28"/>
      <c r="BI25" s="12"/>
      <c r="BJ25" s="28"/>
      <c r="BK25" s="12"/>
      <c r="BL25" s="23"/>
      <c r="BM25" s="28"/>
      <c r="BN25" s="12"/>
      <c r="BP25" s="23"/>
      <c r="BQ25" s="23"/>
      <c r="BR25" s="23"/>
      <c r="BW25" s="23"/>
      <c r="BX25" s="23"/>
      <c r="BY25" s="23"/>
      <c r="BZ25" s="23"/>
    </row>
    <row r="26" spans="1:78" x14ac:dyDescent="0.2">
      <c r="A26" s="83" t="s">
        <v>209</v>
      </c>
      <c r="B26" s="1" t="s">
        <v>129</v>
      </c>
      <c r="C26" s="1">
        <v>2012</v>
      </c>
      <c r="D26" s="1">
        <v>1</v>
      </c>
      <c r="E26" s="1">
        <v>0</v>
      </c>
      <c r="F26" s="1">
        <v>0</v>
      </c>
      <c r="H26" s="18"/>
      <c r="I26" s="18">
        <v>200</v>
      </c>
      <c r="J26" s="18"/>
      <c r="K26" s="18"/>
      <c r="L26" s="18"/>
      <c r="M26" s="18"/>
      <c r="N26" s="18">
        <v>1000</v>
      </c>
      <c r="O26" s="18"/>
      <c r="P26" s="18"/>
      <c r="Q26" s="19"/>
      <c r="R26" s="8"/>
      <c r="S26" s="8"/>
      <c r="T26" s="8"/>
      <c r="U26" s="48"/>
      <c r="V26" s="19"/>
      <c r="W26" s="18"/>
      <c r="X26" s="8"/>
      <c r="Y26" s="18"/>
      <c r="AA26" s="1">
        <f>15/60</f>
        <v>0.25</v>
      </c>
      <c r="AB26" s="1">
        <v>2</v>
      </c>
      <c r="AC26" s="1">
        <v>0.3</v>
      </c>
      <c r="AD26" s="1">
        <v>0.25</v>
      </c>
      <c r="AE26" s="1">
        <v>8</v>
      </c>
      <c r="AF26" s="1">
        <v>0.5</v>
      </c>
      <c r="AJ26" s="1">
        <v>4</v>
      </c>
      <c r="AK26" s="1">
        <v>4</v>
      </c>
      <c r="AO26" s="18"/>
      <c r="AP26" s="18"/>
      <c r="AQ26" s="18"/>
      <c r="AR26" s="7"/>
      <c r="AS26" s="7"/>
      <c r="AT26" s="7"/>
      <c r="AU26" s="7"/>
      <c r="AV26" s="7"/>
      <c r="AW26" s="7"/>
      <c r="AX26" s="7"/>
      <c r="AY26" s="7"/>
      <c r="AZ26" s="6">
        <v>1</v>
      </c>
      <c r="BA26" s="6">
        <v>1</v>
      </c>
      <c r="BF26" s="12">
        <v>94</v>
      </c>
      <c r="BG26" s="1">
        <v>94</v>
      </c>
      <c r="BH26" s="12"/>
      <c r="BI26" s="12"/>
      <c r="BJ26" s="12"/>
      <c r="BK26" s="12"/>
      <c r="BM26" s="12"/>
      <c r="BN26" s="12"/>
      <c r="BO26" s="1" t="s">
        <v>559</v>
      </c>
      <c r="BQ26" s="1">
        <v>100</v>
      </c>
    </row>
    <row r="27" spans="1:78" x14ac:dyDescent="0.2">
      <c r="A27" s="83" t="s">
        <v>211</v>
      </c>
      <c r="B27" s="1" t="s">
        <v>129</v>
      </c>
      <c r="C27" s="1">
        <v>2012</v>
      </c>
      <c r="D27" s="1">
        <v>0</v>
      </c>
      <c r="E27" s="1">
        <v>1</v>
      </c>
      <c r="F27" s="1">
        <v>0</v>
      </c>
      <c r="H27" s="18"/>
      <c r="I27" s="18">
        <v>400</v>
      </c>
      <c r="J27" s="18"/>
      <c r="K27" s="18"/>
      <c r="L27" s="18"/>
      <c r="M27" s="18"/>
      <c r="N27" s="18">
        <v>0</v>
      </c>
      <c r="O27" s="18"/>
      <c r="P27" s="18"/>
      <c r="Q27" s="19"/>
      <c r="R27" s="8"/>
      <c r="S27" s="8"/>
      <c r="T27" s="8"/>
      <c r="U27" s="48"/>
      <c r="V27" s="19"/>
      <c r="W27" s="18"/>
      <c r="X27" s="8"/>
      <c r="Y27" s="18"/>
      <c r="AA27" s="1">
        <f>2/60</f>
        <v>3.3333333333333333E-2</v>
      </c>
      <c r="AB27" s="1">
        <v>2</v>
      </c>
      <c r="AC27" s="1">
        <v>0.5</v>
      </c>
      <c r="AF27" s="1">
        <v>0</v>
      </c>
      <c r="AJ27" s="1">
        <v>2</v>
      </c>
      <c r="AK27" s="1">
        <v>0</v>
      </c>
      <c r="AO27" s="18"/>
      <c r="AP27" s="18"/>
      <c r="AQ27" s="18"/>
      <c r="AR27" s="7"/>
      <c r="AS27" s="7"/>
      <c r="AT27" s="7"/>
      <c r="AU27" s="7"/>
      <c r="AV27" s="7"/>
      <c r="AW27" s="7"/>
      <c r="AX27" s="7"/>
      <c r="AY27" s="7"/>
      <c r="AZ27" s="6">
        <v>1.83</v>
      </c>
      <c r="BA27" s="6">
        <v>1</v>
      </c>
      <c r="BF27" s="12">
        <v>94</v>
      </c>
      <c r="BG27" s="1">
        <v>94</v>
      </c>
      <c r="BH27" s="12"/>
      <c r="BI27" s="12"/>
      <c r="BJ27" s="12"/>
      <c r="BK27" s="12"/>
      <c r="BM27" s="12"/>
      <c r="BN27" s="12"/>
      <c r="BO27" s="1" t="s">
        <v>559</v>
      </c>
      <c r="BQ27" s="1">
        <v>100</v>
      </c>
    </row>
    <row r="28" spans="1:78" x14ac:dyDescent="0.2">
      <c r="A28" s="83" t="s">
        <v>535</v>
      </c>
      <c r="B28" s="1" t="s">
        <v>129</v>
      </c>
      <c r="C28" s="1">
        <v>2012</v>
      </c>
      <c r="D28" s="1">
        <v>0</v>
      </c>
      <c r="E28" s="1">
        <v>1</v>
      </c>
      <c r="F28" s="1">
        <v>0</v>
      </c>
      <c r="H28" s="18"/>
      <c r="I28" s="18">
        <v>400</v>
      </c>
      <c r="J28" s="18"/>
      <c r="K28" s="18"/>
      <c r="L28" s="18"/>
      <c r="M28" s="18"/>
      <c r="N28" s="18">
        <v>0</v>
      </c>
      <c r="O28" s="18"/>
      <c r="P28" s="18"/>
      <c r="Q28" s="19"/>
      <c r="R28" s="8"/>
      <c r="S28" s="8"/>
      <c r="T28" s="8"/>
      <c r="U28" s="48"/>
      <c r="V28" s="19"/>
      <c r="W28" s="18"/>
      <c r="X28" s="8"/>
      <c r="Y28" s="18"/>
      <c r="AA28" s="1">
        <v>1</v>
      </c>
      <c r="AB28" s="1">
        <v>8</v>
      </c>
      <c r="AC28" s="1">
        <v>4</v>
      </c>
      <c r="AF28" s="1">
        <v>0</v>
      </c>
      <c r="AJ28" s="1">
        <v>4</v>
      </c>
      <c r="AK28" s="1">
        <v>0</v>
      </c>
      <c r="AO28" s="18"/>
      <c r="AP28" s="18"/>
      <c r="AQ28" s="18"/>
      <c r="AR28" s="7"/>
      <c r="AS28" s="7"/>
      <c r="AT28" s="7">
        <f>18.8*Umrechnungsfaktoren!$B$15/Umrechnungsfaktoren!$B$14</f>
        <v>19.131764705882354</v>
      </c>
      <c r="AU28" s="7">
        <f>32.8*Umrechnungsfaktoren!$B$15/Umrechnungsfaktoren!$B$14</f>
        <v>33.378823529411761</v>
      </c>
      <c r="AV28" s="7"/>
      <c r="AW28" s="7"/>
      <c r="AX28" s="7"/>
      <c r="AY28" s="7"/>
      <c r="AZ28" s="6">
        <v>1</v>
      </c>
      <c r="BA28" s="6">
        <v>1</v>
      </c>
      <c r="BF28" s="12"/>
      <c r="BH28" s="12"/>
      <c r="BI28" s="12"/>
      <c r="BJ28" s="12"/>
      <c r="BK28" s="12"/>
      <c r="BM28" s="12"/>
      <c r="BN28" s="12"/>
      <c r="BO28" s="1" t="s">
        <v>559</v>
      </c>
      <c r="BQ28" s="1">
        <v>100</v>
      </c>
    </row>
    <row r="29" spans="1:78" x14ac:dyDescent="0.2">
      <c r="A29" s="83" t="s">
        <v>222</v>
      </c>
      <c r="B29" s="1" t="s">
        <v>129</v>
      </c>
      <c r="C29" s="1">
        <v>2012</v>
      </c>
      <c r="D29" s="1">
        <v>1</v>
      </c>
      <c r="E29" s="1">
        <v>0</v>
      </c>
      <c r="F29" s="1">
        <v>0</v>
      </c>
      <c r="H29" s="18"/>
      <c r="I29" s="18">
        <v>0</v>
      </c>
      <c r="J29" s="18"/>
      <c r="K29" s="18"/>
      <c r="L29" s="18"/>
      <c r="M29" s="18"/>
      <c r="N29" s="18">
        <v>50</v>
      </c>
      <c r="O29" s="18"/>
      <c r="P29" s="18"/>
      <c r="Q29" s="19"/>
      <c r="R29" s="8"/>
      <c r="S29" s="8"/>
      <c r="T29" s="8"/>
      <c r="U29" s="48"/>
      <c r="V29" s="19"/>
      <c r="W29" s="18"/>
      <c r="X29" s="8"/>
      <c r="Y29" s="18"/>
      <c r="AA29" s="1">
        <v>0</v>
      </c>
      <c r="AB29" s="1">
        <v>2</v>
      </c>
      <c r="AC29" s="1">
        <f>1/60</f>
        <v>1.6666666666666666E-2</v>
      </c>
      <c r="AF29" s="1">
        <f>1/60</f>
        <v>1.6666666666666666E-2</v>
      </c>
      <c r="AJ29" s="1">
        <v>0.1</v>
      </c>
      <c r="AK29" s="1">
        <v>0.1</v>
      </c>
      <c r="AO29" s="18"/>
      <c r="AP29" s="18"/>
      <c r="AQ29" s="18"/>
      <c r="AR29" s="7"/>
      <c r="AS29" s="7"/>
      <c r="AT29" s="7"/>
      <c r="AU29" s="7"/>
      <c r="AV29" s="7"/>
      <c r="AW29" s="7"/>
      <c r="AX29" s="7"/>
      <c r="AY29" s="7"/>
      <c r="AZ29" s="39">
        <v>0.96299999999999997</v>
      </c>
      <c r="BA29" s="6">
        <v>0.94</v>
      </c>
      <c r="BF29" s="12">
        <v>94</v>
      </c>
      <c r="BG29" s="1">
        <v>94</v>
      </c>
      <c r="BH29" s="12"/>
      <c r="BI29" s="12"/>
      <c r="BJ29" s="12"/>
      <c r="BK29" s="12"/>
      <c r="BM29" s="12"/>
      <c r="BN29" s="12"/>
      <c r="BO29" s="1" t="s">
        <v>559</v>
      </c>
      <c r="BQ29" s="1">
        <v>100</v>
      </c>
    </row>
    <row r="30" spans="1:78" x14ac:dyDescent="0.2">
      <c r="A30" s="83" t="s">
        <v>537</v>
      </c>
      <c r="B30" s="1" t="s">
        <v>129</v>
      </c>
      <c r="C30" s="1">
        <v>2012</v>
      </c>
      <c r="D30" s="1">
        <v>1</v>
      </c>
      <c r="E30" s="1">
        <v>0</v>
      </c>
      <c r="F30" s="1">
        <v>0</v>
      </c>
      <c r="H30" s="18"/>
      <c r="I30" s="18">
        <v>50</v>
      </c>
      <c r="J30" s="18"/>
      <c r="K30" s="18"/>
      <c r="L30" s="18"/>
      <c r="M30" s="18"/>
      <c r="N30" s="18">
        <v>50</v>
      </c>
      <c r="O30" s="18"/>
      <c r="P30" s="18"/>
      <c r="Q30" s="19"/>
      <c r="R30" s="8"/>
      <c r="S30" s="8"/>
      <c r="T30" s="8"/>
      <c r="U30" s="48"/>
      <c r="V30" s="19"/>
      <c r="W30" s="18"/>
      <c r="X30" s="8"/>
      <c r="Y30" s="18"/>
      <c r="AC30" s="1">
        <v>0.5</v>
      </c>
      <c r="AE30" s="1">
        <v>1</v>
      </c>
      <c r="AF30" s="1">
        <v>0.8</v>
      </c>
      <c r="AJ30" s="1">
        <v>2</v>
      </c>
      <c r="AK30" s="1">
        <v>2</v>
      </c>
      <c r="AO30" s="18"/>
      <c r="AP30" s="18"/>
      <c r="AQ30" s="18"/>
      <c r="AR30" s="7"/>
      <c r="AS30" s="7"/>
      <c r="AT30" s="18"/>
      <c r="AU30" s="18"/>
      <c r="AV30" s="7"/>
      <c r="AW30" s="7"/>
      <c r="AX30" s="18"/>
      <c r="AY30" s="7"/>
      <c r="AZ30" s="6">
        <v>1.37</v>
      </c>
      <c r="BA30" s="6">
        <v>1.37</v>
      </c>
      <c r="BF30" s="12"/>
      <c r="BH30" s="12"/>
      <c r="BI30" s="12"/>
      <c r="BJ30" s="12"/>
      <c r="BK30" s="12"/>
      <c r="BM30" s="12"/>
      <c r="BN30" s="12"/>
      <c r="BO30" s="1" t="s">
        <v>559</v>
      </c>
      <c r="BQ30" s="1">
        <v>100</v>
      </c>
    </row>
    <row r="31" spans="1:78" x14ac:dyDescent="0.2">
      <c r="A31" s="83" t="s">
        <v>542</v>
      </c>
      <c r="B31" s="1" t="s">
        <v>129</v>
      </c>
      <c r="C31" s="1">
        <v>2012</v>
      </c>
      <c r="D31" s="23">
        <v>1</v>
      </c>
      <c r="E31" s="23">
        <v>1</v>
      </c>
      <c r="F31" s="1">
        <v>0</v>
      </c>
      <c r="H31" s="18"/>
      <c r="I31" s="18">
        <v>1183</v>
      </c>
      <c r="J31" s="18"/>
      <c r="K31" s="18">
        <v>629</v>
      </c>
      <c r="L31" s="18"/>
      <c r="M31" s="18"/>
      <c r="N31" s="18"/>
      <c r="O31" s="18"/>
      <c r="P31" s="18"/>
      <c r="Q31" s="19"/>
      <c r="R31" s="8"/>
      <c r="S31" s="8"/>
      <c r="T31" s="8"/>
      <c r="U31" s="48"/>
      <c r="V31" s="19"/>
      <c r="W31" s="18"/>
      <c r="X31" s="8"/>
      <c r="Y31" s="18"/>
      <c r="AO31" s="18"/>
      <c r="AP31" s="18"/>
      <c r="AQ31" s="24">
        <f>6.2*Umrechnungsfaktoren!$B$15/Umrechnungsfaktoren!$B$14</f>
        <v>6.3094117647058825</v>
      </c>
      <c r="AR31" s="7"/>
      <c r="AS31" s="7"/>
      <c r="AT31" s="18"/>
      <c r="AU31" s="18"/>
      <c r="AV31" s="7"/>
      <c r="AW31" s="7"/>
      <c r="AX31" s="18"/>
      <c r="AY31" s="7">
        <f>3000*Umrechnungsfaktoren!$B$15/Umrechnungsfaktoren!$B$14</f>
        <v>3052.9411764705878</v>
      </c>
      <c r="BF31" s="12">
        <v>117</v>
      </c>
      <c r="BG31" s="12">
        <v>117</v>
      </c>
      <c r="BH31" s="12"/>
      <c r="BI31" s="12"/>
      <c r="BJ31" s="12"/>
      <c r="BK31" s="12"/>
      <c r="BM31" s="12"/>
      <c r="BN31" s="12"/>
    </row>
    <row r="32" spans="1:78" x14ac:dyDescent="0.2">
      <c r="A32" s="83" t="s">
        <v>542</v>
      </c>
      <c r="B32" s="1" t="s">
        <v>129</v>
      </c>
      <c r="C32" s="1">
        <v>2020</v>
      </c>
      <c r="D32" s="23">
        <v>1</v>
      </c>
      <c r="E32" s="23">
        <v>1</v>
      </c>
      <c r="F32" s="1">
        <v>0</v>
      </c>
      <c r="H32" s="18"/>
      <c r="I32" s="18">
        <v>1106</v>
      </c>
      <c r="J32" s="18"/>
      <c r="K32" s="18">
        <v>634</v>
      </c>
      <c r="L32" s="18"/>
      <c r="M32" s="18"/>
      <c r="N32" s="18"/>
      <c r="O32" s="18"/>
      <c r="P32" s="18"/>
      <c r="Q32" s="19"/>
      <c r="R32" s="8"/>
      <c r="S32" s="8"/>
      <c r="T32" s="8"/>
      <c r="U32" s="48"/>
      <c r="V32" s="19"/>
      <c r="W32" s="18"/>
      <c r="X32" s="8"/>
      <c r="Y32" s="18"/>
      <c r="AO32" s="18"/>
      <c r="AP32" s="18"/>
      <c r="AQ32" s="24">
        <f>5.6*Umrechnungsfaktoren!$B$15/Umrechnungsfaktoren!$B$14</f>
        <v>5.6988235294117642</v>
      </c>
      <c r="AR32" s="7"/>
      <c r="AS32" s="7"/>
      <c r="AT32" s="18"/>
      <c r="AU32" s="18"/>
      <c r="AV32" s="7"/>
      <c r="AW32" s="7"/>
      <c r="AX32" s="18"/>
      <c r="AY32" s="7">
        <f>2550*Umrechnungsfaktoren!$B$15/Umrechnungsfaktoren!$B$14</f>
        <v>2595</v>
      </c>
      <c r="BF32" s="12">
        <v>117</v>
      </c>
      <c r="BG32" s="12">
        <v>117</v>
      </c>
      <c r="BH32" s="12"/>
      <c r="BI32" s="12"/>
      <c r="BJ32" s="12"/>
      <c r="BK32" s="12"/>
      <c r="BM32" s="12"/>
      <c r="BN32" s="12"/>
    </row>
    <row r="33" spans="1:66" x14ac:dyDescent="0.2">
      <c r="A33" s="83" t="s">
        <v>542</v>
      </c>
      <c r="B33" s="1" t="s">
        <v>129</v>
      </c>
      <c r="C33" s="1">
        <v>2025</v>
      </c>
      <c r="D33" s="23">
        <v>1</v>
      </c>
      <c r="E33" s="23">
        <v>1</v>
      </c>
      <c r="F33" s="1">
        <v>0</v>
      </c>
      <c r="H33" s="18"/>
      <c r="I33" s="18">
        <v>1148</v>
      </c>
      <c r="J33" s="18"/>
      <c r="K33" s="18">
        <v>660</v>
      </c>
      <c r="L33" s="18"/>
      <c r="M33" s="18"/>
      <c r="N33" s="18"/>
      <c r="O33" s="18"/>
      <c r="P33" s="18"/>
      <c r="Q33" s="19"/>
      <c r="R33" s="8"/>
      <c r="S33" s="8"/>
      <c r="T33" s="8"/>
      <c r="U33" s="48"/>
      <c r="V33" s="19"/>
      <c r="W33" s="18"/>
      <c r="X33" s="8"/>
      <c r="Y33" s="18"/>
      <c r="AO33" s="18"/>
      <c r="AP33" s="18"/>
      <c r="AQ33" s="24">
        <f>5.3*Umrechnungsfaktoren!$B$15/Umrechnungsfaktoren!$B$14</f>
        <v>5.393529411764705</v>
      </c>
      <c r="AR33" s="7"/>
      <c r="AS33" s="7"/>
      <c r="AT33" s="18"/>
      <c r="AU33" s="18"/>
      <c r="AV33" s="7"/>
      <c r="AW33" s="7"/>
      <c r="AX33" s="18"/>
      <c r="AY33" s="7">
        <f>2100*Umrechnungsfaktoren!$B$15/Umrechnungsfaktoren!$B$14</f>
        <v>2137.0588235294117</v>
      </c>
      <c r="BF33" s="12">
        <v>117</v>
      </c>
      <c r="BG33" s="12">
        <v>117</v>
      </c>
      <c r="BH33" s="12"/>
      <c r="BI33" s="12"/>
      <c r="BJ33" s="12"/>
      <c r="BK33" s="12"/>
      <c r="BM33" s="12"/>
      <c r="BN33" s="12"/>
    </row>
    <row r="34" spans="1:66" x14ac:dyDescent="0.2">
      <c r="A34" s="83" t="s">
        <v>542</v>
      </c>
      <c r="B34" s="1" t="s">
        <v>129</v>
      </c>
      <c r="C34" s="1">
        <v>2030</v>
      </c>
      <c r="D34" s="23">
        <v>1</v>
      </c>
      <c r="E34" s="23">
        <v>1</v>
      </c>
      <c r="F34" s="1">
        <v>0</v>
      </c>
      <c r="H34" s="18"/>
      <c r="I34" s="18">
        <v>1185</v>
      </c>
      <c r="J34" s="18"/>
      <c r="K34" s="18">
        <v>686</v>
      </c>
      <c r="L34" s="18"/>
      <c r="M34" s="18"/>
      <c r="N34" s="18"/>
      <c r="O34" s="18"/>
      <c r="P34" s="18"/>
      <c r="Q34" s="19"/>
      <c r="R34" s="8"/>
      <c r="S34" s="8"/>
      <c r="T34" s="8"/>
      <c r="U34" s="48"/>
      <c r="V34" s="19"/>
      <c r="W34" s="18"/>
      <c r="X34" s="8"/>
      <c r="Y34" s="18"/>
      <c r="AO34" s="18"/>
      <c r="AP34" s="18"/>
      <c r="AQ34" s="24">
        <f>4.9*Umrechnungsfaktoren!$B$15/Umrechnungsfaktoren!$B$14</f>
        <v>4.986470588235294</v>
      </c>
      <c r="AR34" s="7"/>
      <c r="AS34" s="7"/>
      <c r="AT34" s="18"/>
      <c r="AU34" s="18"/>
      <c r="AV34" s="7"/>
      <c r="AW34" s="7"/>
      <c r="AX34" s="18"/>
      <c r="AY34" s="7">
        <f>1650*Umrechnungsfaktoren!$B$15/Umrechnungsfaktoren!$B$14</f>
        <v>1679.1176470588234</v>
      </c>
      <c r="BF34" s="12">
        <v>117</v>
      </c>
      <c r="BG34" s="12">
        <v>117</v>
      </c>
      <c r="BH34" s="12"/>
      <c r="BI34" s="12"/>
      <c r="BJ34" s="12"/>
      <c r="BK34" s="12"/>
      <c r="BM34" s="12"/>
      <c r="BN34" s="12"/>
    </row>
  </sheetData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Dropdown!$C$2:$C$4</xm:f>
          </x14:formula1>
          <xm:sqref>B2:B34</xm:sqref>
        </x14:dataValidation>
        <x14:dataValidation type="list" allowBlank="1" showInputMessage="1" showErrorMessage="1" xr:uid="{00000000-0002-0000-1100-000000000000}">
          <x14:formula1>
            <xm:f>Dropdown!$A$2:$A$92</xm:f>
          </x14:formula1>
          <xm:sqref>A2:A34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38</vt:i4>
      </vt:variant>
      <vt:variant>
        <vt:lpstr>Benannte Bereiche</vt:lpstr>
      </vt:variant>
      <vt:variant>
        <vt:i4>5</vt:i4>
      </vt:variant>
    </vt:vector>
  </HeadingPairs>
  <TitlesOfParts>
    <vt:vector size="43" baseType="lpstr">
      <vt:lpstr>Ape12</vt:lpstr>
      <vt:lpstr>Ary17</vt:lpstr>
      <vt:lpstr>Blu13</vt:lpstr>
      <vt:lpstr>Bel15</vt:lpstr>
      <vt:lpstr>Foc11</vt:lpstr>
      <vt:lpstr>Gil15</vt:lpstr>
      <vt:lpstr>Gob12</vt:lpstr>
      <vt:lpstr>Gro13</vt:lpstr>
      <vt:lpstr>Gru17</vt:lpstr>
      <vt:lpstr>Haa17</vt:lpstr>
      <vt:lpstr>Hen15</vt:lpstr>
      <vt:lpstr>Klo09</vt:lpstr>
      <vt:lpstr>Herleitung_Klo09</vt:lpstr>
      <vt:lpstr>Klo13</vt:lpstr>
      <vt:lpstr>Krz13</vt:lpstr>
      <vt:lpstr>Lad18</vt:lpstr>
      <vt:lpstr>Lan15</vt:lpstr>
      <vt:lpstr>Lie15</vt:lpstr>
      <vt:lpstr>Mol10</vt:lpstr>
      <vt:lpstr>Herleitung_Mol10</vt:lpstr>
      <vt:lpstr>Pau11</vt:lpstr>
      <vt:lpstr>Pel16</vt:lpstr>
      <vt:lpstr>r2b14</vt:lpstr>
      <vt:lpstr>Roo10</vt:lpstr>
      <vt:lpstr>Herleitung_Sch14</vt:lpstr>
      <vt:lpstr>Herleitung_Gil15</vt:lpstr>
      <vt:lpstr>Sta06</vt:lpstr>
      <vt:lpstr>Ste17</vt:lpstr>
      <vt:lpstr>Stoe12</vt:lpstr>
      <vt:lpstr>Sty15</vt:lpstr>
      <vt:lpstr>Herleitung_Pel16</vt:lpstr>
      <vt:lpstr>Kuerzel</vt:lpstr>
      <vt:lpstr>Dropdown</vt:lpstr>
      <vt:lpstr>Kategorien</vt:lpstr>
      <vt:lpstr>Kategorien_grob</vt:lpstr>
      <vt:lpstr>Farben</vt:lpstr>
      <vt:lpstr>Umrechnungsfaktoren</vt:lpstr>
      <vt:lpstr>Methode</vt:lpstr>
      <vt:lpstr>Alumi2005</vt:lpstr>
      <vt:lpstr>Chlor2005</vt:lpstr>
      <vt:lpstr>Chlor2020</vt:lpstr>
      <vt:lpstr>Luft2005</vt:lpstr>
      <vt:lpstr>Luft2020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Kochems</dc:creator>
  <cp:lastModifiedBy>Johannes Kochems</cp:lastModifiedBy>
  <dcterms:created xsi:type="dcterms:W3CDTF">2019-02-02T11:46:20Z</dcterms:created>
  <dcterms:modified xsi:type="dcterms:W3CDTF">2020-03-16T08:12:53Z</dcterms:modified>
</cp:coreProperties>
</file>