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comments33.xml" ContentType="application/vnd.openxmlformats-officedocument.spreadsheetml.comments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4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D:\DR_mod\DR_Potentials\inputs\"/>
    </mc:Choice>
  </mc:AlternateContent>
  <xr:revisionPtr revIDLastSave="0" documentId="13_ncr:1_{742A74E2-CB2B-410A-BD36-955A3CF465FE}" xr6:coauthVersionLast="36" xr6:coauthVersionMax="45" xr10:uidLastSave="{00000000-0000-0000-0000-000000000000}"/>
  <bookViews>
    <workbookView xWindow="-120" yWindow="-120" windowWidth="19440" windowHeight="15000" tabRatio="657" firstSheet="22" activeTab="26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au19" sheetId="55" r:id="rId27"/>
    <sheet name="Sta06" sheetId="42" r:id="rId28"/>
    <sheet name="Ste17" sheetId="24" r:id="rId29"/>
    <sheet name="Stoe12" sheetId="34" state="hidden" r:id="rId30"/>
    <sheet name="Sty15" sheetId="20" r:id="rId31"/>
    <sheet name="Herleitung_Pel16" sheetId="39" state="hidden" r:id="rId32"/>
    <sheet name="Ste17_detailliert" sheetId="50" state="hidden" r:id="rId33"/>
    <sheet name="LMM_Gruppen_Sch14" sheetId="37" r:id="rId34"/>
    <sheet name="Kuerzel" sheetId="17" r:id="rId35"/>
    <sheet name="Dropdown" sheetId="9" r:id="rId36"/>
    <sheet name="Kategorien_neu" sheetId="53" r:id="rId37"/>
    <sheet name="Farben" sheetId="54" r:id="rId38"/>
    <sheet name="Kategorien" sheetId="49" r:id="rId39"/>
    <sheet name="Studie_XY" sheetId="1" r:id="rId40"/>
    <sheet name="Herleitung_Studie_XY" sheetId="3" r:id="rId41"/>
    <sheet name="Pivot_Example_Pel16" sheetId="40" r:id="rId42"/>
    <sheet name="Umrechnungsfaktoren" sheetId="2" r:id="rId43"/>
    <sheet name="Methode" sheetId="25" r:id="rId44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76E3D9D8-67A0-4DD7-8EDF-4E82C23F59A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7129BC12-6361-49B7-92F3-E9638546A833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sharedStrings.xml><?xml version="1.0" encoding="utf-8"?>
<sst xmlns="http://schemas.openxmlformats.org/spreadsheetml/2006/main" count="19399" uniqueCount="1191">
  <si>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</si>
  <si>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</si>
  <si>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</si>
  <si>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</si>
  <si>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</si>
  <si>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</si>
  <si>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</si>
  <si>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</si>
  <si>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</si>
  <si>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</si>
  <si>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</si>
  <si>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</si>
  <si>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</si>
  <si>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</si>
  <si>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</si>
  <si>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</si>
  <si>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</si>
  <si>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</si>
  <si>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</si>
  <si>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</si>
  <si>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</si>
  <si>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</si>
  <si>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</si>
  <si>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</si>
  <si>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</si>
  <si>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</si>
  <si>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</si>
  <si>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</si>
  <si>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</si>
  <si>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</si>
  <si>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</si>
  <si>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</si>
  <si>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</si>
  <si>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</si>
  <si>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</si>
  <si>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</si>
  <si>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</si>
  <si>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</si>
  <si>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</si>
  <si>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</si>
  <si>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</si>
  <si>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</si>
  <si>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</si>
  <si>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</si>
  <si>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</si>
  <si>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</si>
  <si>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</si>
  <si>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</si>
  <si>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</si>
  <si>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</si>
  <si>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</si>
  <si>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</si>
  <si>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</si>
  <si>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</si>
  <si>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</si>
  <si>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</si>
  <si>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</si>
  <si>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</si>
  <si>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</si>
  <si>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</si>
  <si>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</si>
  <si>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</si>
  <si>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</si>
  <si>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</si>
  <si>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</si>
  <si>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</si>
  <si>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</si>
  <si>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</si>
  <si>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</si>
  <si>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</si>
  <si>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</si>
  <si>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</si>
  <si>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</si>
  <si>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</si>
  <si>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</si>
  <si>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</si>
  <si>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</si>
  <si>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</si>
  <si>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</si>
  <si>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</si>
  <si>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</si>
  <si>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</si>
  <si>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</si>
  <si>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</si>
  <si>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</si>
  <si>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</si>
  <si>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</si>
  <si>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</si>
  <si>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</si>
  <si>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</si>
  <si>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</si>
  <si>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</si>
  <si>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</si>
  <si>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</si>
  <si>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</si>
  <si>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</si>
  <si>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</si>
  <si>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</si>
  <si>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</si>
  <si>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</si>
  <si>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</si>
  <si>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</si>
  <si>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</si>
  <si>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</si>
  <si>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</si>
  <si>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</si>
  <si>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</si>
  <si>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</si>
  <si>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</si>
  <si>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</si>
  <si>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</si>
  <si>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</si>
  <si>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</si>
  <si>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</si>
  <si>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</si>
  <si>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</si>
  <si>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</si>
  <si>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</si>
  <si>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</si>
  <si>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</si>
  <si>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</si>
  <si>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</si>
  <si>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</si>
  <si>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</si>
  <si>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</si>
  <si>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</si>
  <si>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</si>
  <si>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</si>
  <si>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</si>
  <si>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</si>
  <si>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</si>
  <si>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</si>
  <si>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</si>
  <si>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</si>
  <si>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</si>
  <si>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</si>
  <si>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</si>
  <si>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</si>
  <si>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</si>
  <si>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</si>
  <si>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</si>
  <si>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</si>
  <si>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</si>
  <si>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</si>
  <si>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</si>
  <si>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</si>
  <si>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</si>
  <si>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</si>
  <si>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</si>
  <si>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</si>
  <si>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</si>
  <si>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</si>
  <si>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</si>
  <si>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</si>
  <si>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</si>
  <si>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</si>
  <si>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</si>
  <si>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</si>
  <si>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</si>
  <si>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</si>
  <si>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</si>
  <si>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</si>
  <si>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</si>
  <si>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</si>
  <si>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</si>
  <si>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</si>
  <si>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</si>
  <si>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</si>
  <si>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</si>
  <si>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</si>
  <si>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</si>
  <si>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</si>
  <si>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</si>
  <si>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</si>
  <si>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</si>
  <si>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</si>
  <si>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</si>
  <si>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</si>
  <si>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</si>
  <si>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</si>
  <si>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</si>
  <si>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</si>
  <si>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</si>
  <si>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</si>
  <si>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</si>
  <si>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</si>
  <si>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</si>
  <si>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</si>
  <si>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</si>
  <si>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</si>
  <si>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</si>
  <si>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</si>
  <si>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</si>
  <si>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</si>
  <si>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</si>
  <si>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</si>
  <si>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</si>
  <si>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</si>
  <si>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</si>
  <si>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</si>
  <si>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</si>
  <si>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</si>
  <si>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</si>
  <si>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</si>
  <si>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</si>
  <si>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</si>
  <si>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</si>
  <si>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</si>
  <si>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</si>
  <si>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</si>
  <si>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</si>
  <si>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</si>
  <si>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</si>
  <si>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</si>
  <si>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</si>
  <si>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</si>
  <si>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</si>
  <si>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</si>
  <si>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</si>
  <si>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</si>
  <si>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</si>
  <si>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</si>
  <si>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</si>
  <si>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</si>
  <si>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</si>
  <si>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</si>
  <si>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</si>
  <si>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</si>
  <si>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</si>
  <si>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</si>
  <si>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</si>
  <si>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</si>
  <si>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</si>
  <si>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</si>
  <si>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</si>
  <si>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</si>
  <si>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</si>
  <si>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</si>
  <si>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</si>
  <si>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</si>
  <si>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</si>
  <si>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</si>
  <si>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</si>
  <si>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</si>
  <si>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</si>
  <si>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</si>
  <si>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</si>
  <si>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</si>
  <si>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</si>
  <si>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</si>
  <si>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</si>
  <si>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</si>
  <si>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</si>
  <si>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</si>
  <si>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</si>
  <si>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</si>
  <si>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</si>
  <si>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</si>
  <si>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</si>
  <si>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</si>
  <si>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</si>
  <si>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</si>
  <si>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</si>
  <si>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</si>
  <si>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</si>
  <si>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</si>
  <si>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</si>
  <si>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</si>
  <si>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</si>
  <si>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</si>
  <si>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</si>
  <si>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</si>
  <si>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</si>
  <si>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</si>
  <si>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</si>
  <si>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</si>
  <si>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</si>
  <si>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</si>
  <si>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</si>
  <si>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</si>
  <si>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</si>
  <si>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</si>
  <si>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</si>
  <si>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</si>
  <si>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</si>
  <si>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</si>
  <si>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</si>
  <si>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</si>
  <si>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</si>
  <si>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</si>
  <si>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</si>
  <si>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</si>
  <si>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</si>
  <si>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</si>
  <si>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</si>
  <si>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</si>
  <si>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</si>
  <si>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</si>
  <si>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</si>
  <si>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</si>
  <si>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</si>
  <si>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</si>
  <si>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</si>
  <si>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</si>
  <si>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</si>
  <si>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</si>
  <si>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</si>
  <si>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</si>
  <si>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</si>
  <si>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</si>
  <si>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</si>
  <si>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</si>
  <si>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</si>
  <si>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</si>
  <si>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</si>
  <si>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</si>
  <si>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</si>
  <si>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</si>
  <si>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</si>
  <si>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</si>
  <si>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</si>
  <si>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</si>
  <si>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</si>
  <si>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</si>
  <si>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</si>
  <si>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</si>
  <si>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</si>
  <si>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</si>
  <si>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</si>
  <si>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</si>
  <si>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</si>
  <si>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</si>
  <si>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</si>
  <si>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</si>
  <si>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</si>
  <si>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</si>
  <si>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</si>
  <si>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</si>
  <si>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</si>
  <si>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</si>
  <si>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</si>
  <si>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</si>
  <si>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</si>
  <si>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</si>
  <si>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</si>
  <si>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</si>
  <si>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</si>
  <si>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</si>
  <si>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</si>
  <si>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</si>
  <si>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</si>
  <si>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</si>
  <si>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</si>
  <si>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</si>
  <si>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</si>
  <si>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</si>
  <si>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</si>
  <si>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</si>
  <si>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</si>
  <si>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</si>
  <si>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</si>
  <si>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</si>
  <si>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</si>
  <si>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</si>
  <si>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</si>
  <si>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</si>
  <si>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</si>
  <si>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</si>
  <si>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</si>
  <si>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</si>
  <si>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</si>
  <si>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</si>
  <si>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</si>
  <si>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</si>
  <si>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</si>
  <si>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</si>
  <si>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</si>
  <si>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</si>
  <si>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</si>
  <si>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</si>
  <si>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</si>
  <si>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</si>
  <si>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</si>
  <si>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</si>
  <si>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</si>
  <si>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</si>
  <si>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</si>
  <si>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</si>
  <si>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</si>
  <si>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</si>
  <si>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</si>
  <si>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</si>
  <si>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</si>
  <si>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</si>
  <si>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</si>
  <si>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</si>
  <si>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</si>
  <si>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</si>
  <si>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</si>
  <si>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</si>
  <si>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</si>
  <si>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</si>
  <si>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</si>
  <si>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</si>
  <si>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</si>
  <si>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</si>
  <si>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</si>
  <si>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</si>
  <si>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</si>
  <si>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</si>
  <si>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</si>
  <si>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</si>
  <si>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</si>
  <si>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</si>
  <si>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</si>
  <si>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</si>
  <si>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</si>
  <si>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</si>
  <si>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</si>
  <si>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</si>
  <si>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</si>
  <si>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</si>
  <si>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</si>
  <si>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</si>
  <si>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</si>
  <si>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</si>
  <si>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</si>
  <si>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</si>
  <si>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</si>
  <si>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</si>
  <si>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</si>
  <si>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</si>
  <si>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</si>
  <si>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</si>
  <si>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</si>
  <si>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</si>
  <si>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</si>
  <si>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</si>
  <si>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</si>
  <si>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</si>
  <si>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</si>
  <si>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</si>
  <si>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</si>
  <si>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</si>
  <si>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</si>
  <si>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</si>
  <si>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</si>
  <si>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</si>
  <si>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</si>
  <si>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</si>
  <si>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</si>
  <si>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</si>
  <si>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</si>
  <si>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</si>
  <si>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</si>
  <si>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</si>
  <si>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</si>
  <si>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</si>
  <si>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</si>
  <si>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</si>
  <si>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</si>
  <si>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</si>
  <si>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</si>
  <si>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</si>
  <si>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</si>
  <si>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</si>
  <si>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</si>
  <si>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</si>
  <si>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</si>
  <si>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</si>
  <si>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</si>
  <si>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</si>
  <si>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</si>
  <si>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</si>
  <si>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</si>
  <si>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</si>
  <si>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</si>
  <si>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</si>
  <si>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</si>
  <si>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</si>
  <si>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</si>
  <si>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</si>
  <si>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</si>
  <si>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</si>
  <si>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</si>
  <si>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</si>
  <si>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</si>
  <si>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</si>
  <si>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</si>
  <si>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</si>
  <si>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</si>
  <si>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</si>
  <si>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</si>
  <si>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</si>
  <si>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</si>
  <si>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</si>
  <si>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</si>
  <si>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</si>
  <si>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</si>
  <si>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</si>
  <si>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</si>
  <si>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</si>
  <si>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</si>
  <si>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</si>
  <si>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</si>
  <si>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</si>
  <si>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</si>
  <si>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</si>
  <si>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</si>
  <si>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</si>
  <si>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</si>
  <si>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</si>
  <si>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</si>
  <si>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</si>
  <si>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</si>
  <si>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</si>
  <si>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</si>
  <si>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</si>
  <si>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</si>
  <si>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</si>
  <si>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</si>
  <si>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</si>
  <si>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</si>
  <si>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</si>
  <si>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</si>
  <si>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</si>
  <si>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</si>
  <si>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</si>
  <si>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</si>
  <si>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</si>
  <si>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</si>
  <si>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</si>
  <si>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</si>
  <si>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</si>
  <si>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</si>
  <si>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</si>
  <si>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</si>
  <si>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</si>
  <si>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</si>
  <si>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</si>
  <si>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</si>
  <si>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</si>
  <si>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</si>
  <si>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</si>
  <si>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</si>
  <si>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</si>
  <si>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</si>
  <si>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</si>
  <si>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</si>
  <si>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</si>
  <si>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</si>
  <si>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</si>
  <si>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</si>
  <si>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</si>
  <si>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</si>
  <si>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</si>
  <si>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</si>
  <si>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</si>
  <si>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</si>
  <si>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</si>
  <si>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</si>
  <si>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</si>
  <si>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</si>
  <si>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</si>
  <si>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</si>
  <si>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</si>
  <si>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</si>
  <si>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</si>
  <si>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</si>
  <si>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</si>
  <si>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</si>
  <si>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</si>
  <si>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</si>
  <si>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</si>
  <si>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</si>
  <si>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</si>
  <si>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</si>
  <si>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</si>
  <si>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</si>
  <si>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</si>
  <si>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</si>
  <si>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</si>
  <si>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</si>
  <si>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</si>
  <si>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</si>
  <si>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</si>
  <si>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</si>
  <si>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</si>
  <si>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</si>
  <si>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</si>
  <si>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</si>
  <si>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</si>
  <si>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</si>
  <si>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</si>
  <si>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</si>
  <si>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</si>
  <si>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</si>
  <si>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</si>
  <si>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</si>
  <si>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</si>
  <si>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</si>
  <si>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</si>
  <si>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</si>
  <si>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</si>
  <si>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</si>
  <si>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</si>
  <si>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</si>
  <si>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</si>
  <si>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</si>
  <si>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</si>
  <si>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</si>
  <si>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</si>
  <si>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</si>
  <si>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</si>
  <si>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</si>
  <si>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</si>
  <si>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</si>
  <si>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</si>
  <si>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</si>
  <si>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</si>
  <si>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</si>
  <si>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</si>
  <si>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</si>
  <si>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</si>
  <si>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</si>
  <si>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</si>
  <si>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</si>
  <si>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</si>
  <si>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</si>
  <si>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</si>
  <si>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</si>
  <si>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</si>
  <si>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</si>
  <si>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</si>
  <si>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</si>
  <si>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</si>
  <si>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</si>
  <si>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</si>
  <si>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</si>
  <si>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</si>
  <si>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</si>
  <si>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</si>
  <si>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</si>
  <si>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</si>
  <si>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</si>
  <si>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</si>
  <si>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</si>
  <si>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</si>
  <si>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</si>
  <si>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</si>
  <si>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</si>
  <si>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</si>
  <si>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</si>
  <si>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</si>
  <si>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</si>
  <si>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</si>
  <si>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</si>
  <si>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</si>
  <si>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</si>
  <si>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</si>
  <si>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</si>
  <si>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</si>
  <si>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</si>
  <si>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</si>
  <si>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</si>
  <si>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</si>
  <si>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</si>
  <si>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</si>
  <si>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</si>
  <si>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</si>
  <si>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</si>
  <si>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</si>
  <si>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</si>
  <si>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</si>
  <si>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</si>
  <si>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</si>
  <si>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</si>
  <si>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</si>
  <si>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</si>
  <si>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</si>
  <si>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</si>
  <si>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</si>
  <si>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</si>
  <si>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</si>
  <si>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</si>
  <si>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</si>
  <si>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</si>
  <si>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</si>
  <si>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</si>
  <si>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</si>
  <si>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</si>
  <si>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</si>
  <si>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</si>
  <si>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</si>
  <si>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</si>
  <si>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</si>
  <si>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</si>
  <si>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</si>
  <si>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</si>
  <si>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</si>
  <si>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</si>
  <si>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</si>
  <si>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</si>
  <si>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</si>
  <si>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</si>
  <si>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</si>
  <si>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</si>
  <si>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</si>
  <si>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</si>
  <si>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</si>
  <si>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</si>
  <si>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</si>
  <si>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</si>
  <si>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</si>
  <si>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</si>
  <si>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</si>
  <si>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</si>
  <si>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</si>
  <si>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</si>
  <si>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</si>
  <si>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</si>
  <si>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</si>
  <si>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</si>
  <si>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</si>
  <si>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</si>
  <si>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</si>
  <si>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</si>
  <si>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</si>
  <si>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</si>
  <si>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</si>
  <si>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</si>
  <si>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</si>
  <si>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</si>
  <si>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</si>
  <si>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</si>
  <si>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</si>
  <si>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</si>
  <si>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</si>
  <si>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</si>
  <si>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</si>
  <si>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</si>
  <si>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</si>
  <si>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</si>
  <si>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</si>
  <si>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</si>
  <si>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</si>
  <si>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</si>
  <si>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</si>
  <si>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</si>
  <si>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</si>
  <si>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</si>
  <si>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</si>
  <si>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</si>
  <si>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</si>
  <si>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</si>
  <si>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</si>
  <si>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</si>
  <si>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</si>
  <si>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</si>
  <si>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</si>
  <si>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</si>
  <si>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</si>
  <si>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</si>
  <si>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</si>
  <si>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</si>
  <si>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</si>
  <si>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</si>
  <si>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</si>
  <si>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</si>
  <si>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</si>
  <si>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</si>
  <si>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</si>
  <si>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</si>
  <si>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</si>
  <si>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</si>
  <si>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</si>
  <si>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</si>
  <si>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</si>
  <si>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</si>
  <si>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</si>
  <si>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</si>
  <si>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</si>
  <si>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</si>
  <si>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</si>
  <si>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</si>
  <si>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</si>
  <si>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</si>
  <si>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</si>
  <si>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</si>
  <si>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</si>
  <si>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</si>
  <si>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</si>
  <si>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</si>
  <si>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</si>
  <si>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</si>
  <si>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</si>
  <si>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</si>
  <si>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</si>
  <si>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</si>
  <si>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</si>
  <si>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</si>
  <si>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</si>
  <si>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</si>
  <si>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</si>
  <si>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</si>
  <si>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</si>
  <si>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</si>
  <si>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</si>
  <si>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</si>
  <si>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</si>
  <si>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</si>
  <si>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</si>
  <si>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</si>
  <si>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</si>
  <si>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</si>
  <si>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</si>
  <si>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</si>
  <si>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</si>
  <si>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</si>
  <si>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</si>
  <si>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</si>
  <si>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</si>
  <si>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</si>
  <si>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</si>
  <si>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</si>
  <si>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</si>
  <si>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</si>
  <si>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</si>
  <si>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</si>
  <si>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</si>
  <si>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</si>
  <si>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</si>
  <si>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</si>
  <si>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</si>
  <si>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</si>
  <si>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</si>
  <si>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</si>
  <si>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</si>
  <si>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</si>
  <si>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</si>
  <si>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</si>
  <si>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</si>
  <si>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</si>
  <si>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</si>
  <si>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</si>
  <si>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</si>
  <si>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</si>
  <si>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</si>
  <si>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</si>
  <si>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</si>
  <si>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</si>
  <si>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</si>
  <si>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</si>
  <si>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</si>
  <si>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</si>
  <si>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</si>
  <si>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</si>
  <si>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</si>
  <si>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</si>
  <si>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</si>
  <si>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</si>
  <si>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</si>
  <si>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</si>
  <si>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</si>
  <si>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</si>
  <si>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</si>
  <si>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</si>
  <si>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</si>
  <si>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</si>
  <si>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</si>
  <si>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</si>
  <si>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</si>
  <si>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</si>
  <si>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</si>
  <si>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</si>
  <si>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</si>
  <si>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</si>
  <si>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</si>
  <si>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</si>
  <si>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</si>
  <si>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</si>
  <si>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</si>
  <si>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</si>
  <si>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</si>
  <si>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</si>
  <si>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</si>
  <si>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</si>
  <si>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</si>
  <si>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</si>
  <si>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</si>
  <si>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</si>
  <si>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</si>
  <si>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</si>
  <si>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</si>
  <si>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</si>
  <si>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</si>
  <si>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</si>
  <si>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</si>
  <si>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</si>
  <si>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</si>
  <si>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</si>
  <si>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</si>
  <si>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</si>
  <si>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</si>
  <si>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</si>
  <si>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</si>
  <si>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</si>
  <si>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</si>
  <si>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</si>
  <si>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</si>
  <si>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</si>
  <si>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</si>
  <si>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</si>
  <si>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</si>
  <si>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</si>
  <si>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</si>
  <si>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</si>
  <si>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</si>
  <si>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</si>
  <si>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</si>
  <si>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</si>
  <si>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</si>
  <si>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</si>
  <si>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</si>
  <si>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</si>
  <si>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</si>
  <si>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</si>
  <si>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</si>
  <si>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</si>
  <si>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</si>
  <si>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</si>
  <si>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</si>
  <si>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</si>
  <si>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</si>
  <si>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</si>
  <si>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</si>
  <si>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</si>
  <si>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</si>
  <si>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</si>
  <si>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</si>
  <si>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</si>
  <si>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</si>
  <si>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</si>
  <si>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</si>
  <si>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</si>
  <si>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</si>
  <si>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</si>
  <si>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</si>
  <si>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</si>
  <si>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</si>
  <si>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</si>
  <si>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</si>
  <si>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</si>
  <si>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</si>
  <si>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</si>
  <si>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</si>
  <si>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</si>
  <si>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</si>
  <si>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</si>
  <si>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</si>
  <si>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</si>
  <si>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</si>
  <si>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</si>
  <si>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</si>
  <si>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</si>
  <si>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</si>
  <si>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</si>
  <si>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</si>
  <si>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</si>
  <si>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</si>
  <si>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</si>
  <si>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</si>
  <si>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</si>
  <si>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</si>
  <si>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</si>
  <si>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</si>
  <si>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</si>
  <si>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</si>
  <si>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</si>
  <si>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</si>
  <si>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</si>
  <si>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</si>
  <si>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</si>
  <si>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</si>
  <si>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</si>
  <si>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</si>
  <si>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</si>
  <si>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</si>
  <si>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</si>
  <si>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</si>
  <si>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</si>
  <si>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</si>
  <si>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</si>
  <si>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</si>
  <si>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</si>
  <si>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</si>
  <si>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</si>
  <si>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</si>
  <si>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</si>
  <si>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</si>
  <si>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</si>
  <si>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</si>
  <si>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</si>
  <si>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</si>
  <si>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</si>
  <si>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</si>
  <si>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</si>
  <si>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</si>
  <si>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</si>
  <si>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</si>
  <si>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</si>
  <si>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</si>
  <si>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</si>
  <si>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</si>
  <si>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</si>
  <si>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</si>
  <si>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</si>
  <si>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</si>
  <si>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</si>
  <si>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</si>
  <si>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</si>
  <si>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</si>
  <si>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</si>
  <si>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</si>
  <si>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</si>
  <si>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</si>
  <si>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</si>
  <si>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</si>
  <si>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</si>
  <si>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</si>
  <si>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</si>
  <si>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</si>
  <si>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</si>
  <si>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</si>
  <si>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</si>
  <si>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</si>
  <si>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</si>
  <si>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</si>
  <si>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</si>
  <si>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</si>
  <si>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lightskyblue</t>
  </si>
  <si>
    <t>paleturquoise</t>
  </si>
  <si>
    <t>blanchedalmond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</si>
  <si>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</si>
  <si>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</si>
  <si>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</si>
  <si>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</si>
  <si>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</si>
  <si>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</si>
  <si>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</si>
  <si>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</si>
  <si>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</si>
  <si>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</si>
  <si>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</si>
  <si>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</si>
  <si>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</si>
  <si>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</si>
  <si>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</si>
  <si>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</si>
  <si>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</si>
  <si>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</si>
  <si>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</si>
  <si>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</si>
  <si>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</si>
  <si>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</si>
  <si>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</si>
  <si>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</si>
  <si>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</si>
  <si>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</si>
  <si>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</si>
  <si>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</si>
  <si>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</si>
  <si>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rebeccapurple</t>
  </si>
  <si>
    <t>mechanische Energie (gesamt)</t>
  </si>
  <si>
    <t>aquamarine</t>
  </si>
  <si>
    <t>yellow</t>
  </si>
  <si>
    <t>blue</t>
  </si>
  <si>
    <t>silver</t>
  </si>
  <si>
    <t>olive</t>
  </si>
  <si>
    <t>coral</t>
  </si>
  <si>
    <t>plaevioletred</t>
  </si>
  <si>
    <t>orange</t>
  </si>
  <si>
    <t>wheat</t>
  </si>
  <si>
    <t>red</t>
  </si>
  <si>
    <t>gainsboro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</si>
  <si>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</si>
  <si>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</si>
  <si>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</si>
  <si>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</si>
  <si>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</si>
  <si>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</si>
  <si>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</si>
  <si>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</si>
  <si>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</si>
  <si>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</si>
  <si>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</si>
  <si>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</si>
  <si>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</si>
  <si>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</si>
  <si>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</si>
  <si>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</si>
  <si>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</si>
  <si>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</si>
  <si>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</si>
  <si>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</si>
  <si>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</si>
  <si>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</si>
  <si>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</si>
  <si>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</si>
  <si>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</si>
  <si>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</si>
  <si>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</si>
  <si>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</si>
  <si>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</si>
  <si>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</si>
  <si>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</si>
  <si>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</si>
  <si>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</si>
  <si>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</si>
  <si>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</si>
  <si>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</si>
  <si>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</si>
  <si>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</si>
  <si>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</si>
  <si>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</si>
  <si>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</si>
  <si>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</si>
  <si>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</si>
  <si>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</si>
  <si>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</si>
  <si>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</si>
  <si>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</si>
  <si>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</si>
  <si>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</si>
  <si>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</si>
  <si>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</si>
  <si>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</si>
  <si>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</si>
  <si>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</si>
  <si>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</si>
  <si>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</si>
  <si>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</si>
  <si>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</si>
  <si>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</si>
  <si>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</si>
  <si>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</si>
  <si>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</si>
  <si>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</si>
  <si>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</si>
  <si>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</si>
  <si>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</si>
  <si>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</si>
  <si>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</si>
  <si>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</si>
  <si>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</si>
  <si>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</si>
  <si>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</si>
  <si>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</si>
  <si>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</si>
  <si>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</si>
  <si>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</si>
  <si>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</si>
  <si>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</si>
  <si>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</si>
  <si>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</si>
  <si>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</si>
  <si>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</si>
  <si>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</si>
  <si>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</si>
  <si>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</si>
  <si>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</si>
  <si>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</si>
  <si>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</si>
  <si>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</si>
  <si>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</si>
  <si>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</si>
  <si>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</si>
  <si>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</si>
  <si>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</si>
  <si>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</si>
  <si>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</si>
  <si>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</si>
  <si>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</si>
  <si>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</si>
  <si>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</si>
  <si>
    <t>Nutzung?</t>
  </si>
  <si>
    <t>Statistisches Bundesamt (Destatis) 2022: Verbraucherpreisindex (inkl. Veränderungsraten): Deutschland, Jahre, https://www-genesis.destatis.de/genesis/online?sequenz=tabelleErgebnis&amp;selectionname=61111-0001&amp;startjahr=1991, Abruf am 20.07.2022, eigene Umrechnung</t>
  </si>
  <si>
    <t>Inflationierung auf Jahr 2020 über Verbraucherpreisindex anhand des Erscheinungsjahres der Studie</t>
  </si>
  <si>
    <t>Sau19</t>
  </si>
  <si>
    <t>Sauer et al. 2019</t>
  </si>
  <si>
    <t>Energieflexibilität in der deutschen Industrie. Ergebnisse aus dem Kopernikus-Projekt - Synchronisierte und energieadaptive Produktionstechnik zur flexiblen Ausrichtung von Industrieprozessen auf eine fluktuierende Energieversorgung (SynErgie).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</si>
</sst>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2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0" xfId="0" applyFont="1" applyFill="1" applyBorder="1"/>
    <xf numFmtId="0" fontId="2" fillId="0" borderId="0" xfId="0" applyFont="1" applyBorder="1"/>
    <xf numFmtId="0" fontId="14" fillId="2" borderId="0" xfId="0" applyFont="1" applyFill="1" applyBorder="1"/>
    <xf numFmtId="0" fontId="14" fillId="0" borderId="0" xfId="0" applyFont="1" applyBorder="1"/>
    <xf numFmtId="0" fontId="0" fillId="0" borderId="0" xfId="0" applyBorder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</cellXfs>
  <cellStyles count="2">
    <cellStyle name="Prozent" xfId="1" builtinId="5"/>
    <cellStyle name="Standard" xfId="0" builtinId="0"/>
  </cellStyles>
  <dxfs count="17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diagonalUp="0" diagonalDown="0">
        <left/>
        <right/>
        <top/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26" dataDxfId="1725" tableBorderDxfId="1724">
  <autoFilter ref="A1:BP79" xr:uid="{00000000-0009-0000-0100-00000A000000}"/>
  <tableColumns count="68">
    <tableColumn id="1" xr3:uid="{00000000-0010-0000-0600-000001000000}" name="Prozess" dataDxfId="1723"/>
    <tableColumn id="47" xr3:uid="{00000000-0010-0000-0600-00002F000000}" name="Sektorenzuordnung" dataDxfId="1722"/>
    <tableColumn id="2" xr3:uid="{00000000-0010-0000-0600-000002000000}" name="Jahr" dataDxfId="1721"/>
    <tableColumn id="52" xr3:uid="{00000000-0010-0000-0600-000034000000}" name="Lastverschiebung" dataDxfId="1720"/>
    <tableColumn id="53" xr3:uid="{00000000-0010-0000-0600-000035000000}" name="Lastverzicht" dataDxfId="1719"/>
    <tableColumn id="79" xr3:uid="{00000000-0010-0000-0600-00004F000000}" name="Lasterhöhung" dataDxfId="1718"/>
    <tableColumn id="72" xr3:uid="{B20C2450-827E-4E13-B508-1E5560999F24}" name="jährliche Produktion kt" dataDxfId="1717"/>
    <tableColumn id="80" xr3:uid="{DFD6CD8B-0CA5-4FCC-87E6-3CFB7ABB390A}" name="spez. StV kWh/t min" dataDxfId="1716"/>
    <tableColumn id="85" xr3:uid="{D2B50151-4C2D-452C-9AA6-50848499803C}" name="spez. StV kWh/t" dataDxfId="1715"/>
    <tableColumn id="82" xr3:uid="{F9CC59E2-4EA8-4A85-A748-2DECF5E1243F}" name="spez. StV kWh/t max" dataDxfId="1714"/>
    <tableColumn id="84" xr3:uid="{4EBA232D-7458-44C1-9938-CA0F8B9C2D25}" name="Stromverbrauch in TWh" dataDxfId="1713"/>
    <tableColumn id="70" xr3:uid="{00000000-0010-0000-0600-000046000000}" name="Potenzial pos. Lastabwurf MW aus Teillast" dataDxfId="1712"/>
    <tableColumn id="69" xr3:uid="{00000000-0010-0000-0600-000045000000}" name="Potenzial pos. Lastverschiebung MW" dataDxfId="1711"/>
    <tableColumn id="75" xr3:uid="{00000000-0010-0000-0600-00004B000000}" name="Potenzial pos. Sommer MW" dataDxfId="1710"/>
    <tableColumn id="76" xr3:uid="{00000000-0010-0000-0600-00004C000000}" name="Potenzial pos. Winter MW" dataDxfId="1709"/>
    <tableColumn id="71" xr3:uid="{00000000-0010-0000-0600-000047000000}" name="Potenzial pos. Literatur MW" dataDxfId="1708"/>
    <tableColumn id="5" xr3:uid="{00000000-0010-0000-0600-000005000000}" name="Potenzial pos. max MW Lastverzicht" dataDxfId="1707"/>
    <tableColumn id="88" xr3:uid="{0116290E-AD3D-4C10-9D75-C27257168336}" name="Potenzial pos. max MW bei Vollauslastung Lastverzicht" dataDxfId="1706"/>
    <tableColumn id="73" xr3:uid="{00000000-0010-0000-0600-000049000000}" name="Potenzial neg. Lastverschiebung MW" dataDxfId="1705"/>
    <tableColumn id="50" xr3:uid="{00000000-0010-0000-0600-000032000000}" name="Potenzial neg. min MW" dataDxfId="1704"/>
    <tableColumn id="78" xr3:uid="{00000000-0010-0000-0600-00004E000000}" name="Potenzial neg. Sommer MW" dataDxfId="1703"/>
    <tableColumn id="77" xr3:uid="{00000000-0010-0000-0600-00004D000000}" name="Potenzial neg. Winter MW" dataDxfId="1702"/>
    <tableColumn id="74" xr3:uid="{00000000-0010-0000-0600-00004A000000}" name="Potenzial neg. Literatur MW" dataDxfId="1701"/>
    <tableColumn id="6" xr3:uid="{00000000-0010-0000-0600-000006000000}" name="Potenzial neg. max MW" dataDxfId="1700"/>
    <tableColumn id="7" xr3:uid="{00000000-0010-0000-0600-000007000000}" name="Mindestleistung MW" dataDxfId="1699"/>
    <tableColumn id="8" xr3:uid="{00000000-0010-0000-0600-000008000000}" name="Mindestauslastung" dataDxfId="1698" dataCellStyle="Prozent"/>
    <tableColumn id="86" xr3:uid="{51E77986-45AB-4F86-B8F7-3619215F5E7B}" name="Vollbenutzungsstunden h/a" dataDxfId="1697" dataCellStyle="Prozent"/>
    <tableColumn id="65" xr3:uid="{00000000-0010-0000-0600-000041000000}" name="Durchschnittsauslastung" dataDxfId="1696" dataCellStyle="Prozent"/>
    <tableColumn id="90" xr3:uid="{55ED8CB6-95BF-4607-9513-32CC667B409B}" name="Durchschnittsauslastung im Betriebszeitraum" dataDxfId="1695" dataCellStyle="Prozent"/>
    <tableColumn id="44" xr3:uid="{00000000-0010-0000-0600-00002C000000}" name="Durchschnittliche Leistung MW" dataDxfId="1694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93"/>
    <tableColumn id="92" xr3:uid="{ED84D14C-0AAC-4396-98E3-612BB7B8063E}" name="installierte Leistung MW min" dataDxfId="1692"/>
    <tableColumn id="91" xr3:uid="{4CCEE92F-967B-4215-8454-3B960F4FA6FB}" name="installierte Leistung MW max" dataDxfId="1691"/>
    <tableColumn id="68" xr3:uid="{00000000-0010-0000-0600-000044000000}" name="Aktivierungsdauer min (h)" dataDxfId="1690">
      <calculatedColumnFormula>0.01/60</calculatedColumnFormula>
    </tableColumn>
    <tableColumn id="67" xr3:uid="{00000000-0010-0000-0600-000043000000}" name="Aktivierungsdauer max (h)" dataDxfId="1689"/>
    <tableColumn id="11" xr3:uid="{00000000-0010-0000-0600-00000B000000}" name="Aktivierungsdauer (h)" dataDxfId="1688">
      <calculatedColumnFormula>0.1/60</calculatedColumnFormula>
    </tableColumn>
    <tableColumn id="94" xr3:uid="{5BD248D6-711B-4031-BA4A-E0D79C9A3F85}" name="Schaltdauer pos. min (h) Lastverzicht" dataDxfId="1687"/>
    <tableColumn id="93" xr3:uid="{64C7741E-23F4-4D9C-87A3-A1DBBCC978A0}" name="Schaltdauer pos. max (h) Lastverzicht" dataDxfId="1686"/>
    <tableColumn id="61" xr3:uid="{00000000-0010-0000-0600-00003D000000}" name="Schaltdauer pos. min (h)" dataDxfId="1685"/>
    <tableColumn id="60" xr3:uid="{00000000-0010-0000-0600-00003C000000}" name="Schaltdauer pos. max (h)" dataDxfId="1684"/>
    <tableColumn id="12" xr3:uid="{00000000-0010-0000-0600-00000C000000}" name="Schaltdauer pos. (h)" dataDxfId="1683"/>
    <tableColumn id="62" xr3:uid="{00000000-0010-0000-0600-00003E000000}" name="Schaltdauer neg. max (h)" dataDxfId="1682"/>
    <tableColumn id="51" xr3:uid="{00000000-0010-0000-0600-000033000000}" name="Schaltdauer neg. (h)" dataDxfId="1681"/>
    <tableColumn id="13" xr3:uid="{00000000-0010-0000-0600-00000D000000}" name="Verschiebedauer (h)" dataDxfId="1680"/>
    <tableColumn id="14" xr3:uid="{00000000-0010-0000-0600-00000E000000}" name="Regenerationsdauer (h)" dataDxfId="1679"/>
    <tableColumn id="15" xr3:uid="{00000000-0010-0000-0600-00000F000000}" name="Zeitverfügbarkeit?" dataDxfId="1678"/>
    <tableColumn id="16" xr3:uid="{00000000-0010-0000-0600-000010000000}" name="max. Abrufhäufigkeit pro Woche" dataDxfId="1677"/>
    <tableColumn id="40" xr3:uid="{00000000-0010-0000-0600-000028000000}" name="max. Abrufhäufigkeit pro Jahr Lastverschiebung" dataDxfId="1676"/>
    <tableColumn id="89" xr3:uid="{181B7AEA-F0FD-4284-AA00-65D9D8BA6197}" name="max. Abrufhäufigkeit pro Jahr Lastverzicht" dataDxfId="1675">
      <calculatedColumnFormula>Tabelle589711[[#This Row],[max. Abrufhäufigkeit pro Jahr Lastverschiebung]]/3</calculatedColumnFormula>
    </tableColumn>
    <tableColumn id="20" xr3:uid="{00000000-0010-0000-0600-000014000000}" name="Bemerkungen" dataDxfId="1674"/>
    <tableColumn id="55" xr3:uid="{00000000-0010-0000-0600-000037000000}" name="Fundstelle Lastverschiebung" dataDxfId="1673"/>
    <tableColumn id="54" xr3:uid="{00000000-0010-0000-0600-000036000000}" name="Fundstelle Lastverzicht" dataDxfId="1672"/>
    <tableColumn id="81" xr3:uid="{BFFF0E9D-5762-4501-9AED-3BE243495168}" name="Fundstelle Produktion" dataDxfId="1671"/>
    <tableColumn id="83" xr3:uid="{7C89B8C1-6B07-4858-BE2D-E0BB2B86EB93}" name="Fundstelle Stromverbrauch" dataDxfId="1670"/>
    <tableColumn id="21" xr3:uid="{00000000-0010-0000-0600-000015000000}" name="Fundstelle Potenzial pos." dataDxfId="1669"/>
    <tableColumn id="22" xr3:uid="{00000000-0010-0000-0600-000016000000}" name="Fundstelle Potenzial neg." dataDxfId="1668"/>
    <tableColumn id="23" xr3:uid="{00000000-0010-0000-0600-000017000000}" name="Fundstelle Mindestleistung" dataDxfId="1667"/>
    <tableColumn id="87" xr3:uid="{DBDEEC53-1C5F-4139-8131-941377563E46}" name="Fundstelle Vollbenutzungsstunden" dataDxfId="1666"/>
    <tableColumn id="66" xr3:uid="{00000000-0010-0000-0600-000042000000}" name="Fundstelle Durchschnittsauslastung" dataDxfId="1665"/>
    <tableColumn id="45" xr3:uid="{00000000-0010-0000-0600-00002D000000}" name="Fundstelle durchschnittliche Leistung" dataDxfId="1664"/>
    <tableColumn id="25" xr3:uid="{00000000-0010-0000-0600-000019000000}" name="Fundstelle installierte Leistung" dataDxfId="1663"/>
    <tableColumn id="39" xr3:uid="{00000000-0010-0000-0600-000027000000}" name="Fundstelle Aktivierungsdauer" dataDxfId="1662"/>
    <tableColumn id="26" xr3:uid="{00000000-0010-0000-0600-00001A000000}" name="Fundstelle Schaltdauer" dataDxfId="1661"/>
    <tableColumn id="27" xr3:uid="{00000000-0010-0000-0600-00001B000000}" name="Fundstelle Verschiebedauer" dataDxfId="1660"/>
    <tableColumn id="28" xr3:uid="{00000000-0010-0000-0600-00001C000000}" name="Fundstelle Regenerationsdauer" dataDxfId="1659"/>
    <tableColumn id="29" xr3:uid="{00000000-0010-0000-0600-00001D000000}" name="Fundstelle Zeitverfügbarkeit" dataDxfId="1658"/>
    <tableColumn id="30" xr3:uid="{00000000-0010-0000-0600-00001E000000}" name="Fundstelle max. Abrufhäufigkeit" dataDxfId="1657"/>
    <tableColumn id="34" xr3:uid="{00000000-0010-0000-0600-000022000000}" name="Fundstelle Bemerkungen" dataDxfId="165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55" dataDxfId="1654" tableBorderDxfId="1653">
  <autoFilter ref="A1:O26" xr:uid="{D9595355-F35D-476F-88E0-DDF6666BAFEC}"/>
  <tableColumns count="15">
    <tableColumn id="1" xr3:uid="{1DB65BD7-C349-4313-8114-97CF50D2120B}" name="Prozess" dataDxfId="1652"/>
    <tableColumn id="47" xr3:uid="{C673D246-BEEC-4DBF-B6C8-0AEDAF4B0374}" name="Sektorenzuordnung" dataDxfId="1651"/>
    <tableColumn id="73" xr3:uid="{9900630D-917D-4E8C-87D8-DC913EEE5229}" name="Verfahren" dataDxfId="1650"/>
    <tableColumn id="2" xr3:uid="{391D2FEF-8D39-4945-B643-AA03A27D3450}" name="Jahr" dataDxfId="1649"/>
    <tableColumn id="52" xr3:uid="{9038B23F-3082-4414-9F6A-4F82BFFB7F37}" name="Lastverschiebung" dataDxfId="1648"/>
    <tableColumn id="53" xr3:uid="{44A744D5-52D4-40F8-81E1-AED7DF94401E}" name="Lastverzicht" dataDxfId="1647"/>
    <tableColumn id="71" xr3:uid="{FC8E7E95-DF08-4B31-934D-448233AC6B12}" name="Lasterhöhung" dataDxfId="1646"/>
    <tableColumn id="83" xr3:uid="{207EA23E-EF17-4906-A72B-BAABC08705DA}" name="Stromverbrauch in TWh" dataDxfId="1645"/>
    <tableColumn id="36" xr3:uid="{CFD732D3-9733-426B-9471-8512DCB99E68}" name="flexibilisierbarer Anteil" dataDxfId="1644" dataCellStyle="Prozent"/>
    <tableColumn id="75" xr3:uid="{54746B05-5114-4818-9A4F-40E0D20D0391}" name="Verschiebedauer max bei Vorankündigung (h)" dataDxfId="1643"/>
    <tableColumn id="4" xr3:uid="{F4DEB5FD-5A13-48A2-9CE7-E56C8E64C9C9}" name="Verschiebedauer max sofortig (h)" dataDxfId="1642"/>
    <tableColumn id="20" xr3:uid="{D354AAFB-CCCA-46BE-A63F-D9934766476B}" name="Bemerkungen" dataDxfId="1641"/>
    <tableColumn id="79" xr3:uid="{6ED5E930-B960-4ABE-9067-89DDB3B0BCEF}" name="Fundstelle Stromverbrauch" dataDxfId="1640"/>
    <tableColumn id="43" xr3:uid="{623C2C61-0156-40E5-A1A0-AC04BD25A9A3}" name="Fundstelle flexibilisierbarer Anteil" dataDxfId="1639"/>
    <tableColumn id="27" xr3:uid="{2CC7CB04-D5F4-4B8C-A026-413DC67956B0}" name="Fundstelle Verschiebedauer" dataDxfId="1638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37" dataDxfId="1636" tableBorderDxfId="1635">
  <autoFilter ref="A1:T8" xr:uid="{969830D3-1457-42BF-A753-56689B819B1C}"/>
  <tableColumns count="20">
    <tableColumn id="1" xr3:uid="{CA1E1AB6-62F6-470F-874C-55730E64F8A5}" name="Prozess" dataDxfId="1634"/>
    <tableColumn id="47" xr3:uid="{D548DFD0-6355-4B25-A3B6-02026427F3F7}" name="Sektorenzuordnung" dataDxfId="1633"/>
    <tableColumn id="2" xr3:uid="{5EDAA91A-A957-434E-8582-8F64AEBEA107}" name="Jahr" dataDxfId="1632"/>
    <tableColumn id="52" xr3:uid="{769C3597-9632-484A-8EA2-1E78DB2C8428}" name="Lastverschiebung" dataDxfId="1631"/>
    <tableColumn id="53" xr3:uid="{8776FB67-8AD2-48E3-A1B6-1068BBD3E779}" name="Lastverzicht" dataDxfId="1630"/>
    <tableColumn id="68" xr3:uid="{431FC835-40E1-4B90-9588-1637E1526982}" name="Lasterhöhung" dataDxfId="1629"/>
    <tableColumn id="71" xr3:uid="{37940876-B794-45F6-9504-4681C6441180}" name="Stromverbrauch in TWh" dataDxfId="1628">
      <calculatedColumnFormula>0.46+5.27</calculatedColumnFormula>
    </tableColumn>
    <tableColumn id="38" xr3:uid="{795AF7A2-926B-4CD0-B597-E280DD3E988D}" name="Potenzial pos. MW Durchschnitt" dataDxfId="1627"/>
    <tableColumn id="5" xr3:uid="{F41A3D94-8C4E-43AB-9A62-CE93B41B4355}" name="Potenzial pos. max MW" dataDxfId="1626"/>
    <tableColumn id="69" xr3:uid="{07DEF50B-B9AB-47FA-9DD6-49C7AD5F8FF2}" name="Potenzial pos. max GWh" dataDxfId="1625"/>
    <tableColumn id="41" xr3:uid="{65137A8C-1912-477A-A2DB-99FAE3720E3F}" name="Potenzial neg. MW Durchschnitt" dataDxfId="1624"/>
    <tableColumn id="70" xr3:uid="{2C851849-898B-4457-93EB-6EE7AE97A844}" name="Potenzial neg. max GWh" dataDxfId="1623"/>
    <tableColumn id="72" xr3:uid="{3727EDE4-0381-4D52-82E1-200098A11358}" name="Vollbenutzungsstunden h/a" dataDxfId="1622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21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20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19"/>
    <tableColumn id="20" xr3:uid="{FEEE429F-7BA9-4810-B4DE-44690B7A232C}" name="Bemerkungen" dataDxfId="1618"/>
    <tableColumn id="55" xr3:uid="{C3245C41-D352-4631-B970-BC757EC99548}" name="Fundstelle Lastverschiebung" dataDxfId="1617"/>
    <tableColumn id="54" xr3:uid="{5648B538-D8D3-4E48-92E9-907492676A43}" name="Fundstelle Lastverzicht" dataDxfId="1616"/>
    <tableColumn id="34" xr3:uid="{1AC244EC-C649-419D-AE30-293CED10C814}" name="Fundstelle Bemerkungen" dataDxfId="1615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14" dataDxfId="1613" tableBorderDxfId="1612">
  <autoFilter ref="A1:BO11" xr:uid="{00000000-0009-0000-0100-000017000000}"/>
  <tableColumns count="67">
    <tableColumn id="1" xr3:uid="{00000000-0010-0000-1300-000001000000}" name="Prozess" dataDxfId="1611"/>
    <tableColumn id="47" xr3:uid="{00000000-0010-0000-1300-00002F000000}" name="Sektorenzuordnung" dataDxfId="1610"/>
    <tableColumn id="2" xr3:uid="{00000000-0010-0000-1300-000002000000}" name="Jahr" dataDxfId="1609"/>
    <tableColumn id="52" xr3:uid="{00000000-0010-0000-1300-000034000000}" name="Lastverschiebung" dataDxfId="1608"/>
    <tableColumn id="53" xr3:uid="{00000000-0010-0000-1300-000035000000}" name="Lastverzicht" dataDxfId="1607"/>
    <tableColumn id="3" xr3:uid="{00000000-0010-0000-1300-000003000000}" name="Potenzial pos. min MW" dataDxfId="1606"/>
    <tableColumn id="38" xr3:uid="{00000000-0010-0000-1300-000026000000}" name="Potenzial pos. MW Durchschnitt" dataDxfId="1605"/>
    <tableColumn id="5" xr3:uid="{00000000-0010-0000-1300-000005000000}" name="Potenzial pos. max MW" dataDxfId="1604"/>
    <tableColumn id="37" xr3:uid="{00000000-0010-0000-1300-000025000000}" name="ausgewiesenes Pot. pos. MW (falls abweichend)" dataDxfId="1603"/>
    <tableColumn id="50" xr3:uid="{00000000-0010-0000-1300-000032000000}" name="Potenzial neg. min MW" dataDxfId="1602"/>
    <tableColumn id="41" xr3:uid="{00000000-0010-0000-1300-000029000000}" name="Potenzial neg. MW Durchschnitt" dataDxfId="1601"/>
    <tableColumn id="6" xr3:uid="{00000000-0010-0000-1300-000006000000}" name="Potenzial neg. max MW" dataDxfId="1600"/>
    <tableColumn id="7" xr3:uid="{00000000-0010-0000-1300-000007000000}" name="Mindestleistung MW" dataDxfId="1599"/>
    <tableColumn id="8" xr3:uid="{00000000-0010-0000-1300-000008000000}" name="Mindestauslastung" dataDxfId="1598" dataCellStyle="Prozent"/>
    <tableColumn id="36" xr3:uid="{00000000-0010-0000-1300-000024000000}" name="flexibilisierbarer Anteil" dataDxfId="1597" dataCellStyle="Prozent"/>
    <tableColumn id="67" xr3:uid="{00000000-0010-0000-1300-000043000000}" name="flexibilisierbarer Anteil an Durchschnittslast" dataDxfId="1596" dataCellStyle="Prozent"/>
    <tableColumn id="65" xr3:uid="{00000000-0010-0000-1300-000041000000}" name="Durchschnittsauslastung" dataDxfId="1595" dataCellStyle="Prozent"/>
    <tableColumn id="44" xr3:uid="{00000000-0010-0000-1300-00002C000000}" name="Durchschnittliche Leistung MW" dataDxfId="1594" dataCellStyle="Prozent"/>
    <tableColumn id="9" xr3:uid="{00000000-0010-0000-1300-000009000000}" name="Maximalleistung MW" dataDxfId="1593"/>
    <tableColumn id="46" xr3:uid="{00000000-0010-0000-1300-00002E000000}" name="Maximalauslastung" dataDxfId="1592" dataCellStyle="Prozent"/>
    <tableColumn id="10" xr3:uid="{00000000-0010-0000-1300-00000A000000}" name="installierte Leistung MW" dataDxfId="1591"/>
    <tableColumn id="11" xr3:uid="{00000000-0010-0000-1300-00000B000000}" name="Aktivierungsdauer (h)" dataDxfId="1590"/>
    <tableColumn id="61" xr3:uid="{00000000-0010-0000-1300-00003D000000}" name="Schaltdauer pos. Min (h)" dataDxfId="1589">
      <calculatedColumnFormula>5/60</calculatedColumnFormula>
    </tableColumn>
    <tableColumn id="60" xr3:uid="{00000000-0010-0000-1300-00003C000000}" name="Schaltdauer pos. max (h)" dataDxfId="1588">
      <calculatedColumnFormula>10/60</calculatedColumnFormula>
    </tableColumn>
    <tableColumn id="12" xr3:uid="{00000000-0010-0000-1300-00000C000000}" name="Schaltdauer pos. (h)" dataDxfId="1587"/>
    <tableColumn id="63" xr3:uid="{00000000-0010-0000-1300-00003F000000}" name="Schaltdauer neg min (h)" dataDxfId="1586"/>
    <tableColumn id="62" xr3:uid="{00000000-0010-0000-1300-00003E000000}" name="Schaltdauer neg. max (h)" dataDxfId="1585"/>
    <tableColumn id="51" xr3:uid="{00000000-0010-0000-1300-000033000000}" name="Schaltdauer neg. (h)" dataDxfId="1584"/>
    <tableColumn id="42" xr3:uid="{00000000-0010-0000-1300-00002A000000}" name="Verschiebedauer min. (h)" dataDxfId="1583"/>
    <tableColumn id="4" xr3:uid="{00000000-0010-0000-1300-000004000000}" name="Verschiebedauer max (h)" dataDxfId="1582"/>
    <tableColumn id="13" xr3:uid="{00000000-0010-0000-1300-00000D000000}" name="Verschiebedauer (h)" dataDxfId="1581"/>
    <tableColumn id="14" xr3:uid="{00000000-0010-0000-1300-00000E000000}" name="Regenerationsdauer (h)" dataDxfId="1580"/>
    <tableColumn id="15" xr3:uid="{00000000-0010-0000-1300-00000F000000}" name="Zeitverfügbarkeit?" dataDxfId="1579"/>
    <tableColumn id="16" xr3:uid="{00000000-0010-0000-1300-000010000000}" name="max. Abrufhäufigkeit pro Woche" dataDxfId="1578"/>
    <tableColumn id="40" xr3:uid="{00000000-0010-0000-1300-000028000000}" name="max. Abrufhäufigkeit pro Jahr" dataDxfId="1577"/>
    <tableColumn id="57" xr3:uid="{00000000-0010-0000-1300-000039000000}" name="min. Investitionsausgaben €_2018/kW" dataDxfId="1576"/>
    <tableColumn id="56" xr3:uid="{00000000-0010-0000-1300-000038000000}" name="max. Investitionsausgaben €_2018/kW" dataDxfId="1575"/>
    <tableColumn id="17" xr3:uid="{00000000-0010-0000-1300-000011000000}" name="Investitionsausgaben €_2018/kW" dataDxfId="1574"/>
    <tableColumn id="59" xr3:uid="{00000000-0010-0000-1300-00003B000000}" name="var. Kosten min. €_2018/MWh" dataDxfId="1573"/>
    <tableColumn id="58" xr3:uid="{00000000-0010-0000-1300-00003A000000}" name="var. Kosten max. €_2018/MWh" dataDxfId="1572"/>
    <tableColumn id="18" xr3:uid="{00000000-0010-0000-1300-000012000000}" name="variable Kosten €_2018/MWh" dataDxfId="1571"/>
    <tableColumn id="64" xr3:uid="{00000000-0010-0000-1300-000040000000}" name="fixe Kosten min. €_2018/kW*a" dataDxfId="1570"/>
    <tableColumn id="19" xr3:uid="{00000000-0010-0000-1300-000013000000}" name="fixe Kosten €_2018/kW*a" dataDxfId="1569"/>
    <tableColumn id="48" xr3:uid="{00000000-0010-0000-1300-000030000000}" name="Investitionsausgaben je Anschlusspunkt (€_2018)" dataDxfId="1568"/>
    <tableColumn id="20" xr3:uid="{00000000-0010-0000-1300-000014000000}" name="Bemerkungen" dataDxfId="1567"/>
    <tableColumn id="55" xr3:uid="{00000000-0010-0000-1300-000037000000}" name="Fundstelle Lastverschiebung" dataDxfId="1566"/>
    <tableColumn id="54" xr3:uid="{00000000-0010-0000-1300-000036000000}" name="Fundstelle Lastverzicht" dataDxfId="1565"/>
    <tableColumn id="21" xr3:uid="{00000000-0010-0000-1300-000015000000}" name="Fundstelle Potenzial pos." dataDxfId="1564"/>
    <tableColumn id="22" xr3:uid="{00000000-0010-0000-1300-000016000000}" name="Fundstelle Potenzial neg." dataDxfId="1563"/>
    <tableColumn id="23" xr3:uid="{00000000-0010-0000-1300-000017000000}" name="Fundstelle Mindestleistung" dataDxfId="1562"/>
    <tableColumn id="43" xr3:uid="{00000000-0010-0000-1300-00002B000000}" name="Funstelle flexibierbarer Anteil" dataDxfId="1561"/>
    <tableColumn id="66" xr3:uid="{00000000-0010-0000-1300-000042000000}" name="Fundstelle Durchschnittsauslastung" dataDxfId="1560"/>
    <tableColumn id="45" xr3:uid="{00000000-0010-0000-1300-00002D000000}" name="Fundstelle durchschnittliche Leistung" dataDxfId="1559"/>
    <tableColumn id="24" xr3:uid="{00000000-0010-0000-1300-000018000000}" name="Fundstelle Maximalleistung" dataDxfId="1558"/>
    <tableColumn id="25" xr3:uid="{00000000-0010-0000-1300-000019000000}" name="Fundstelle installierte Leistung" dataDxfId="1557"/>
    <tableColumn id="39" xr3:uid="{00000000-0010-0000-1300-000027000000}" name="Fundstelle Aktivierungsdauer" dataDxfId="1556"/>
    <tableColumn id="26" xr3:uid="{00000000-0010-0000-1300-00001A000000}" name="Fundstelle Schaltdauer" dataDxfId="1555"/>
    <tableColumn id="27" xr3:uid="{00000000-0010-0000-1300-00001B000000}" name="Fundstelle Verschiebedauer" dataDxfId="1554"/>
    <tableColumn id="28" xr3:uid="{00000000-0010-0000-1300-00001C000000}" name="Fundstelle Regenerationsdauer" dataDxfId="1553"/>
    <tableColumn id="29" xr3:uid="{00000000-0010-0000-1300-00001D000000}" name="Fundstelle Zeitverfügbarkeit" dataDxfId="1552"/>
    <tableColumn id="30" xr3:uid="{00000000-0010-0000-1300-00001E000000}" name="Fundstelle max. Abrufhäufigkeit" dataDxfId="1551"/>
    <tableColumn id="31" xr3:uid="{00000000-0010-0000-1300-00001F000000}" name="Fundstelle Invest" dataDxfId="1550"/>
    <tableColumn id="32" xr3:uid="{00000000-0010-0000-1300-000020000000}" name="Fundstelle var. Kosten" dataDxfId="1549"/>
    <tableColumn id="33" xr3:uid="{00000000-0010-0000-1300-000021000000}" name="Fundstelle fixe Kosten" dataDxfId="1548"/>
    <tableColumn id="49" xr3:uid="{00000000-0010-0000-1300-000031000000}" name="Fundstelle Investition je Anschlusspunkt" dataDxfId="1547"/>
    <tableColumn id="34" xr3:uid="{00000000-0010-0000-1300-000022000000}" name="Fundstelle Bemerkungen" dataDxfId="1546"/>
    <tableColumn id="35" xr3:uid="{00000000-0010-0000-1300-000023000000}" name="eigene Anmerkung" dataDxfId="1545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44" dataDxfId="1543" tableBorderDxfId="1542">
  <autoFilter ref="A1:AY17" xr:uid="{00000000-0009-0000-0100-000019000000}"/>
  <tableColumns count="51">
    <tableColumn id="1" xr3:uid="{00000000-0010-0000-1500-000001000000}" name="Prozess" dataDxfId="1541"/>
    <tableColumn id="47" xr3:uid="{00000000-0010-0000-1500-00002F000000}" name="Sektorenzuordnung" dataDxfId="1540"/>
    <tableColumn id="2" xr3:uid="{00000000-0010-0000-1500-000002000000}" name="Jahr" dataDxfId="1539"/>
    <tableColumn id="52" xr3:uid="{00000000-0010-0000-1500-000034000000}" name="Lastverschiebung" dataDxfId="1538"/>
    <tableColumn id="53" xr3:uid="{00000000-0010-0000-1500-000035000000}" name="Lastverzicht" dataDxfId="1537"/>
    <tableColumn id="71" xr3:uid="{B0549F9B-39DF-4F07-A532-CDA720445671}" name="Lasterhöhung" dataDxfId="1536"/>
    <tableColumn id="68" xr3:uid="{BE290A01-8736-4086-BB9D-3CC006C49381}" name="Stromverbrauch in TWh" dataDxfId="1535"/>
    <tableColumn id="3" xr3:uid="{00000000-0010-0000-1500-000003000000}" name="Potenzial pos. min MW" dataDxfId="1534"/>
    <tableColumn id="38" xr3:uid="{00000000-0010-0000-1500-000026000000}" name="Potenzial pos. MW Durchschnitt" dataDxfId="1533"/>
    <tableColumn id="5" xr3:uid="{00000000-0010-0000-1500-000005000000}" name="Potenzial pos. max MW Literatur" dataDxfId="1532"/>
    <tableColumn id="72" xr3:uid="{9E398625-227B-4420-90C0-6CFD27B82CD5}" name="Potenzial pos. MW Hochrechnung" dataDxfId="1531"/>
    <tableColumn id="50" xr3:uid="{00000000-0010-0000-1500-000032000000}" name="Potenzial neg. min MW" dataDxfId="1530"/>
    <tableColumn id="41" xr3:uid="{00000000-0010-0000-1500-000029000000}" name="Potenzial neg. MW Durchschnitt" dataDxfId="1529"/>
    <tableColumn id="6" xr3:uid="{00000000-0010-0000-1500-000006000000}" name="Potenzial neg. max MW Literatur" dataDxfId="1528"/>
    <tableColumn id="73" xr3:uid="{B5739B0B-B767-4C04-84BD-5C54DDF639CC}" name="Potenzial neg. MW Hochrechnung" dataDxfId="1527"/>
    <tableColumn id="7" xr3:uid="{00000000-0010-0000-1500-000007000000}" name="Mindestleistung MW" dataDxfId="1526"/>
    <tableColumn id="8" xr3:uid="{00000000-0010-0000-1500-000008000000}" name="Mindestauslastung" dataDxfId="1525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24" dataCellStyle="Prozent"/>
    <tableColumn id="70" xr3:uid="{81E1AC3D-5DB5-46DC-94F6-8BEBD606700E}" name="flexibilisierbarer Anteil max" dataDxfId="1523" dataCellStyle="Prozent"/>
    <tableColumn id="65" xr3:uid="{00000000-0010-0000-1500-000041000000}" name="Durchschnittsauslastung Literatur" dataDxfId="1522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21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20" dataCellStyle="Prozent"/>
    <tableColumn id="75" xr3:uid="{F3EDB403-EA2D-4F04-B6A7-E769B991DBD1}" name="Durchschnittliche Leistung MW Hochrechnung" dataDxfId="1519" dataCellStyle="Prozent"/>
    <tableColumn id="9" xr3:uid="{00000000-0010-0000-1500-000009000000}" name="Maximalleistung MW Literatur" dataDxfId="1518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17"/>
    <tableColumn id="10" xr3:uid="{00000000-0010-0000-1500-00000A000000}" name="installierte Leistung MW Literatur" dataDxfId="1516">
      <calculatedColumnFormula>Tabelle5897111426[[#This Row],[Maximalleistung MW Literatur]]</calculatedColumnFormula>
    </tableColumn>
    <tableColumn id="78" xr3:uid="{07A9C1DA-5F07-4EE4-B709-237E6392DD0C}" name="installierte Leistung MW Hochrechnung" dataDxfId="1515"/>
    <tableColumn id="42" xr3:uid="{00000000-0010-0000-1500-00002A000000}" name="Verschiebedauer min. (h)" dataDxfId="1514"/>
    <tableColumn id="4" xr3:uid="{00000000-0010-0000-1500-000004000000}" name="Verschiebedauer max (h)" dataDxfId="1513"/>
    <tableColumn id="15" xr3:uid="{00000000-0010-0000-1500-00000F000000}" name="Zeitverfügbarkeit?" dataDxfId="1512"/>
    <tableColumn id="16" xr3:uid="{00000000-0010-0000-1500-000010000000}" name="max. Abrufhäufigkeit pro Woche" dataDxfId="1511"/>
    <tableColumn id="40" xr3:uid="{00000000-0010-0000-1500-000028000000}" name="max. Abrufhäufigkeit pro Jahr" dataDxfId="1510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09"/>
    <tableColumn id="58" xr3:uid="{00000000-0010-0000-1500-00003A000000}" name="var. Kosten max. €_2018/MWh" dataDxfId="1508"/>
    <tableColumn id="20" xr3:uid="{00000000-0010-0000-1500-000014000000}" name="Bemerkungen" dataDxfId="1507"/>
    <tableColumn id="55" xr3:uid="{00000000-0010-0000-1500-000037000000}" name="Fundstelle Lastverschiebung" dataDxfId="1506"/>
    <tableColumn id="54" xr3:uid="{00000000-0010-0000-1500-000036000000}" name="Fundstelle Lastverzicht" dataDxfId="1505"/>
    <tableColumn id="21" xr3:uid="{00000000-0010-0000-1500-000015000000}" name="Fundstelle Potenzial pos." dataDxfId="1504"/>
    <tableColumn id="22" xr3:uid="{00000000-0010-0000-1500-000016000000}" name="Fundstelle Potenzial neg." dataDxfId="1503"/>
    <tableColumn id="23" xr3:uid="{00000000-0010-0000-1500-000017000000}" name="Fundstelle Mindestleistung" dataDxfId="1502"/>
    <tableColumn id="43" xr3:uid="{00000000-0010-0000-1500-00002B000000}" name="Fundstelle flexibilisierbarer Anteil" dataDxfId="1501"/>
    <tableColumn id="66" xr3:uid="{00000000-0010-0000-1500-000042000000}" name="Fundstelle Durchschnittsauslastung" dataDxfId="1500"/>
    <tableColumn id="45" xr3:uid="{00000000-0010-0000-1500-00002D000000}" name="Fundstelle durchschnittliche Leistung" dataDxfId="1499"/>
    <tableColumn id="24" xr3:uid="{00000000-0010-0000-1500-000018000000}" name="Fundstelle Maximalleistung" dataDxfId="1498"/>
    <tableColumn id="25" xr3:uid="{00000000-0010-0000-1500-000019000000}" name="Fundstelle installierte Leistung" dataDxfId="1497"/>
    <tableColumn id="27" xr3:uid="{00000000-0010-0000-1500-00001B000000}" name="Fundstelle Verschiebedauer" dataDxfId="1496"/>
    <tableColumn id="28" xr3:uid="{00000000-0010-0000-1500-00001C000000}" name="Fundstelle Regenerationsdauer" dataDxfId="1495"/>
    <tableColumn id="29" xr3:uid="{00000000-0010-0000-1500-00001D000000}" name="Fundstelle Zeitverfügbarkeit" dataDxfId="1494"/>
    <tableColumn id="30" xr3:uid="{00000000-0010-0000-1500-00001E000000}" name="Fundstelle max. Abrufhäufigkeit" dataDxfId="1493"/>
    <tableColumn id="32" xr3:uid="{00000000-0010-0000-1500-000020000000}" name="Fundstelle var. Kosten" dataDxfId="1492"/>
    <tableColumn id="34" xr3:uid="{00000000-0010-0000-1500-000022000000}" name="Fundstelle Bemerkungen" dataDxfId="149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90" dataDxfId="1489" tableBorderDxfId="1488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87"/>
    <tableColumn id="47" xr3:uid="{00000000-0010-0000-0900-00002F000000}" name="Sektorenzuordnung" dataDxfId="1486"/>
    <tableColumn id="76" xr3:uid="{00000000-0010-0000-0900-00004C000000}" name="Gruppenzuordnung" dataDxfId="1485">
      <calculatedColumnFormula>VLOOKUP(Tabelle58971115[[#This Row],[Prozess]],Tabelle22333[],3,FALSE)</calculatedColumnFormula>
    </tableColumn>
    <tableColumn id="2" xr3:uid="{00000000-0010-0000-0900-000002000000}" name="Jahr" dataDxfId="1484"/>
    <tableColumn id="52" xr3:uid="{00000000-0010-0000-0900-000034000000}" name="Lastverschiebung" dataDxfId="1483"/>
    <tableColumn id="53" xr3:uid="{00000000-0010-0000-0900-000035000000}" name="Lastverzicht" dataDxfId="1482"/>
    <tableColumn id="83" xr3:uid="{D00C9E1C-CA55-47FC-B1C2-2694ECF1425A}" name="Lasterhöhung" dataDxfId="1481"/>
    <tableColumn id="69" xr3:uid="{00000000-0010-0000-0900-000045000000}" name="vorziehen" dataDxfId="1480"/>
    <tableColumn id="68" xr3:uid="{00000000-0010-0000-0900-000044000000}" name="verzögern" dataDxfId="1479"/>
    <tableColumn id="67" xr3:uid="{00000000-0010-0000-0900-000043000000}" name="Stromverbrauch in TWh" dataDxfId="1478"/>
    <tableColumn id="87" xr3:uid="{73478AAB-DF67-4DD5-8616-D6123C8EA183}" name="jährliche Produktion kt" dataDxfId="1477"/>
    <tableColumn id="86" xr3:uid="{76404C21-E30C-4A04-8D9C-8FBB8F9F0DD5}" name="spez. StV kWh/t" dataDxfId="1476"/>
    <tableColumn id="3" xr3:uid="{00000000-0010-0000-0900-000003000000}" name="Potenzial pos. min MW" dataDxfId="1475"/>
    <tableColumn id="38" xr3:uid="{00000000-0010-0000-0900-000026000000}" name="Potenzial pos. MW Durchschnitt" dataDxfId="1474"/>
    <tableColumn id="89" xr3:uid="{CAA70E46-D84B-4E9B-9B59-614D4CF40AD1}" name="Potenzial pos. MW Durchschnitt Lastverzicht" dataDxfId="1473"/>
    <tableColumn id="41" xr3:uid="{00000000-0010-0000-0900-000029000000}" name="Potenzial neg. MW Durchschnitt" dataDxfId="1472"/>
    <tableColumn id="8" xr3:uid="{00000000-0010-0000-0900-000008000000}" name="Mindestauslastung" dataDxfId="1471" dataCellStyle="Prozent"/>
    <tableColumn id="72" xr3:uid="{00000000-0010-0000-0900-000048000000}" name="flex. Anteil pos." dataDxfId="1470" dataCellStyle="Prozent"/>
    <tableColumn id="71" xr3:uid="{00000000-0010-0000-0900-000047000000}" name="flex. Anteil neg." dataDxfId="1469" dataCellStyle="Prozent"/>
    <tableColumn id="65" xr3:uid="{00000000-0010-0000-0900-000041000000}" name="Durchschnittsauslastung im Betriebszeitraum" dataDxfId="1468" dataCellStyle="Prozent"/>
    <tableColumn id="85" xr3:uid="{F3E08D92-44E7-48C6-B894-FB6D6A5AE1E4}" name="Durchschnittsauslastung" dataDxfId="1467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66" dataCellStyle="Prozent"/>
    <tableColumn id="80" xr3:uid="{00000000-0010-0000-0900-000050000000}" name="Wirkungsgrad min. (%)" dataDxfId="1465"/>
    <tableColumn id="79" xr3:uid="{00000000-0010-0000-0900-00004F000000}" name="Wirkungsgrad max. (%)" dataDxfId="1464"/>
    <tableColumn id="77" xr3:uid="{00000000-0010-0000-0900-00004D000000}" name="Wirkungsgrad (%)" dataDxfId="1463"/>
    <tableColumn id="12" xr3:uid="{00000000-0010-0000-0900-00000C000000}" name="Schaltdauer pos. (h)" dataDxfId="1462"/>
    <tableColumn id="90" xr3:uid="{74DEA5F0-EEB6-4F9A-94D5-8A37F6BC374F}" name="Schaltdauer pos. (h) Lastverzicht" dataDxfId="1461"/>
    <tableColumn id="63" xr3:uid="{00000000-0010-0000-0900-00003F000000}" name="Schaltdauer neg min (h)" dataDxfId="1460"/>
    <tableColumn id="51" xr3:uid="{00000000-0010-0000-0900-000033000000}" name="Schaltdauer neg. (h)" dataDxfId="1459"/>
    <tableColumn id="42" xr3:uid="{00000000-0010-0000-0900-00002A000000}" name="Verschiebedauer min. (h)" dataDxfId="1458"/>
    <tableColumn id="4" xr3:uid="{00000000-0010-0000-0900-000004000000}" name="Verschiebedauer max (h)" dataDxfId="1457"/>
    <tableColumn id="13" xr3:uid="{00000000-0010-0000-0900-00000D000000}" name="Verschiebedauer (h)" dataDxfId="1456"/>
    <tableColumn id="14" xr3:uid="{00000000-0010-0000-0900-00000E000000}" name="Regenerationsdauer (h)" dataDxfId="1455"/>
    <tableColumn id="15" xr3:uid="{00000000-0010-0000-0900-00000F000000}" name="Zeitverfügbarkeit?" dataDxfId="1454"/>
    <tableColumn id="70" xr3:uid="{00000000-0010-0000-0900-000046000000}" name="Temperaturabhängigkeit?" dataDxfId="1453"/>
    <tableColumn id="82" xr3:uid="{00000000-0010-0000-0900-000052000000}" name="max. Abrufhäufigkeit pro Tag" dataDxfId="1452"/>
    <tableColumn id="40" xr3:uid="{00000000-0010-0000-0900-000028000000}" name="max. Abrufhäufigkeit pro Jahr" dataDxfId="1451"/>
    <tableColumn id="91" xr3:uid="{2C86A030-BC6C-45B8-8F3D-7C52D34E3116}" name="max. Abrufhäufigkeit pro Jahr Lastverzicht" dataDxfId="1450"/>
    <tableColumn id="17" xr3:uid="{00000000-0010-0000-0900-000011000000}" name="Investitionsausgaben €_2018/kW" dataDxfId="1449"/>
    <tableColumn id="18" xr3:uid="{00000000-0010-0000-0900-000012000000}" name="variable Kosten €_2018/MWh" dataDxfId="1448"/>
    <tableColumn id="88" xr3:uid="{0E1A3CC7-783F-4411-8606-CEAE4B49D0F5}" name="variable Kosten Lastverzicht €_2018/MWh" dataDxfId="1447">
      <calculatedColumnFormula>1*10^3*Umrechnungsfaktoren!$B$15/Umrechnungsfaktoren!$B$11</calculatedColumnFormula>
    </tableColumn>
    <tableColumn id="64" xr3:uid="{00000000-0010-0000-0900-000040000000}" name="fixe Kosten min. €_2018/kW*a" dataDxfId="1446"/>
    <tableColumn id="19" xr3:uid="{00000000-0010-0000-0900-000013000000}" name="fixe Kosten €_2018/kW*a" dataDxfId="1445"/>
    <tableColumn id="58" xr3:uid="{00000000-0010-0000-0900-00003A000000}" name="durchschnittliche Verfügbarkeit (% p.a.)" dataDxfId="1444"/>
    <tableColumn id="20" xr3:uid="{00000000-0010-0000-0900-000014000000}" name="Bemerkungen" dataDxfId="1443"/>
    <tableColumn id="55" xr3:uid="{00000000-0010-0000-0900-000037000000}" name="Fundstelle Lastverschiebung" dataDxfId="1442"/>
    <tableColumn id="54" xr3:uid="{00000000-0010-0000-0900-000036000000}" name="Fundstelle Lastverzicht" dataDxfId="1441"/>
    <tableColumn id="74" xr3:uid="{00000000-0010-0000-0900-00004A000000}" name="Fundstelle verzögern/vorziehen" dataDxfId="1440"/>
    <tableColumn id="73" xr3:uid="{00000000-0010-0000-0900-000049000000}" name="Fundstelle Stromverbrauch" dataDxfId="1439"/>
    <tableColumn id="21" xr3:uid="{00000000-0010-0000-0900-000015000000}" name="Fundstelle Potenzial pos." dataDxfId="1438"/>
    <tableColumn id="22" xr3:uid="{00000000-0010-0000-0900-000016000000}" name="Fundstelle Potenzial neg." dataDxfId="1437"/>
    <tableColumn id="75" xr3:uid="{00000000-0010-0000-0900-00004B000000}" name="Fundstelle Mindestauslastung" dataDxfId="1436"/>
    <tableColumn id="43" xr3:uid="{00000000-0010-0000-0900-00002B000000}" name="Fundstelle flexibilisierbarer Anteil" dataDxfId="1435"/>
    <tableColumn id="66" xr3:uid="{00000000-0010-0000-0900-000042000000}" name="Fundstelle Durchschnittsauslastung" dataDxfId="1434"/>
    <tableColumn id="78" xr3:uid="{00000000-0010-0000-0900-00004E000000}" name="Fundstelle Wirkungsgrad" dataDxfId="1433"/>
    <tableColumn id="26" xr3:uid="{00000000-0010-0000-0900-00001A000000}" name="Fundstelle Schaltdauer" dataDxfId="1432"/>
    <tableColumn id="27" xr3:uid="{00000000-0010-0000-0900-00001B000000}" name="Fundstelle Verschiebedauer" dataDxfId="1431"/>
    <tableColumn id="28" xr3:uid="{00000000-0010-0000-0900-00001C000000}" name="Fundstelle Regenerationsdauer" dataDxfId="1430"/>
    <tableColumn id="29" xr3:uid="{00000000-0010-0000-0900-00001D000000}" name="Fundstelle Zeitverfügbarkeit" dataDxfId="1429"/>
    <tableColumn id="30" xr3:uid="{00000000-0010-0000-0900-00001E000000}" name="Fundstelle max. Abrufhäufigkeit" dataDxfId="1428"/>
    <tableColumn id="31" xr3:uid="{00000000-0010-0000-0900-00001F000000}" name="Fundstelle Invest" dataDxfId="1427"/>
    <tableColumn id="32" xr3:uid="{00000000-0010-0000-0900-000020000000}" name="Fundstelle var. Kosten" dataDxfId="1426"/>
    <tableColumn id="33" xr3:uid="{00000000-0010-0000-0900-000021000000}" name="Fundstelle fixe Kosten" dataDxfId="1425"/>
    <tableColumn id="81" xr3:uid="{00000000-0010-0000-0900-000051000000}" name="Fundstelle durchschn. Verfügbarkeit" dataDxfId="1424"/>
    <tableColumn id="35" xr3:uid="{00000000-0010-0000-0900-000023000000}" name="eigene Anmerkung" dataDxfId="1423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22" dataDxfId="1421" tableBorderDxfId="1420">
  <autoFilter ref="A1:Y23" xr:uid="{7EAE93F4-011F-46D7-80B5-BF43F400E70A}"/>
  <tableColumns count="25">
    <tableColumn id="1" xr3:uid="{045C2232-272F-4C0E-A404-0DA4AF632BE0}" name="Prozess" dataDxfId="1419"/>
    <tableColumn id="47" xr3:uid="{8495DA7A-9A6F-4013-B722-627056C22C67}" name="Sektorenzuordnung" dataDxfId="1418"/>
    <tableColumn id="2" xr3:uid="{5F3BB2BF-0030-4870-8CE7-A6BCF3B5650A}" name="Jahr" dataDxfId="1417"/>
    <tableColumn id="52" xr3:uid="{AE97C1CB-42DB-4746-A36D-3FD73C4F33DA}" name="Lastverschiebung" dataDxfId="1416"/>
    <tableColumn id="53" xr3:uid="{F7B83E07-5B62-4092-A86A-1EBB0455F116}" name="Lastverzicht" dataDxfId="1415"/>
    <tableColumn id="69" xr3:uid="{C2AD5E8D-EA9D-4019-BED4-233E90018CAB}" name="Lasterhöhung" dataDxfId="1414"/>
    <tableColumn id="5" xr3:uid="{B21FD136-F085-438A-9924-CD0D51483B05}" name="Potenzial pos. max MW Referenz" dataDxfId="1413"/>
    <tableColumn id="70" xr3:uid="{AAE5CB0A-F53F-486F-AAE9-9F758DF761ED}" name="Potenzial pos. max MW optimistisch (Szenario 2)" dataDxfId="1412"/>
    <tableColumn id="6" xr3:uid="{D8F7CFB2-101F-441C-BB94-E7EFB9D8CDE4}" name="Potenzial neg. max MW Referenz" dataDxfId="1411"/>
    <tableColumn id="71" xr3:uid="{F33F00BC-C9E3-48CD-B3B7-38144677E60D}" name="Potenzial neg. max MW optimistisch (Szenario 2)" dataDxfId="1410"/>
    <tableColumn id="36" xr3:uid="{2B34BD4D-73F4-48A6-B584-962F72941DF5}" name="flexibilisierbarer Anteil Referenz" dataDxfId="1409" dataCellStyle="Prozent"/>
    <tableColumn id="72" xr3:uid="{7A6C2CC3-F7C2-4F9C-999E-51F05B5C59D1}" name="flexibilisierbarer Anteil optimistisch (Szenario 2)" dataDxfId="1408" dataCellStyle="Prozent"/>
    <tableColumn id="9" xr3:uid="{552A5609-B18E-41A4-8FFC-904789674D74}" name="Maximalleistung MW Referenz" dataDxfId="1407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06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05"/>
    <tableColumn id="4" xr3:uid="{D0BAC23A-A00A-4D26-8B9E-AE934026C61F}" name="Verschiebedauer max (h)" dataDxfId="1404"/>
    <tableColumn id="13" xr3:uid="{90AE4397-79B7-4FA1-AC6A-4B5B5DCD495C}" name="Verschiebedauer (h) Referenz" dataDxfId="1403"/>
    <tableColumn id="14" xr3:uid="{96F84580-8C22-4ACD-A1E1-DD512D98B5EA}" name="Verschiebedauer (h) optimistisch (Szenario 2)" dataDxfId="1402"/>
    <tableColumn id="55" xr3:uid="{BB4CF91F-7FC2-4EDA-AA87-F78DB28FCAB5}" name="Fundstelle Lastverschiebung" dataDxfId="1401"/>
    <tableColumn id="54" xr3:uid="{4CC1BC5F-41CB-4C93-A647-5360CB4E91B2}" name="Fundstelle Lastverzicht" dataDxfId="1400"/>
    <tableColumn id="21" xr3:uid="{A6AC0C1F-6B9A-4521-9413-31DE9AFA8D4C}" name="Fundstelle Potenzial pos." dataDxfId="1399"/>
    <tableColumn id="22" xr3:uid="{EF3F114A-DB07-4E45-AD14-B5EB9C568644}" name="Fundstelle Potenzial neg." dataDxfId="1398"/>
    <tableColumn id="43" xr3:uid="{354E5854-DE4C-4A4E-9DBD-0860038E3407}" name="Fundstelle flexibilisierbarer Anteil" dataDxfId="1397"/>
    <tableColumn id="24" xr3:uid="{F8FD73D7-2FFE-49F6-94A1-F63AB9F28A86}" name="Fundstelle Maximalleistung" dataDxfId="1396"/>
    <tableColumn id="27" xr3:uid="{11A34591-0037-4C25-B158-6FBF5F6A874A}" name="Fundstelle Verschiebedauer" dataDxfId="1395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94" dataDxfId="1393" tableBorderDxfId="1392">
  <autoFilter ref="A1:N15" xr:uid="{F701B2EC-E2AD-4208-957E-2645E6882D66}"/>
  <tableColumns count="14">
    <tableColumn id="1" xr3:uid="{60D4FDA9-9997-4B0E-8D45-9838C956EF80}" name="Prozess" dataDxfId="1391"/>
    <tableColumn id="47" xr3:uid="{3231BF80-5E4F-4907-B3C3-2F56FD15997B}" name="Sektorenzuordnung" dataDxfId="1390"/>
    <tableColumn id="2" xr3:uid="{ECDD713F-C18D-429B-892D-DB72464D78C1}" name="Jahr" dataDxfId="1389"/>
    <tableColumn id="52" xr3:uid="{904721C5-89FE-4DA0-9791-F6CD7835911F}" name="Lastverschiebung" dataDxfId="1388"/>
    <tableColumn id="53" xr3:uid="{EEE37A9B-F349-4734-A8D3-9F403FCBEF68}" name="Lastverzicht" dataDxfId="1387"/>
    <tableColumn id="68" xr3:uid="{668C5A4A-EE00-401A-AAD5-5EB8A19598D4}" name="Lasterhöhung" dataDxfId="1386"/>
    <tableColumn id="75" xr3:uid="{30D504FD-89B3-4972-BDDD-1D0FDB03908D}" name="Potenzial pos. MW Durchschnitt" dataDxfId="1385"/>
    <tableColumn id="41" xr3:uid="{D059C1AC-18C1-4F8A-A018-145D4F0332AB}" name="Potenzial neg. MW Durchschnitt" dataDxfId="1384"/>
    <tableColumn id="13" xr3:uid="{2D701B35-5F44-4AF9-8800-0CF72DEE713D}" name="Verschiebedauer (h)" dataDxfId="1383"/>
    <tableColumn id="55" xr3:uid="{31D6DB02-4012-4AA2-91AB-D48F8329F0A2}" name="Fundstelle Lastverschiebung" dataDxfId="1382"/>
    <tableColumn id="54" xr3:uid="{B7C38E36-9CA7-4324-9229-28127122B928}" name="Fundstelle Lastverzicht" dataDxfId="1381"/>
    <tableColumn id="21" xr3:uid="{106BB4FE-66C5-4C8E-BFE9-E1C42C35EA3E}" name="Fundstelle Potenzial pos." dataDxfId="1380"/>
    <tableColumn id="22" xr3:uid="{50973332-0E8D-4999-8298-3549B8C2A2EC}" name="Fundstelle Potenzial neg." dataDxfId="1379"/>
    <tableColumn id="27" xr3:uid="{28956575-1520-4CC4-B4C5-9F516A0B6E5D}" name="Fundstelle Verschiebedauer" dataDxfId="1378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77" dataDxfId="1376" tableBorderDxfId="1375">
  <autoFilter ref="A1:AZ34" xr:uid="{00000000-0009-0000-0100-000013000000}"/>
  <tableColumns count="52">
    <tableColumn id="1" xr3:uid="{00000000-0010-0000-1100-000001000000}" name="Prozess" dataDxfId="1374"/>
    <tableColumn id="47" xr3:uid="{00000000-0010-0000-1100-00002F000000}" name="Sektorenzuordnung" dataDxfId="1373"/>
    <tableColumn id="2" xr3:uid="{00000000-0010-0000-1100-000002000000}" name="Jahr" dataDxfId="1372"/>
    <tableColumn id="52" xr3:uid="{00000000-0010-0000-1100-000034000000}" name="Lastverschiebung" dataDxfId="1371"/>
    <tableColumn id="53" xr3:uid="{00000000-0010-0000-1100-000035000000}" name="Lastverzicht" dataDxfId="1370"/>
    <tableColumn id="78" xr3:uid="{BB48C46C-C55A-4A5F-BB39-EAC2DD6DCCA5}" name="Lasterhöhung" dataDxfId="1369"/>
    <tableColumn id="67" xr3:uid="{00000000-0010-0000-1100-000043000000}" name="Stromverbrauch in TWh" dataDxfId="1368"/>
    <tableColumn id="38" xr3:uid="{00000000-0010-0000-1100-000026000000}" name="Potenzial pos. MW Durchschnitt" dataDxfId="1367"/>
    <tableColumn id="71" xr3:uid="{00000000-0010-0000-1100-000047000000}" name="Potenzial pos. max MW Lastverzicht" dataDxfId="1366"/>
    <tableColumn id="41" xr3:uid="{00000000-0010-0000-1100-000029000000}" name="Potenzial neg. MW Durchschnitt" dataDxfId="1365"/>
    <tableColumn id="36" xr3:uid="{00000000-0010-0000-1100-000024000000}" name="flexibilisierbarer Anteil pos. an Durchschnittsauslastung" dataDxfId="1364" dataCellStyle="Prozent"/>
    <tableColumn id="69" xr3:uid="{00000000-0010-0000-1100-000045000000}" name="flexibilisierbarer Anteil neg. an Durchschnittsauslastung" dataDxfId="1363" dataCellStyle="Prozent"/>
    <tableColumn id="70" xr3:uid="{00000000-0010-0000-1100-000046000000}" name="Betriebsstunden p.a." dataDxfId="1362" dataCellStyle="Prozent"/>
    <tableColumn id="44" xr3:uid="{00000000-0010-0000-1100-00002C000000}" name="Durchschnittliche Leistung MW" dataDxfId="1361" dataCellStyle="Prozent"/>
    <tableColumn id="11" xr3:uid="{00000000-0010-0000-1100-00000B000000}" name="Aktivierungsdauer (h)" dataDxfId="1360"/>
    <tableColumn id="61" xr3:uid="{00000000-0010-0000-1100-00003D000000}" name="Schaltdauer pos. min (h)" dataDxfId="1359">
      <calculatedColumnFormula>2/60</calculatedColumnFormula>
    </tableColumn>
    <tableColumn id="60" xr3:uid="{00000000-0010-0000-1100-00003C000000}" name="Schaltdauer pos. max (h)" dataDxfId="1358"/>
    <tableColumn id="81" xr3:uid="{24D4329C-6A8F-4D4B-B1E1-A0045511F0D3}" name="Schaltdauer pos. min (h) Lastverzicht" dataDxfId="1357"/>
    <tableColumn id="80" xr3:uid="{9849B2FC-C05C-403A-B551-F92D45AFDC85}" name="Schaltdauer pos. max (h) Lastverzicht" dataDxfId="1356"/>
    <tableColumn id="12" xr3:uid="{00000000-0010-0000-1100-00000C000000}" name="Schaltdauer pos. (h)" dataDxfId="1355"/>
    <tableColumn id="79" xr3:uid="{5AD04540-F962-44EE-9B0E-E72A2A85ED5B}" name="Schaltdauer pos. (h) Lastverzicht" dataDxfId="1354"/>
    <tableColumn id="63" xr3:uid="{00000000-0010-0000-1100-00003F000000}" name="Schaltdauer neg min (h)" dataDxfId="1353"/>
    <tableColumn id="62" xr3:uid="{00000000-0010-0000-1100-00003E000000}" name="Schaltdauer neg. max (h)" dataDxfId="1352"/>
    <tableColumn id="51" xr3:uid="{00000000-0010-0000-1100-000033000000}" name="Schaltdauer neg. (h)" dataDxfId="1351"/>
    <tableColumn id="14" xr3:uid="{00000000-0010-0000-1100-00000E000000}" name="Regenerationsdauer pos. (h)" dataDxfId="1350"/>
    <tableColumn id="76" xr3:uid="{00000000-0010-0000-1100-00004C000000}" name="Regenerationsdauer neg. (h)" dataDxfId="1349"/>
    <tableColumn id="40" xr3:uid="{00000000-0010-0000-1100-000028000000}" name="max. Abrufhäufigkeit pro Jahr" dataDxfId="1348"/>
    <tableColumn id="82" xr3:uid="{1361399C-7671-42F6-AE28-BA969E9A2C62}" name="max. Abrufhäufigkeit pro Jahr Lastverschiebung" dataDxfId="1347"/>
    <tableColumn id="57" xr3:uid="{00000000-0010-0000-1100-000039000000}" name="min. Investitionsausgaben €_2018/kW" dataDxfId="1346">
      <calculatedColumnFormula>0.2*Umrechnungsfaktoren!$B$15/Umrechnungsfaktoren!$B$14</calculatedColumnFormula>
    </tableColumn>
    <tableColumn id="56" xr3:uid="{00000000-0010-0000-1100-000038000000}" name="max. Investitionsausgaben €_2018/kW" dataDxfId="1345">
      <calculatedColumnFormula>0.9*Umrechnungsfaktoren!$B$15/Umrechnungsfaktoren!$B$14</calculatedColumnFormula>
    </tableColumn>
    <tableColumn id="17" xr3:uid="{00000000-0010-0000-1100-000011000000}" name="Investitionsausgaben €_2018/kW" dataDxfId="1344">
      <calculatedColumnFormula>0.5*Umrechnungsfaktoren!$B$15/Umrechnungsfaktoren!$B$14</calculatedColumnFormula>
    </tableColumn>
    <tableColumn id="18" xr3:uid="{00000000-0010-0000-1100-000012000000}" name="variable Kosten pos. €_2018/MWh" dataDxfId="1343">
      <calculatedColumnFormula>7.2*Umrechnungsfaktoren!$B$15/Umrechnungsfaktoren!$B$14</calculatedColumnFormula>
    </tableColumn>
    <tableColumn id="77" xr3:uid="{00000000-0010-0000-1100-00004D000000}" name="variable Kosten neg. €_2018/MWh" dataDxfId="1342">
      <calculatedColumnFormula>27.7*Umrechnungsfaktoren!$B$15/Umrechnungsfaktoren!$B$14</calculatedColumnFormula>
    </tableColumn>
    <tableColumn id="72" xr3:uid="{00000000-0010-0000-1100-000048000000}" name="variable Kosten Lastverzicht €_2018/MWh" dataDxfId="1341">
      <calculatedColumnFormula>96*Umrechnungsfaktoren!$B$15/Umrechnungsfaktoren!$B$14</calculatedColumnFormula>
    </tableColumn>
    <tableColumn id="19" xr3:uid="{00000000-0010-0000-1100-000013000000}" name="fixe Kosten €_2018/kW*a" dataDxfId="1340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39">
      <calculatedColumnFormula>3000*Umrechnungsfaktoren!$B$15/Umrechnungsfaktoren!$B$14</calculatedColumnFormula>
    </tableColumn>
    <tableColumn id="73" xr3:uid="{00000000-0010-0000-1100-000049000000}" name="Wirkungsgrad pos." dataDxfId="1338"/>
    <tableColumn id="75" xr3:uid="{00000000-0010-0000-1100-00004B000000}" name="Wirkungsgrad neg." dataDxfId="1337"/>
    <tableColumn id="20" xr3:uid="{00000000-0010-0000-1100-000014000000}" name="Bemerkungen" dataDxfId="1336"/>
    <tableColumn id="68" xr3:uid="{00000000-0010-0000-1100-000044000000}" name="Fundstelle Stromverbrauch" dataDxfId="1335"/>
    <tableColumn id="21" xr3:uid="{00000000-0010-0000-1100-000015000000}" name="Fundstelle Potenzial pos." dataDxfId="1334"/>
    <tableColumn id="22" xr3:uid="{00000000-0010-0000-1100-000016000000}" name="Fundstelle Potenzial neg." dataDxfId="1333"/>
    <tableColumn id="43" xr3:uid="{00000000-0010-0000-1100-00002B000000}" name="Fundstelle flexibilisierbarer Anteil" dataDxfId="1332"/>
    <tableColumn id="45" xr3:uid="{00000000-0010-0000-1100-00002D000000}" name="Fundstelle durchschnittliche Leistung" dataDxfId="1331"/>
    <tableColumn id="39" xr3:uid="{00000000-0010-0000-1100-000027000000}" name="Fundstelle Aktivierungsdauer" dataDxfId="1330"/>
    <tableColumn id="26" xr3:uid="{00000000-0010-0000-1100-00001A000000}" name="Fundstelle Schaltdauer" dataDxfId="1329"/>
    <tableColumn id="28" xr3:uid="{00000000-0010-0000-1100-00001C000000}" name="Fundstelle Regenerationsdauer" dataDxfId="1328"/>
    <tableColumn id="30" xr3:uid="{00000000-0010-0000-1100-00001E000000}" name="Fundstelle max. Abrufhäufigkeit" dataDxfId="1327"/>
    <tableColumn id="31" xr3:uid="{00000000-0010-0000-1100-00001F000000}" name="Fundstelle Invest" dataDxfId="1326"/>
    <tableColumn id="32" xr3:uid="{00000000-0010-0000-1100-000020000000}" name="Fundstelle var. Kosten" dataDxfId="1325"/>
    <tableColumn id="33" xr3:uid="{00000000-0010-0000-1100-000021000000}" name="Fundstelle fixe Kosten" dataDxfId="1324"/>
    <tableColumn id="74" xr3:uid="{00000000-0010-0000-1100-00004A000000}" name="Fundstelle Wirkungsgrad" dataDxfId="1323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22" dataDxfId="1321" tableBorderDxfId="1320">
  <autoFilter ref="A1:Y12" xr:uid="{F701B2EC-E2AD-4208-957E-2645E6882D66}"/>
  <tableColumns count="25">
    <tableColumn id="1" xr3:uid="{DC6BC179-EF4B-4362-85B7-F94DCFF1400E}" name="Prozess" dataDxfId="1319"/>
    <tableColumn id="47" xr3:uid="{1E562F7D-0294-4D8A-8E3A-1A8AC50C13C5}" name="Sektorenzuordnung" dataDxfId="1318"/>
    <tableColumn id="2" xr3:uid="{557A65FD-3A5C-463A-97EE-0E6CF65B4C27}" name="Jahr" dataDxfId="1317"/>
    <tableColumn id="52" xr3:uid="{59337E75-E973-46A2-85CD-5E4C30936482}" name="Lastverschiebung" dataDxfId="1316"/>
    <tableColumn id="53" xr3:uid="{47DDB4D2-154C-4604-86E0-D2ECD974853B}" name="Lastverzicht" dataDxfId="1315"/>
    <tableColumn id="68" xr3:uid="{B5CE66E4-D69D-4D9B-BE03-A44C94AEECD6}" name="Lasterhöhung" dataDxfId="1314"/>
    <tableColumn id="76" xr3:uid="{CD72026E-AAC6-4DC5-BEBD-38776B6EC245}" name="Stromverbrauch von TWh" dataDxfId="1313"/>
    <tableColumn id="69" xr3:uid="{397FF19B-0798-4828-AE6C-0781813F0841}" name="Stromverbrauch bis TWh" dataDxfId="1312"/>
    <tableColumn id="75" xr3:uid="{86F5F6FB-3FE5-4447-8E6F-28626C87AB9E}" name="Potenzial pos. MW Durchschnitt Winter" dataDxfId="1311"/>
    <tableColumn id="38" xr3:uid="{34B8C0F8-29BC-4993-AD7C-89E8CFEFD0DA}" name="Potenzial pos. MW Durchschnitt Sommer" dataDxfId="1310"/>
    <tableColumn id="5" xr3:uid="{C9FBA385-3319-410C-9E95-D75ADAF90F00}" name="Potenzial pos. max MW" dataDxfId="1309"/>
    <tableColumn id="41" xr3:uid="{F6BCC037-E74A-46E2-A7BB-951C2F3F046C}" name="Potenzial neg. MW Durchschnitt Winter" dataDxfId="1308"/>
    <tableColumn id="74" xr3:uid="{7501D560-A540-4CF0-9493-781F98A90DBE}" name="Potenzial neg. MW Durchschnitt Sommer" dataDxfId="1307"/>
    <tableColumn id="6" xr3:uid="{BA722911-42F2-4D14-915F-A100E95C2268}" name="Potenzial neg. max MW" dataDxfId="1306"/>
    <tableColumn id="36" xr3:uid="{7021F6C5-608E-4A20-9686-037C7C0EE956}" name="flexibilisierbarer Anteil pos." dataDxfId="1305" dataCellStyle="Prozent"/>
    <tableColumn id="73" xr3:uid="{116DBAF6-360B-41D4-AFF4-2B005B4105BE}" name="flexibilisierbarer Anteil neg." dataDxfId="1304" dataCellStyle="Prozent"/>
    <tableColumn id="9" xr3:uid="{F1FC41B8-1308-4099-9233-0D4F701AC58B}" name="Maximalleistung MW" dataDxfId="1303"/>
    <tableColumn id="70" xr3:uid="{2FE6B4A1-7D5C-423E-B5D0-6DD8C39E40FA}" name="Betriebskosten €_2018/kW*a" dataDxfId="1302">
      <calculatedColumnFormula>2.43*Umrechnungsfaktoren!$B$15/Umrechnungsfaktoren!$B$7</calculatedColumnFormula>
    </tableColumn>
    <tableColumn id="20" xr3:uid="{A15C4103-9178-4ADD-A090-ECAC24C99A7C}" name="Bemerkungen" dataDxfId="1301"/>
    <tableColumn id="77" xr3:uid="{B8DB8FCD-1760-4661-9C41-1B90392388F2}" name="Fundstelle Stromverbrauch" dataDxfId="1300"/>
    <tableColumn id="21" xr3:uid="{D199A964-2A23-4A9C-9953-6C8672990CBB}" name="Fundstelle Potenzial pos." dataDxfId="1299"/>
    <tableColumn id="22" xr3:uid="{DD4DA05A-F4A6-4604-9694-92DA6E401C4B}" name="Fundstelle Potenzial neg." dataDxfId="1298"/>
    <tableColumn id="43" xr3:uid="{1E167E9E-CEFD-4CFA-B585-1E08BFEA0D2B}" name="Fundstelle flexibilisierbarer Anteil" dataDxfId="1297"/>
    <tableColumn id="24" xr3:uid="{4C5D21DA-3386-479F-BA98-D4AE50E16868}" name="Fundstelle Maximalleistung" dataDxfId="1296"/>
    <tableColumn id="72" xr3:uid="{931407FA-5243-49A1-9BD0-1031DBA7B183}" name="Fundstelle Betriebskosten" dataDxfId="1295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94" dataDxfId="1293" tableBorderDxfId="1292">
  <autoFilter ref="A1:AF7" xr:uid="{AE11E327-A0B3-4E98-A3F3-1BDD32A06945}"/>
  <tableColumns count="32">
    <tableColumn id="1" xr3:uid="{1B6C1A63-9A69-45F9-8F63-0C1CCD81B33F}" name="Prozess" dataDxfId="1291"/>
    <tableColumn id="47" xr3:uid="{DD252FB6-A304-4598-9F7B-E9C47270DF1F}" name="Sektorenzuordnung" dataDxfId="1290"/>
    <tableColumn id="2" xr3:uid="{166090E1-D564-44D6-9E47-5CC8D4CAB587}" name="Jahr" dataDxfId="1289"/>
    <tableColumn id="52" xr3:uid="{78681D84-5EBB-413A-A252-15B395CF771F}" name="Lastverschiebung" dataDxfId="1288"/>
    <tableColumn id="53" xr3:uid="{F96A7A76-11EE-443F-8727-346CF40F0D46}" name="Lastverzicht" dataDxfId="1287"/>
    <tableColumn id="68" xr3:uid="{3F4677B5-D8D2-4AA4-8039-6C8F6E4D935E}" name="Lasterhöhung" dataDxfId="1286"/>
    <tableColumn id="5" xr3:uid="{1D9C9BAF-69D5-414A-BABA-D73F3772627A}" name="Potenzial pos. max MW" dataDxfId="1285"/>
    <tableColumn id="6" xr3:uid="{542E41EB-2424-468B-A6AB-A29A7ED9EF8C}" name="Potenzial neg. max MW" dataDxfId="1284"/>
    <tableColumn id="65" xr3:uid="{0EEFB969-ECD7-40FB-B2E0-1AFDEB243AC9}" name="Durchschnittsauslastung" dataDxfId="1283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82" dataCellStyle="Prozent"/>
    <tableColumn id="44" xr3:uid="{9D342217-0BA8-4BA0-968F-27651EB3D823}" name="Durchschnittliche Leistung MW" dataDxfId="1281" dataCellStyle="Prozent"/>
    <tableColumn id="9" xr3:uid="{83877863-389D-4EB9-809C-D57ED1124005}" name="Maximalleistung MW" dataDxfId="1280"/>
    <tableColumn id="11" xr3:uid="{AFE627B7-F2B2-4D99-958E-9558063501E2}" name="Aktivierungsdauer (h)" dataDxfId="1279">
      <calculatedColumnFormula>60/3600</calculatedColumnFormula>
    </tableColumn>
    <tableColumn id="13" xr3:uid="{6D352065-FCB4-4073-A8C1-A29BDB3DB40E}" name="Verschiebedauer (h)" dataDxfId="1278"/>
    <tableColumn id="16" xr3:uid="{E041B129-E315-4420-8E19-A0F40B389798}" name="max. Abrufhäufigkeit pro Woche" dataDxfId="1277">
      <calculatedColumnFormula>7</calculatedColumnFormula>
    </tableColumn>
    <tableColumn id="57" xr3:uid="{63811DD0-9579-4F52-B31C-DAC28FEB5628}" name="min. Investitionsausgaben €_2018/kW" dataDxfId="1276">
      <calculatedColumnFormula>0</calculatedColumnFormula>
    </tableColumn>
    <tableColumn id="56" xr3:uid="{EB322A90-3156-4958-A962-44A0D3ABE274}" name="max. Investitionsausgaben €_2018/kW" dataDxfId="1275">
      <calculatedColumnFormula>100*Umrechnungsfaktoren!$B$15/Umrechnungsfaktoren!$B$12</calculatedColumnFormula>
    </tableColumn>
    <tableColumn id="70" xr3:uid="{2A27CBA6-227A-4C0E-A88C-BC7CFE0576F6}" name="zus. Betriebskosten p.a. min. (€)" dataDxfId="1274">
      <calculatedColumnFormula>10*Umrechnungsfaktoren!$B$15/Umrechnungsfaktoren!$B$12</calculatedColumnFormula>
    </tableColumn>
    <tableColumn id="69" xr3:uid="{BEE68730-C882-4535-9344-E0220DD4467C}" name="zus. Betriebskosten p.a. max. (€)" dataDxfId="1273">
      <calculatedColumnFormula>10</calculatedColumnFormula>
    </tableColumn>
    <tableColumn id="19" xr3:uid="{8F50806E-FFB1-43D1-812E-5D7AAA75EF88}" name="fixe Kosten €_2018/kW*a" dataDxfId="1272">
      <calculatedColumnFormula>10*Umrechnungsfaktoren!$B$15/Umrechnungsfaktoren!$B$12</calculatedColumnFormula>
    </tableColumn>
    <tableColumn id="55" xr3:uid="{67896037-C30A-448B-B01F-5651610E7263}" name="Fundstelle Lastverschiebung" dataDxfId="1271"/>
    <tableColumn id="21" xr3:uid="{B2A11AAA-EF31-44EC-962D-A3EF057CC02E}" name="Fundstelle Potenzial pos." dataDxfId="1270"/>
    <tableColumn id="22" xr3:uid="{46D3FC14-1E62-4B6A-93E0-EA54A57D30C3}" name="Fundstelle Potenzial neg." dataDxfId="1269"/>
    <tableColumn id="66" xr3:uid="{C0399ECB-FD3A-4F0E-913E-412EDA197D96}" name="Fundstelle Durchschnittsauslastung" dataDxfId="1268"/>
    <tableColumn id="45" xr3:uid="{CCAD7132-2CCC-47BE-853B-8E8CEA6B2B46}" name="Fundstelle durchschnittliche Leistung" dataDxfId="1267"/>
    <tableColumn id="24" xr3:uid="{BBD85B9D-122D-405D-B2EF-EA28AADE45DA}" name="Fundstelle Maximalleistung" dataDxfId="1266"/>
    <tableColumn id="39" xr3:uid="{1F0D4C5A-13F6-40B4-81C8-BC51805E38E5}" name="Fundstelle Aktivierungsdauer" dataDxfId="1265"/>
    <tableColumn id="27" xr3:uid="{058434D0-4C28-446F-AE30-225302A314DD}" name="Fundstelle Verschiebedauer" dataDxfId="1264"/>
    <tableColumn id="30" xr3:uid="{4B166F0A-394A-4BFD-9BC2-2662AFEEEF76}" name="Fundstelle max. Abrufhäufigkeit" dataDxfId="1263"/>
    <tableColumn id="31" xr3:uid="{76303978-F198-4D18-BAB9-16C145518465}" name="Fundstelle Invest" dataDxfId="1262"/>
    <tableColumn id="72" xr3:uid="{A495F14A-EF03-4EBF-A509-5E28149924C6}" name="Fundstelle Betriebskosten" dataDxfId="1261"/>
    <tableColumn id="33" xr3:uid="{EC86EA94-5314-4CA8-8171-76927E856A81}" name="Fundstelle fixe Kosten" dataDxfId="1260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59" dataDxfId="1258" tableBorderDxfId="1257">
  <autoFilter ref="A1:AU65" xr:uid="{00000000-0009-0000-0100-000005000000}"/>
  <tableColumns count="47">
    <tableColumn id="1" xr3:uid="{00000000-0010-0000-0000-000001000000}" name="Prozess" dataDxfId="1256"/>
    <tableColumn id="47" xr3:uid="{00000000-0010-0000-0000-00002F000000}" name="Sektorenzuordnung" dataDxfId="1255"/>
    <tableColumn id="2" xr3:uid="{00000000-0010-0000-0000-000002000000}" name="Jahr" dataDxfId="1254"/>
    <tableColumn id="51" xr3:uid="{00000000-0010-0000-0000-000033000000}" name="Lastverschiebung" dataDxfId="1253"/>
    <tableColumn id="52" xr3:uid="{00000000-0010-0000-0000-000034000000}" name="Lastverzicht" dataDxfId="1252"/>
    <tableColumn id="4" xr3:uid="{D0856174-3D23-4F02-ADDE-B692295B8697}" name="Lasterhöhung" dataDxfId="1251"/>
    <tableColumn id="42" xr3:uid="{00000000-0010-0000-0000-00002A000000}" name="Stromverbrauch in TWh" dataDxfId="1250"/>
    <tableColumn id="3" xr3:uid="{00000000-0010-0000-0000-000003000000}" name="Potenzial pos. min MW" dataDxfId="1249"/>
    <tableColumn id="5" xr3:uid="{00000000-0010-0000-0000-000005000000}" name="Potenzial pos. MW Durchschnitt" dataDxfId="1248"/>
    <tableColumn id="56" xr3:uid="{5D8BF37C-B6DA-4DAE-85EF-97EDCAB29827}" name="Potenzial pos. max MW" dataDxfId="1247"/>
    <tableColumn id="57" xr3:uid="{3F62AF89-957C-4C53-9BD5-87186AEE5FE0}" name="Potenzial pos. MW Lastverzicht" dataDxfId="1246"/>
    <tableColumn id="37" xr3:uid="{00000000-0010-0000-0000-000025000000}" name="ausgewiesenes Pot. pos. MW (falls abweichend)" dataDxfId="1245"/>
    <tableColumn id="50" xr3:uid="{00000000-0010-0000-0000-000032000000}" name="Potenzial neg. min MW" dataDxfId="1244"/>
    <tableColumn id="41" xr3:uid="{00000000-0010-0000-0000-000029000000}" name="Potenzial neg. MW Durchschnitt" dataDxfId="1243">
      <calculatedColumnFormula>Tabelle5[[#This Row],[Potenzial pos. MW Durchschnitt]]</calculatedColumnFormula>
    </tableColumn>
    <tableColumn id="6" xr3:uid="{00000000-0010-0000-0000-000006000000}" name="Potenzial neg. max MW" dataDxfId="1242">
      <calculatedColumnFormula>Tabelle5[[#This Row],[Potenzial pos. max MW]]</calculatedColumnFormula>
    </tableColumn>
    <tableColumn id="7" xr3:uid="{00000000-0010-0000-0000-000007000000}" name="Mindestleistung MW" dataDxfId="1241"/>
    <tableColumn id="8" xr3:uid="{00000000-0010-0000-0000-000008000000}" name="Mindestauslastung" dataDxfId="1240" dataCellStyle="Prozent"/>
    <tableColumn id="36" xr3:uid="{00000000-0010-0000-0000-000024000000}" name="flexibilisierbarer Anteil an installierter Leistung" dataDxfId="1239" dataCellStyle="Prozent">
      <calculatedColumnFormula>(1-Tabelle5[[#This Row],[Mindestauslastung]])</calculatedColumnFormula>
    </tableColumn>
    <tableColumn id="44" xr3:uid="{00000000-0010-0000-0000-00002C000000}" name="Durchschnittliche Leistung MW" dataDxfId="1238" dataCellStyle="Prozent"/>
    <tableColumn id="9" xr3:uid="{00000000-0010-0000-0000-000009000000}" name="Maximalleistung MW" dataDxfId="1237">
      <calculatedColumnFormula>Tabelle5[[#This Row],[Potenzial pos. MW Durchschnitt]]*0.95</calculatedColumnFormula>
    </tableColumn>
    <tableColumn id="46" xr3:uid="{00000000-0010-0000-0000-00002E000000}" name="Maximalauslastung" dataDxfId="1236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35"/>
    <tableColumn id="12" xr3:uid="{00000000-0010-0000-0000-00000C000000}" name="Schaltdauer pos. (h)" dataDxfId="1234"/>
    <tableColumn id="58" xr3:uid="{C34DB603-C3DF-483E-9871-B4D242E37733}" name="Schaltdauer pos. (h) Lastverzicht" dataDxfId="1233"/>
    <tableColumn id="13" xr3:uid="{00000000-0010-0000-0000-00000D000000}" name="Verschiebedauer (h)" dataDxfId="1232"/>
    <tableColumn id="14" xr3:uid="{00000000-0010-0000-0000-00000E000000}" name="Regenerationsdauer (h)" dataDxfId="1231"/>
    <tableColumn id="40" xr3:uid="{00000000-0010-0000-0000-000028000000}" name="max. Abrufhäufigkeit pro Jahr" dataDxfId="1230"/>
    <tableColumn id="59" xr3:uid="{AD737D38-5C2B-4AC5-A4FE-E51446E5D338}" name="max. Abrufhäufigkeit pro Jahr Lastverzicht" dataDxfId="1229"/>
    <tableColumn id="20" xr3:uid="{00000000-0010-0000-0000-000014000000}" name="Bemerkungen" dataDxfId="1228"/>
    <tableColumn id="38" xr3:uid="{9EAA064E-6572-4AF4-B302-841704B9BCF9}" name="Bemerkungen 2" dataDxfId="1227"/>
    <tableColumn id="54" xr3:uid="{00000000-0010-0000-0000-000036000000}" name="Fundstelle Lastverschiebung" dataDxfId="1226"/>
    <tableColumn id="53" xr3:uid="{00000000-0010-0000-0000-000035000000}" name="Fundstelle Lastverzicht" dataDxfId="1225"/>
    <tableColumn id="55" xr3:uid="{00000000-0010-0000-0000-000037000000}" name="Fundstelle Stromverbrauch" dataDxfId="1224"/>
    <tableColumn id="21" xr3:uid="{00000000-0010-0000-0000-000015000000}" name="Fundstelle Potenzial pos." dataDxfId="1223"/>
    <tableColumn id="22" xr3:uid="{00000000-0010-0000-0000-000016000000}" name="Fundstelle Potenzial neg." dataDxfId="1222"/>
    <tableColumn id="23" xr3:uid="{00000000-0010-0000-0000-000017000000}" name="Fundstelle Mindestleistung" dataDxfId="1221"/>
    <tableColumn id="43" xr3:uid="{00000000-0010-0000-0000-00002B000000}" name="Fundstelle flexibilisierbarer Anteil" dataDxfId="1220"/>
    <tableColumn id="45" xr3:uid="{00000000-0010-0000-0000-00002D000000}" name="Fundstelle durchschnittliche Leistung" dataDxfId="1219"/>
    <tableColumn id="24" xr3:uid="{00000000-0010-0000-0000-000018000000}" name="Fundstelle Maximalleistung" dataDxfId="1218"/>
    <tableColumn id="25" xr3:uid="{00000000-0010-0000-0000-000019000000}" name="Fundstelle installierte Leistung" dataDxfId="1217"/>
    <tableColumn id="26" xr3:uid="{00000000-0010-0000-0000-00001A000000}" name="Fundstelle Schaltdauer" dataDxfId="1216"/>
    <tableColumn id="27" xr3:uid="{00000000-0010-0000-0000-00001B000000}" name="Fundstelle Verschiebedauer" dataDxfId="1215"/>
    <tableColumn id="28" xr3:uid="{00000000-0010-0000-0000-00001C000000}" name="Fundstelle Regenerationsdauer" dataDxfId="1214"/>
    <tableColumn id="30" xr3:uid="{00000000-0010-0000-0000-00001E000000}" name="Fundstelle max. Abrufhäufigkeit" dataDxfId="1213"/>
    <tableColumn id="49" xr3:uid="{00000000-0010-0000-0000-000031000000}" name="Fundstelle Investition je Anschlusspunkt" dataDxfId="1212"/>
    <tableColumn id="34" xr3:uid="{00000000-0010-0000-0000-000022000000}" name="Fundstelle Bemerkungen" dataDxfId="1211"/>
    <tableColumn id="35" xr3:uid="{00000000-0010-0000-0000-000023000000}" name="eigene Anmerkung" dataDxfId="1210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09" dataDxfId="1208">
  <autoFilter ref="A1:Q13" xr:uid="{00000000-0009-0000-0100-000004000000}"/>
  <tableColumns count="17">
    <tableColumn id="1" xr3:uid="{00000000-0010-0000-0100-000001000000}" name="Prozess" dataDxfId="1207"/>
    <tableColumn id="8" xr3:uid="{00000000-0010-0000-0100-000008000000}" name="Verfahrenstyp" dataDxfId="1206"/>
    <tableColumn id="2" xr3:uid="{00000000-0010-0000-0100-000002000000}" name="Jahr" dataDxfId="1205"/>
    <tableColumn id="3" xr3:uid="{00000000-0010-0000-0100-000003000000}" name="Stromverbrauch (TWh)" dataDxfId="1204"/>
    <tableColumn id="4" xr3:uid="{00000000-0010-0000-0100-000004000000}" name="Vollbenutzungsstunden" dataDxfId="1203">
      <calculatedColumnFormula>Tabelle25[[#This Row],[durchschnittliche Auslastung]]*8760</calculatedColumnFormula>
    </tableColumn>
    <tableColumn id="9" xr3:uid="{00000000-0010-0000-0100-000009000000}" name="Nennleistung (MW)" dataDxfId="1202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201"/>
    <tableColumn id="14" xr3:uid="{00000000-0010-0000-0100-00000E000000}" name="Nennleistung max (MW)" dataDxfId="1200"/>
    <tableColumn id="10" xr3:uid="{00000000-0010-0000-0100-00000A000000}" name="durchschnittliche Auslastung" dataDxfId="1199"/>
    <tableColumn id="11" xr3:uid="{00000000-0010-0000-0100-00000B000000}" name="durchschnittliche Leistung (MW)" dataDxfId="1198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97"/>
    <tableColumn id="17" xr3:uid="{00000000-0010-0000-0100-000011000000}" name="Mindestleistung" dataDxfId="1196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95"/>
    <tableColumn id="13" xr3:uid="{00000000-0010-0000-0100-00000D000000}" name="flexible Leistung min (MW)" dataDxfId="1194"/>
    <tableColumn id="12" xr3:uid="{00000000-0010-0000-0100-00000C000000}" name="flexible Leistung max (MW)" dataDxfId="1193"/>
    <tableColumn id="7" xr3:uid="{00000000-0010-0000-0100-000007000000}" name="Quelle" dataDxfId="1192"/>
    <tableColumn id="18" xr3:uid="{00000000-0010-0000-0100-000012000000}" name="Kommentar" dataDxfId="1191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90" dataDxfId="1189" tableBorderDxfId="1188">
  <autoFilter ref="A1:AS13" xr:uid="{00000000-0009-0000-0100-00000C000000}"/>
  <tableColumns count="45">
    <tableColumn id="1" xr3:uid="{00000000-0010-0000-0700-000001000000}" name="Prozess" dataDxfId="1187"/>
    <tableColumn id="47" xr3:uid="{00000000-0010-0000-0700-00002F000000}" name="Sektorenzuordnung" dataDxfId="1186"/>
    <tableColumn id="2" xr3:uid="{00000000-0010-0000-0700-000002000000}" name="Jahr" dataDxfId="1185"/>
    <tableColumn id="52" xr3:uid="{00000000-0010-0000-0700-000034000000}" name="Lastverschiebung" dataDxfId="1184"/>
    <tableColumn id="53" xr3:uid="{00000000-0010-0000-0700-000035000000}" name="Lastverzicht" dataDxfId="1183"/>
    <tableColumn id="67" xr3:uid="{7E3C871E-20C5-4135-84BD-2810B287A8FE}" name="Lasterhöhung" dataDxfId="1182"/>
    <tableColumn id="3" xr3:uid="{00000000-0010-0000-0700-000003000000}" name="Potenzial pos. min MW" dataDxfId="1181"/>
    <tableColumn id="5" xr3:uid="{00000000-0010-0000-0700-000005000000}" name="Potenzial pos. max MW" dataDxfId="1180"/>
    <tableColumn id="71" xr3:uid="{67DA03BE-7279-49D8-8270-B2CE5E348AB5}" name="Potenzial pos. max MW Lastverschiebung" dataDxfId="1179"/>
    <tableColumn id="50" xr3:uid="{00000000-0010-0000-0700-000032000000}" name="Potenzial neg. min MW" dataDxfId="1178"/>
    <tableColumn id="6" xr3:uid="{00000000-0010-0000-0700-000006000000}" name="Potenzial neg. max MW" dataDxfId="1177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76" dataCellStyle="Prozent"/>
    <tableColumn id="70" xr3:uid="{A0775093-56D8-4011-AB3D-D2AA82C07830}" name="Vollbenutzungsstunden min" dataDxfId="1175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74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73" dataCellStyle="Prozent"/>
    <tableColumn id="65" xr3:uid="{00000000-0010-0000-0700-000041000000}" name="Durchschnittsauslastung max" dataDxfId="1172" dataCellStyle="Prozent">
      <calculatedColumnFormula>AVERAGE(5000,6000)/8760</calculatedColumnFormula>
    </tableColumn>
    <tableColumn id="44" xr3:uid="{00000000-0010-0000-0700-00002C000000}" name="Durchschnittliche Leistung MW" dataDxfId="1171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70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69"/>
    <tableColumn id="61" xr3:uid="{00000000-0010-0000-0700-00003D000000}" name="Schaltdauer pos. min (h)" dataDxfId="1168"/>
    <tableColumn id="60" xr3:uid="{00000000-0010-0000-0700-00003C000000}" name="Schaltdauer pos. max (h)" dataDxfId="1167"/>
    <tableColumn id="12" xr3:uid="{00000000-0010-0000-0700-00000C000000}" name="Schaltdauer pos. (h)" dataDxfId="1166"/>
    <tableColumn id="72" xr3:uid="{5782252A-21B2-4AF1-9AAC-0100BD811400}" name="Schaltdauer pos. (h) Lastverzicht" dataDxfId="1165"/>
    <tableColumn id="63" xr3:uid="{00000000-0010-0000-0700-00003F000000}" name="Schaltdauer neg min (h)" dataDxfId="1164"/>
    <tableColumn id="62" xr3:uid="{00000000-0010-0000-0700-00003E000000}" name="Schaltdauer neg. max (h)" dataDxfId="1163"/>
    <tableColumn id="4" xr3:uid="{00000000-0010-0000-0700-000004000000}" name="Verschiebedauer max (h)" dataDxfId="1162"/>
    <tableColumn id="15" xr3:uid="{00000000-0010-0000-0700-00000F000000}" name="Zeitverfügbarkeit?" dataDxfId="1161"/>
    <tableColumn id="40" xr3:uid="{00000000-0010-0000-0700-000028000000}" name="max. Abrufhäufigkeit pro Jahr" dataDxfId="1160"/>
    <tableColumn id="59" xr3:uid="{00000000-0010-0000-0700-00003B000000}" name="var. Kosten min. €_2018/MWh" dataDxfId="1159">
      <calculatedColumnFormula>40/Umrechnungsfaktoren!$B$10</calculatedColumnFormula>
    </tableColumn>
    <tableColumn id="58" xr3:uid="{00000000-0010-0000-0700-00003A000000}" name="var. Kosten max. €_2018/MWh" dataDxfId="1158">
      <calculatedColumnFormula>800/Umrechnungsfaktoren!$B$10</calculatedColumnFormula>
    </tableColumn>
    <tableColumn id="20" xr3:uid="{00000000-0010-0000-0700-000014000000}" name="Bemerkungen" dataDxfId="1157"/>
    <tableColumn id="55" xr3:uid="{00000000-0010-0000-0700-000037000000}" name="Fundstelle Lastverschiebung" dataDxfId="1156"/>
    <tableColumn id="54" xr3:uid="{00000000-0010-0000-0700-000036000000}" name="Fundstelle Lastverzicht" dataDxfId="1155"/>
    <tableColumn id="21" xr3:uid="{00000000-0010-0000-0700-000015000000}" name="Fundstelle Potenzial pos." dataDxfId="1154"/>
    <tableColumn id="22" xr3:uid="{00000000-0010-0000-0700-000016000000}" name="Fundstelle Potenzial neg." dataDxfId="1153"/>
    <tableColumn id="43" xr3:uid="{00000000-0010-0000-0700-00002B000000}" name="Fundstelle flexibilisierbarer Anteil" dataDxfId="1152"/>
    <tableColumn id="66" xr3:uid="{00000000-0010-0000-0700-000042000000}" name="Fundstelle Durchschnittsauslastung" dataDxfId="1151"/>
    <tableColumn id="25" xr3:uid="{00000000-0010-0000-0700-000019000000}" name="Fundstelle installierte Leistung" dataDxfId="1150"/>
    <tableColumn id="39" xr3:uid="{00000000-0010-0000-0700-000027000000}" name="Fundstelle Aktivierungsdauer" dataDxfId="1149"/>
    <tableColumn id="26" xr3:uid="{00000000-0010-0000-0700-00001A000000}" name="Fundstelle Schaltdauer" dataDxfId="1148"/>
    <tableColumn id="27" xr3:uid="{00000000-0010-0000-0700-00001B000000}" name="Fundstelle Verschiebedauer" dataDxfId="1147"/>
    <tableColumn id="29" xr3:uid="{00000000-0010-0000-0700-00001D000000}" name="Fundstelle Zeitverfügbarkeit" dataDxfId="1146"/>
    <tableColumn id="30" xr3:uid="{00000000-0010-0000-0700-00001E000000}" name="Fundstelle max. Abrufhäufigkeit" dataDxfId="1145"/>
    <tableColumn id="32" xr3:uid="{00000000-0010-0000-0700-000020000000}" name="Fundstelle var. Kosten" dataDxfId="1144"/>
    <tableColumn id="34" xr3:uid="{00000000-0010-0000-0700-000022000000}" name="Fundstelle Bemerkungen" dataDxfId="1143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42" dataDxfId="1141" tableBorderDxfId="1140">
  <autoFilter ref="A1:AB8" xr:uid="{00000000-0009-0000-0100-00001C000000}"/>
  <tableColumns count="28">
    <tableColumn id="1" xr3:uid="{00000000-0010-0000-1800-000001000000}" name="Prozess" dataDxfId="1139"/>
    <tableColumn id="47" xr3:uid="{00000000-0010-0000-1800-00002F000000}" name="Sektorenzuordnung" dataDxfId="1138"/>
    <tableColumn id="2" xr3:uid="{00000000-0010-0000-1800-000002000000}" name="Jahr" dataDxfId="1137"/>
    <tableColumn id="52" xr3:uid="{00000000-0010-0000-1800-000034000000}" name="Lastverschiebung" dataDxfId="1136"/>
    <tableColumn id="53" xr3:uid="{00000000-0010-0000-1800-000035000000}" name="Lastverzicht" dataDxfId="1135"/>
    <tableColumn id="68" xr3:uid="{BFD80C3E-C998-4C98-87FB-0CEC1922FF68}" name="Lasterhöhung" dataDxfId="1134"/>
    <tableColumn id="3" xr3:uid="{00000000-0010-0000-1800-000003000000}" name="Potenzial pos. min MW" dataDxfId="1133"/>
    <tableColumn id="38" xr3:uid="{00000000-0010-0000-1800-000026000000}" name="Potenzial pos. MW Durchschnitt" dataDxfId="1132"/>
    <tableColumn id="5" xr3:uid="{00000000-0010-0000-1800-000005000000}" name="Potenzial pos. max MW" dataDxfId="1131"/>
    <tableColumn id="50" xr3:uid="{00000000-0010-0000-1800-000032000000}" name="Potenzial neg. min MW" dataDxfId="1130"/>
    <tableColumn id="41" xr3:uid="{00000000-0010-0000-1800-000029000000}" name="Potenzial neg. MW Durchschnitt" dataDxfId="1129"/>
    <tableColumn id="6" xr3:uid="{00000000-0010-0000-1800-000006000000}" name="Potenzial neg. max MW" dataDxfId="1128"/>
    <tableColumn id="12" xr3:uid="{00000000-0010-0000-1800-00000C000000}" name="Schaltdauer pos. (h)" dataDxfId="1127"/>
    <tableColumn id="42" xr3:uid="{00000000-0010-0000-1800-00002A000000}" name="Verschiebedauer min. (h)" dataDxfId="1126"/>
    <tableColumn id="4" xr3:uid="{00000000-0010-0000-1800-000004000000}" name="Verschiebedauer max (h)" dataDxfId="1125"/>
    <tableColumn id="13" xr3:uid="{00000000-0010-0000-1800-00000D000000}" name="Verschiebedauer (h)" dataDxfId="1124"/>
    <tableColumn id="15" xr3:uid="{00000000-0010-0000-1800-00000F000000}" name="Zeitverfügbarkeit?" dataDxfId="1123"/>
    <tableColumn id="16" xr3:uid="{00000000-0010-0000-1800-000010000000}" name="max. Abrufhäufigkeit pro Woche" dataDxfId="1122">
      <calculatedColumnFormula>3*7</calculatedColumnFormula>
    </tableColumn>
    <tableColumn id="59" xr3:uid="{00000000-0010-0000-1800-00003B000000}" name="var. Kosten min. €_2018/MWh" dataDxfId="1121"/>
    <tableColumn id="58" xr3:uid="{00000000-0010-0000-1800-00003A000000}" name="var. Kosten max. €_2018/MWh" dataDxfId="1120"/>
    <tableColumn id="20" xr3:uid="{00000000-0010-0000-1800-000014000000}" name="Bemerkungen" dataDxfId="1119"/>
    <tableColumn id="55" xr3:uid="{00000000-0010-0000-1800-000037000000}" name="Fundstelle Lastverschiebung" dataDxfId="1118"/>
    <tableColumn id="21" xr3:uid="{00000000-0010-0000-1800-000015000000}" name="Fundstelle Potenzial pos." dataDxfId="1117"/>
    <tableColumn id="22" xr3:uid="{00000000-0010-0000-1800-000016000000}" name="Fundstelle Potenzial neg." dataDxfId="1116"/>
    <tableColumn id="27" xr3:uid="{00000000-0010-0000-1800-00001B000000}" name="Fundstelle Verschiebedauer" dataDxfId="1115"/>
    <tableColumn id="29" xr3:uid="{00000000-0010-0000-1800-00001D000000}" name="Fundstelle Zeitverfügbarkeit" dataDxfId="1114"/>
    <tableColumn id="30" xr3:uid="{00000000-0010-0000-1800-00001E000000}" name="Fundstelle max. Abrufhäufigkeit" dataDxfId="1113"/>
    <tableColumn id="32" xr3:uid="{00000000-0010-0000-1800-000020000000}" name="Fundstelle var. Kosten" dataDxfId="1112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11" dataDxfId="1110" tableBorderDxfId="1109">
  <autoFilter ref="A1:BX40" xr:uid="{11FA0E04-AD3F-4F3C-A80A-B460C250FC3A}"/>
  <tableColumns count="76">
    <tableColumn id="1" xr3:uid="{330BD996-3DF4-4A90-922D-88C6272D7578}" name="Prozess" dataDxfId="1108"/>
    <tableColumn id="47" xr3:uid="{7360FF1C-B3C8-480F-8FD4-DFB7A94415A1}" name="Sektorenzuordnung" dataDxfId="1107"/>
    <tableColumn id="2" xr3:uid="{9C47BB46-2B80-4A5B-8257-A95D74B26F32}" name="Jahr" dataDxfId="1106"/>
    <tableColumn id="52" xr3:uid="{C2E33395-9EE1-4F9A-8D21-534EEA8C98F2}" name="Lastverschiebung" dataDxfId="1105"/>
    <tableColumn id="53" xr3:uid="{1620E2EE-1E95-49BE-A2DC-1FD5744882DD}" name="Lastverzicht" dataDxfId="1104"/>
    <tableColumn id="71" xr3:uid="{A1AC92C0-5609-421B-BF17-6BE89143EF85}" name="Lasterhöhung" dataDxfId="1103"/>
    <tableColumn id="81" xr3:uid="{1CA549A9-64B3-4D35-81DC-BB393DDE4A4F}" name="jährliche Produktion kt MIN" dataDxfId="1102"/>
    <tableColumn id="75" xr3:uid="{01E9973C-341E-4E28-AC50-AC916F939C0C}" name="jährliche Produktion kt REF" dataDxfId="1101"/>
    <tableColumn id="82" xr3:uid="{2D1CE77F-06AB-4ECA-BD87-3CE2BDE290E1}" name="jährliche Produktion kt MAX" dataDxfId="1100"/>
    <tableColumn id="74" xr3:uid="{55CEDEF4-BB34-4E76-93DD-93CC0C389D3E}" name="spez. StV kWh/t" dataDxfId="1099"/>
    <tableColumn id="87" xr3:uid="{D7C5D6DF-3E9E-4479-AE88-9588C57C6231}" name="Anzahl Anlangen MIN (Tsd.)" dataDxfId="1098"/>
    <tableColumn id="86" xr3:uid="{FC0A952F-5E70-46DE-B339-31233B0DDD14}" name="Anzahl Anlangen REF (Tsd.)" dataDxfId="1097"/>
    <tableColumn id="85" xr3:uid="{DC8F1F72-5249-4FDF-82ED-9E1B7E71C55B}" name="Anzahl Anlangen MAX (Tsd.)" dataDxfId="1096"/>
    <tableColumn id="90" xr3:uid="{A146E8DE-84B9-41DC-AEF9-9B0B48737AE8}" name="Entwicklungsfaktor MIN (1)" dataDxfId="1095"/>
    <tableColumn id="89" xr3:uid="{44BAAD1C-A667-4129-8405-3B4848FB7D09}" name="Entwicklungsfaktor REF (1)" dataDxfId="1094"/>
    <tableColumn id="88" xr3:uid="{5098B4A4-1052-4817-BA27-162C98BC0B77}" name="Entwicklungsfaktor MAX (1)" dataDxfId="1093"/>
    <tableColumn id="83" xr3:uid="{00C18B6E-39C9-456E-AAB4-D592F9DC8E0F}" name="Stromverbrauch in TWh MIN" dataDxfId="1092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91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90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89"/>
    <tableColumn id="38" xr3:uid="{30F94A31-97C9-4179-8B51-5DC510EC1E83}" name="Potenzial pos. MW Durchschnitt" dataDxfId="1088"/>
    <tableColumn id="5" xr3:uid="{A3112E28-FC7D-4D58-B71E-6E6AD8E17C59}" name="Potenzial pos. max MW" dataDxfId="1087"/>
    <tableColumn id="99" xr3:uid="{78D427C0-111D-4733-9C4A-BF51EFCD7BB9}" name="Potenzial pos. min MW Lastverzicht" dataDxfId="1086"/>
    <tableColumn id="98" xr3:uid="{8B3F0AD7-56FD-4FFE-B068-F2BC0CBB3E4A}" name="Potenzial pos. MW Durchschnitt Lastverzicht" dataDxfId="1085"/>
    <tableColumn id="97" xr3:uid="{EC5A94EE-C17F-4ABC-B91A-C35E90983B52}" name="Potenzial pos. max MW Lastverzicht" dataDxfId="1084"/>
    <tableColumn id="37" xr3:uid="{4E9AE63F-2B90-4AE0-941C-9DCAA11AEE5A}" name="Pot. pos. MW errechnet" dataDxfId="1083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82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81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80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79"/>
    <tableColumn id="8" xr3:uid="{84C577C6-DD02-409F-815F-B95A11A8D523}" name="Mindestauslastung" dataDxfId="1078" dataCellStyle="Prozent"/>
    <tableColumn id="36" xr3:uid="{9C946CF5-66F9-4633-BF74-225B42FB82D1}" name="flexibilisierbarer Anteil" dataDxfId="1077" dataCellStyle="Prozent"/>
    <tableColumn id="76" xr3:uid="{4E37DE7E-9E87-40A0-80CF-1C549DD9856F}" name="Vollbenutzungsstunden h/a" dataDxfId="1076" dataCellStyle="Prozent"/>
    <tableColumn id="65" xr3:uid="{5C620EF5-72FC-4224-9697-807212E3DD22}" name="Durchschnittsauslastung" dataDxfId="1075" dataCellStyle="Prozent"/>
    <tableColumn id="44" xr3:uid="{0F626CD0-07E4-4B2D-A692-F5951CF6EAC0}" name="Durchschnittliche Leistung MW" dataDxfId="1074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73"/>
    <tableColumn id="12" xr3:uid="{023FE4D3-AEC6-42FE-BD6B-F64C1D0AEB7B}" name="Schaltdauer pos. (h)" dataDxfId="1072"/>
    <tableColumn id="100" xr3:uid="{1EE5B372-909C-4ACB-A1EB-77E627DC15BA}" name="Schaltdauer pos. (h) Lastverzicht" dataDxfId="1071"/>
    <tableColumn id="51" xr3:uid="{AB3BF90C-AD4E-4291-A1B5-004B897A3651}" name="Schaltdauer neg. (h)" dataDxfId="1070"/>
    <tableColumn id="13" xr3:uid="{A5BF1C84-409B-4FC0-AA7B-2C2599DD973B}" name="Verschiebedauer (h)" dataDxfId="1069"/>
    <tableColumn id="15" xr3:uid="{D073107E-FE3B-4D1D-8ED2-7683F3868CBD}" name="Zeitverfügbarkeit?" dataDxfId="1068"/>
    <tableColumn id="16" xr3:uid="{4C30F895-B88F-40AA-86B8-9A3671A3E510}" name="max. Abrufhäufigkeit pro Woche" dataDxfId="1067">
      <calculatedColumnFormula>8*7</calculatedColumnFormula>
    </tableColumn>
    <tableColumn id="40" xr3:uid="{AE8EDB87-710C-462E-B560-0B1FC869E928}" name="max. Abrufhäufigkeit pro Jahr" dataDxfId="1066"/>
    <tableColumn id="101" xr3:uid="{85480CAD-B3E6-4B39-B73E-4C3E1BCFAADC}" name="max. Abrufhäufigkeit pro Jahr Lastverzicht" dataDxfId="1065"/>
    <tableColumn id="57" xr3:uid="{7255E844-506A-4911-A4CF-29AF358AA7E8}" name="min. Investitionsausgaben €_2018/kW" dataDxfId="1064"/>
    <tableColumn id="56" xr3:uid="{EBCAB75B-49A2-4012-8BBE-124F8713F461}" name="max. Investitionsausgaben €_2018/kW" dataDxfId="1063"/>
    <tableColumn id="59" xr3:uid="{9E5364FB-AF84-4E36-889E-99B58E409873}" name="var. Kosten min. €_2018/MWh" dataDxfId="1062"/>
    <tableColumn id="58" xr3:uid="{B584FA5A-49D9-4B48-8247-83E6017A85B8}" name="var. Kosten max. €_2018/MWh" dataDxfId="1061"/>
    <tableColumn id="96" xr3:uid="{D73E3E41-7EF2-42BC-A4AF-E8E091999BED}" name="var. Kosten min. Lastverzicht €_2018/MWh" dataDxfId="1060"/>
    <tableColumn id="73" xr3:uid="{DEB250B8-F08F-497E-B603-2F6536A1DA25}" name="var. Kosten max. Lastverzicht €_2018/MWh" dataDxfId="1059"/>
    <tableColumn id="64" xr3:uid="{F28FF53E-B758-4473-8A9B-D5EBA19E2393}" name="fixe Kosten min. €_2018/kW*a" dataDxfId="1058"/>
    <tableColumn id="72" xr3:uid="{4F6D732C-A17D-43D6-8AE3-BD5784A7F882}" name="fixe Kosten max. €_2018/kW*a" dataDxfId="1057"/>
    <tableColumn id="93" xr3:uid="{DCA6D5C7-4FE9-4DC2-8F7C-11F9B66B4A4D}" name="Aktivierungskosten [€_2018/MW(h)]" dataDxfId="1056"/>
    <tableColumn id="20" xr3:uid="{898AD356-3433-4464-B6E7-CD6DF0315DCA}" name="Bemerkungen" dataDxfId="1055"/>
    <tableColumn id="95" xr3:uid="{7A9946D4-103B-45EE-B129-30040DCE29C6}" name="Bemerkungen 2" dataDxfId="1054"/>
    <tableColumn id="55" xr3:uid="{5FF7CAB9-793F-443F-9144-5EAFA4780A33}" name="Fundstelle Lastverschiebung" dataDxfId="1053"/>
    <tableColumn id="54" xr3:uid="{40F2E025-66CF-4961-B144-1B44200CEE27}" name="Fundstelle Lastverzicht" dataDxfId="1052"/>
    <tableColumn id="80" xr3:uid="{3DB32C26-F864-4EBB-997D-EF0E68C0FE8C}" name="Fundstelle Produktion" dataDxfId="1051"/>
    <tableColumn id="91" xr3:uid="{AD943CC5-E12F-4792-BD74-638B106FBA0A}" name="Fundstelle Anzahl Anlagen" dataDxfId="1050"/>
    <tableColumn id="92" xr3:uid="{2B7422F7-15B5-4254-986E-64861FDBB9C7}" name="Fundstelle Entwicklungsfaktor" dataDxfId="1049"/>
    <tableColumn id="79" xr3:uid="{A93366D9-A263-4DB9-9EAB-81C8F373AB16}" name="Fundstelle Stromverbrauch" dataDxfId="1048"/>
    <tableColumn id="78" xr3:uid="{A85675BA-DD41-4588-8EEF-2D0E2D911A73}" name="Fundstelle Vollbenutzungsstunden" dataDxfId="1047"/>
    <tableColumn id="21" xr3:uid="{60D31C67-6CE1-4C1C-88C2-896BD904BF58}" name="Fundstelle Potenzial pos." dataDxfId="1046"/>
    <tableColumn id="23" xr3:uid="{4679FC11-5617-4729-A517-0487987FE2B9}" name="Fundstelle Mindestleistung" dataDxfId="1045"/>
    <tableColumn id="43" xr3:uid="{27EF346A-70E2-44AE-94EF-21F7B5D68E5C}" name="Fundstelle flexibilisierbarer Anteil" dataDxfId="1044"/>
    <tableColumn id="66" xr3:uid="{DFD4A929-8238-4107-9C2C-116B549F6A03}" name="Fundstelle Durchschnittsauslastung" dataDxfId="1043"/>
    <tableColumn id="25" xr3:uid="{646BAD38-AEBF-42EB-A927-3871230D5C7B}" name="Fundstelle installierte Leistung" dataDxfId="1042"/>
    <tableColumn id="26" xr3:uid="{7EC7FF35-8998-4DE4-BF25-BFB8853E7EC9}" name="Fundstelle Schaltdauer" dataDxfId="1041"/>
    <tableColumn id="27" xr3:uid="{90448203-67FE-4708-A39E-E327B75983DA}" name="Fundstelle Verschiebedauer" dataDxfId="1040"/>
    <tableColumn id="29" xr3:uid="{157EA1CE-B55A-4445-9713-74F2210BAA65}" name="Fundstelle Zeitverfügbarkeit" dataDxfId="1039"/>
    <tableColumn id="30" xr3:uid="{A7C248FD-A3D3-48D8-B20B-9542C876489E}" name="Fundstelle max. Abrufhäufigkeit" dataDxfId="1038"/>
    <tableColumn id="31" xr3:uid="{AEBF4069-855E-48D8-9498-FB5BB0B32F77}" name="Fundstelle Invest" dataDxfId="1037"/>
    <tableColumn id="32" xr3:uid="{FBD5F82E-ED1F-4889-BB90-248DEEFA1DF2}" name="Fundstelle var. Kosten" dataDxfId="1036"/>
    <tableColumn id="33" xr3:uid="{A76B44E7-4AC7-41C3-BADF-9BA66793E795}" name="Fundstelle fixe Kosten" dataDxfId="1035"/>
    <tableColumn id="94" xr3:uid="{8877AA02-6EAE-483F-A3F0-BC3B7D057B66}" name="Fundstelle Aktivierungskosten" dataDxfId="1034"/>
    <tableColumn id="34" xr3:uid="{4BAEB2EE-B816-46B4-96C9-77A60E3A7D64}" name="Fundstelle Bemerkungen" dataDxfId="1033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32" dataDxfId="1031" tableBorderDxfId="1030">
  <autoFilter ref="A1:BI6" xr:uid="{00000000-0009-0000-0100-00000F000000}"/>
  <tableColumns count="61">
    <tableColumn id="1" xr3:uid="{00000000-0010-0000-0D00-000001000000}" name="Prozess" dataDxfId="1029"/>
    <tableColumn id="47" xr3:uid="{00000000-0010-0000-0D00-00002F000000}" name="Sektorenzuordnung" dataDxfId="1028"/>
    <tableColumn id="2" xr3:uid="{00000000-0010-0000-0D00-000002000000}" name="Jahr" dataDxfId="1027"/>
    <tableColumn id="52" xr3:uid="{00000000-0010-0000-0D00-000034000000}" name="Lastverschiebung" dataDxfId="1026"/>
    <tableColumn id="53" xr3:uid="{00000000-0010-0000-0D00-000035000000}" name="Lastverzicht" dataDxfId="1025"/>
    <tableColumn id="77" xr3:uid="{8AE41C03-1F02-4151-B136-B78FAAFF4B94}" name="Lasterhöhung" dataDxfId="1024"/>
    <tableColumn id="71" xr3:uid="{00000000-0010-0000-0D00-000047000000}" name="soziotech. Pot. pos. min (MW)" dataDxfId="1023"/>
    <tableColumn id="70" xr3:uid="{00000000-0010-0000-0D00-000046000000}" name="soziotech. Pot. pos. max (MW)" dataDxfId="1022"/>
    <tableColumn id="5" xr3:uid="{00000000-0010-0000-0D00-000005000000}" name="Potenzial pos. max MW Lastverzicht" dataDxfId="1021"/>
    <tableColumn id="74" xr3:uid="{00000000-0010-0000-0D00-00004A000000}" name="soziotech. Pot. neg. min (MW)" dataDxfId="1020"/>
    <tableColumn id="73" xr3:uid="{00000000-0010-0000-0D00-000049000000}" name="soziotech. Pot. neg. max (MW)" dataDxfId="1019"/>
    <tableColumn id="72" xr3:uid="{00000000-0010-0000-0D00-000048000000}" name="soziotech. Pot. neg. (MW)" dataDxfId="1018"/>
    <tableColumn id="7" xr3:uid="{00000000-0010-0000-0D00-000007000000}" name="Mindestleistung MW" dataDxfId="1017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16" dataCellStyle="Prozent"/>
    <tableColumn id="78" xr3:uid="{9FD20C5E-D9A9-45D0-84F6-9044D7CB8E47}" name="Vollbenutzungsstunden h/a" dataDxfId="1015" dataCellStyle="Prozent"/>
    <tableColumn id="79" xr3:uid="{925F433D-FBD9-4C70-880C-A02398A38F90}" name="Betriebsstunden p.a." dataDxfId="1014" dataCellStyle="Prozent"/>
    <tableColumn id="80" xr3:uid="{87D06D7F-2CE1-45A6-8DA5-7A2F6E035F47}" name="Durchschnittsauslastung im Betriebszeitraum" dataDxfId="1013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12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11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10"/>
    <tableColumn id="68" xr3:uid="{00000000-0010-0000-0D00-000044000000}" name="Aktivierungsdauer min (h)" dataDxfId="1009"/>
    <tableColumn id="67" xr3:uid="{00000000-0010-0000-0D00-000043000000}" name="Aktivierungsdauer max (h)" dataDxfId="1008"/>
    <tableColumn id="11" xr3:uid="{00000000-0010-0000-0D00-00000B000000}" name="Aktivierungsdauer (h)" dataDxfId="1007"/>
    <tableColumn id="61" xr3:uid="{00000000-0010-0000-0D00-00003D000000}" name="Schaltdauer pos. min (h)" dataDxfId="1006"/>
    <tableColumn id="60" xr3:uid="{00000000-0010-0000-0D00-00003C000000}" name="Schaltdauer pos. max (h)" dataDxfId="1005"/>
    <tableColumn id="12" xr3:uid="{00000000-0010-0000-0D00-00000C000000}" name="Schaltdauer pos. (h)" dataDxfId="1004"/>
    <tableColumn id="82" xr3:uid="{D4D42EB5-9E6D-47EE-83DB-A24E7380222D}" name="Schaltdauer pos. (h) Lastverzicht" dataDxfId="1003"/>
    <tableColumn id="63" xr3:uid="{00000000-0010-0000-0D00-00003F000000}" name="Schaltdauer neg min (h)" dataDxfId="1002"/>
    <tableColumn id="62" xr3:uid="{00000000-0010-0000-0D00-00003E000000}" name="Schaltdauer neg. max (h)" dataDxfId="1001"/>
    <tableColumn id="51" xr3:uid="{00000000-0010-0000-0D00-000033000000}" name="Schaltdauer neg. (h)" dataDxfId="1000"/>
    <tableColumn id="15" xr3:uid="{00000000-0010-0000-0D00-00000F000000}" name="Zeitverfügbarkeit?" dataDxfId="999"/>
    <tableColumn id="40" xr3:uid="{00000000-0010-0000-0D00-000028000000}" name="max. Abrufhäufigkeit pro Jahr" dataDxfId="998"/>
    <tableColumn id="57" xr3:uid="{00000000-0010-0000-0D00-000039000000}" name="min. Investitionsausgaben €_2018/kW" dataDxfId="997"/>
    <tableColumn id="56" xr3:uid="{00000000-0010-0000-0D00-000038000000}" name="max. Investitionsausgaben €_2018/kW" dataDxfId="996">
      <calculatedColumnFormula>10101/10^3*Umrechnungsfaktoren!$B$15/Umrechnungsfaktoren!$B$12</calculatedColumnFormula>
    </tableColumn>
    <tableColumn id="17" xr3:uid="{00000000-0010-0000-0D00-000011000000}" name="Investitionsausgaben €_2018/kW" dataDxfId="995">
      <calculatedColumnFormula>4387/10^3*Umrechnungsfaktoren!$B$15/Umrechnungsfaktoren!$B$12</calculatedColumnFormula>
    </tableColumn>
    <tableColumn id="59" xr3:uid="{00000000-0010-0000-0D00-00003B000000}" name="var. Kosten min. €_2018/MWh" dataDxfId="994"/>
    <tableColumn id="81" xr3:uid="{A1042AC9-A968-4730-9269-47811CE354A8}" name="var. Kosten Lastverzicht €_2018/MWh" dataDxfId="993">
      <calculatedColumnFormula>316*Umrechnungsfaktoren!$B$15/Umrechnungsfaktoren!$B$12</calculatedColumnFormula>
    </tableColumn>
    <tableColumn id="64" xr3:uid="{00000000-0010-0000-0D00-000040000000}" name="fixe Kosten min. €_2018/kW*a" dataDxfId="992">
      <calculatedColumnFormula>0/10^3*Umrechnungsfaktoren!$B$15/Umrechnungsfaktoren!$B$12</calculatedColumnFormula>
    </tableColumn>
    <tableColumn id="75" xr3:uid="{00000000-0010-0000-0D00-00004B000000}" name="fixe Kosten max €_2018/kW*a" dataDxfId="991"/>
    <tableColumn id="19" xr3:uid="{00000000-0010-0000-0D00-000013000000}" name="fixe Kosten €_2018/kW*a" dataDxfId="990">
      <calculatedColumnFormula>869/10^3*Umrechnungsfaktoren!$B$15/Umrechnungsfaktoren!$B$12</calculatedColumnFormula>
    </tableColumn>
    <tableColumn id="20" xr3:uid="{00000000-0010-0000-0D00-000014000000}" name="Bemerkungen" dataDxfId="989"/>
    <tableColumn id="69" xr3:uid="{00000000-0010-0000-0D00-000045000000}" name="Ausblick Zukunft" dataDxfId="988"/>
    <tableColumn id="55" xr3:uid="{00000000-0010-0000-0D00-000037000000}" name="Fundstelle Lastverschiebung" dataDxfId="987"/>
    <tableColumn id="54" xr3:uid="{00000000-0010-0000-0D00-000036000000}" name="Fundstelle Lastverzicht" dataDxfId="986"/>
    <tableColumn id="21" xr3:uid="{00000000-0010-0000-0D00-000015000000}" name="Fundstelle Potenzial pos." dataDxfId="985"/>
    <tableColumn id="22" xr3:uid="{00000000-0010-0000-0D00-000016000000}" name="Fundstelle Potenzial neg." dataDxfId="984"/>
    <tableColumn id="23" xr3:uid="{00000000-0010-0000-0D00-000017000000}" name="Fundstelle Mindestleistung" dataDxfId="983"/>
    <tableColumn id="66" xr3:uid="{00000000-0010-0000-0D00-000042000000}" name="Fundstelle Durchschnittsauslastung" dataDxfId="982"/>
    <tableColumn id="45" xr3:uid="{00000000-0010-0000-0D00-00002D000000}" name="Fundstelle durchschnittliche Leistung" dataDxfId="981"/>
    <tableColumn id="25" xr3:uid="{00000000-0010-0000-0D00-000019000000}" name="Fundstelle installierte Leistung" dataDxfId="980"/>
    <tableColumn id="39" xr3:uid="{00000000-0010-0000-0D00-000027000000}" name="Fundstelle Aktivierungsdauer" dataDxfId="979"/>
    <tableColumn id="26" xr3:uid="{00000000-0010-0000-0D00-00001A000000}" name="Fundstelle Schaltdauer" dataDxfId="978"/>
    <tableColumn id="29" xr3:uid="{00000000-0010-0000-0D00-00001D000000}" name="Fundstelle Zeitverfügbarkeit" dataDxfId="977"/>
    <tableColumn id="30" xr3:uid="{00000000-0010-0000-0D00-00001E000000}" name="Fundstelle max. Abrufhäufigkeit" dataDxfId="976"/>
    <tableColumn id="31" xr3:uid="{00000000-0010-0000-0D00-00001F000000}" name="Fundstelle Invest" dataDxfId="975"/>
    <tableColumn id="32" xr3:uid="{00000000-0010-0000-0D00-000020000000}" name="Fundstelle var. Kosten" dataDxfId="974"/>
    <tableColumn id="33" xr3:uid="{00000000-0010-0000-0D00-000021000000}" name="Fundstelle fixe Kosten" dataDxfId="973"/>
    <tableColumn id="49" xr3:uid="{00000000-0010-0000-0D00-000031000000}" name="Fundstelle Investition je Anschlusspunkt" dataDxfId="972"/>
    <tableColumn id="34" xr3:uid="{00000000-0010-0000-0D00-000022000000}" name="Fundstelle Bemerkungen" dataDxfId="971"/>
    <tableColumn id="76" xr3:uid="{00000000-0010-0000-0D00-00004C000000}" name="Fundstelle Ausblick" dataDxfId="970"/>
    <tableColumn id="35" xr3:uid="{00000000-0010-0000-0D00-000023000000}" name="eigene Anmerkung" dataDxfId="969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68" dataDxfId="967" tableBorderDxfId="966">
  <autoFilter ref="A1:S7" xr:uid="{00000000-0009-0000-0100-00001D000000}"/>
  <tableColumns count="19">
    <tableColumn id="1" xr3:uid="{00000000-0010-0000-1900-000001000000}" name="Prozess" dataDxfId="965"/>
    <tableColumn id="47" xr3:uid="{00000000-0010-0000-1900-00002F000000}" name="Sektorenzuordnung" dataDxfId="964"/>
    <tableColumn id="2" xr3:uid="{00000000-0010-0000-1900-000002000000}" name="Jahr" dataDxfId="963"/>
    <tableColumn id="52" xr3:uid="{00000000-0010-0000-1900-000034000000}" name="Lastverschiebung" dataDxfId="962"/>
    <tableColumn id="53" xr3:uid="{00000000-0010-0000-1900-000035000000}" name="Lastverzicht" dataDxfId="961"/>
    <tableColumn id="69" xr3:uid="{5699CFC7-3A38-4AF2-B262-AFAF175FCD49}" name="Lasterhöhung" dataDxfId="960"/>
    <tableColumn id="68" xr3:uid="{C3310578-7DCB-41E8-ADBB-B2A6C2FC6147}" name="Stromverbrauch in TWh" dataDxfId="959"/>
    <tableColumn id="3" xr3:uid="{00000000-0010-0000-1900-000003000000}" name="Potenzial pos. min MW" dataDxfId="958"/>
    <tableColumn id="5" xr3:uid="{00000000-0010-0000-1900-000005000000}" name="Potenzial pos. max MW" dataDxfId="957"/>
    <tableColumn id="50" xr3:uid="{00000000-0010-0000-1900-000032000000}" name="Potenzial neg. min MW" dataDxfId="956">
      <calculatedColumnFormula>44+29</calculatedColumnFormula>
    </tableColumn>
    <tableColumn id="6" xr3:uid="{00000000-0010-0000-1900-000006000000}" name="Potenzial neg. max MW" dataDxfId="955">
      <calculatedColumnFormula>197+190</calculatedColumnFormula>
    </tableColumn>
    <tableColumn id="61" xr3:uid="{00000000-0010-0000-1900-00003D000000}" name="Schaltdauer pos. min (h)" dataDxfId="954"/>
    <tableColumn id="60" xr3:uid="{00000000-0010-0000-1900-00003C000000}" name="Schaltdauer pos. max (h)" dataDxfId="953"/>
    <tableColumn id="15" xr3:uid="{00000000-0010-0000-1900-00000F000000}" name="Zeitverfügbarkeit?" dataDxfId="952"/>
    <tableColumn id="55" xr3:uid="{00000000-0010-0000-1900-000037000000}" name="Fundstelle Lastverschiebung" dataDxfId="951"/>
    <tableColumn id="21" xr3:uid="{00000000-0010-0000-1900-000015000000}" name="Fundstelle Potenzial pos." dataDxfId="950"/>
    <tableColumn id="22" xr3:uid="{00000000-0010-0000-1900-000016000000}" name="Fundstelle Potenzial neg." dataDxfId="949"/>
    <tableColumn id="26" xr3:uid="{00000000-0010-0000-1900-00001A000000}" name="Fundstelle Schaltdauer" dataDxfId="948"/>
    <tableColumn id="29" xr3:uid="{00000000-0010-0000-1900-00001D000000}" name="Fundstelle Zeitverfügbarkeit" dataDxfId="947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46" dataDxfId="945" tableBorderDxfId="944">
  <autoFilter ref="A1:BB45" xr:uid="{00000000-0009-0000-0100-000008000000}"/>
  <tableColumns count="54">
    <tableColumn id="1" xr3:uid="{00000000-0010-0000-0200-000001000000}" name="Prozess" dataDxfId="943"/>
    <tableColumn id="47" xr3:uid="{00000000-0010-0000-0200-00002F000000}" name="Sektorenzuordnung" dataDxfId="942"/>
    <tableColumn id="2" xr3:uid="{00000000-0010-0000-0200-000002000000}" name="Jahr" dataDxfId="941"/>
    <tableColumn id="52" xr3:uid="{00000000-0010-0000-0200-000034000000}" name="Lastverschiebung" dataDxfId="940"/>
    <tableColumn id="53" xr3:uid="{00000000-0010-0000-0200-000035000000}" name="Lastverzicht" dataDxfId="939"/>
    <tableColumn id="65" xr3:uid="{01A49C9E-5CCD-4A95-B6BA-9289767BCF33}" name="Lasterhöhung" dataDxfId="938"/>
    <tableColumn id="38" xr3:uid="{00000000-0010-0000-0200-000026000000}" name="Potenzial pos. MW Durchschnitt" dataDxfId="937"/>
    <tableColumn id="5" xr3:uid="{00000000-0010-0000-0200-000005000000}" name="Potenzial pos. max MW" dataDxfId="936"/>
    <tableColumn id="67" xr3:uid="{C28A0071-673B-4973-A656-756516FDB1AC}" name="Potenzial pos. max MW Lastverzicht" dataDxfId="935"/>
    <tableColumn id="37" xr3:uid="{00000000-0010-0000-0200-000025000000}" name="ausgewiesenes Pot. pos. MW (falls abweichend)" dataDxfId="934"/>
    <tableColumn id="41" xr3:uid="{00000000-0010-0000-0200-000029000000}" name="Potenzial neg. MW Durchschnitt" dataDxfId="933"/>
    <tableColumn id="6" xr3:uid="{00000000-0010-0000-0200-000006000000}" name="Potenzial neg. max MW" dataDxfId="932"/>
    <tableColumn id="66" xr3:uid="{27719410-D0A9-4C52-BFB6-CDC339A61A1E}" name="flexibilisierbarer Anteil min" dataDxfId="931" dataCellStyle="Prozent"/>
    <tableColumn id="36" xr3:uid="{00000000-0010-0000-0200-000024000000}" name="flexibilisierbarer Anteil an installierter Leistung" dataDxfId="930" dataCellStyle="Prozent"/>
    <tableColumn id="10" xr3:uid="{00000000-0010-0000-0200-00000A000000}" name="installierte Leistung MW" dataDxfId="929"/>
    <tableColumn id="11" xr3:uid="{00000000-0010-0000-0200-00000B000000}" name="Aktivierungsdauer (h)" dataDxfId="928">
      <calculatedColumnFormula>7.5/60</calculatedColumnFormula>
    </tableColumn>
    <tableColumn id="61" xr3:uid="{00000000-0010-0000-0200-00003D000000}" name="Schaltdauer pos. min (h)" dataDxfId="927"/>
    <tableColumn id="60" xr3:uid="{00000000-0010-0000-0200-00003C000000}" name="Schaltdauer pos. max (h)" dataDxfId="926"/>
    <tableColumn id="12" xr3:uid="{00000000-0010-0000-0200-00000C000000}" name="Schaltdauer pos. (h)" dataDxfId="925"/>
    <tableColumn id="70" xr3:uid="{329A6B05-D931-44C1-91AD-97F23AA9C1A2}" name="Schaltdauer pos. min (h) Lastverzicht" dataDxfId="924"/>
    <tableColumn id="69" xr3:uid="{FE9C188D-32F6-404A-A7A6-CF047C81A609}" name="Schaltdauer pos. max (h) Lastverzicht" dataDxfId="923"/>
    <tableColumn id="63" xr3:uid="{00000000-0010-0000-0200-00003F000000}" name="Schaltdauer neg min (h)" dataDxfId="922"/>
    <tableColumn id="62" xr3:uid="{00000000-0010-0000-0200-00003E000000}" name="Schaltdauer neg. max (h)" dataDxfId="921"/>
    <tableColumn id="51" xr3:uid="{00000000-0010-0000-0200-000033000000}" name="Schaltdauer neg. (h)" dataDxfId="920"/>
    <tableColumn id="42" xr3:uid="{00000000-0010-0000-0200-00002A000000}" name="Verschiebedauer min. (h)" dataDxfId="919"/>
    <tableColumn id="4" xr3:uid="{00000000-0010-0000-0200-000004000000}" name="Verschiebedauer max (h)" dataDxfId="918"/>
    <tableColumn id="13" xr3:uid="{00000000-0010-0000-0200-00000D000000}" name="Verschiebedauer (h)" dataDxfId="917"/>
    <tableColumn id="15" xr3:uid="{00000000-0010-0000-0200-00000F000000}" name="Zeitverfügbarkeit?" dataDxfId="916"/>
    <tableColumn id="40" xr3:uid="{00000000-0010-0000-0200-000028000000}" name="max. Abrufhäufigkeit pro Jahr" dataDxfId="915"/>
    <tableColumn id="57" xr3:uid="{00000000-0010-0000-0200-000039000000}" name="min. Investitionsausgaben €_2018/kW" dataDxfId="914"/>
    <tableColumn id="56" xr3:uid="{00000000-0010-0000-0200-000038000000}" name="max. Investitionsausgaben €_2018/kW" dataDxfId="913"/>
    <tableColumn id="17" xr3:uid="{00000000-0010-0000-0200-000011000000}" name="Investitionsausgaben €_2018/kW" dataDxfId="912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11"/>
    <tableColumn id="58" xr3:uid="{00000000-0010-0000-0200-00003A000000}" name="var. Kosten max. Lastverschiebung €_2018/MWh" dataDxfId="910"/>
    <tableColumn id="18" xr3:uid="{00000000-0010-0000-0200-000012000000}" name="variable Kosten €_2018/MWh" dataDxfId="909">
      <calculatedColumnFormula>1*Umrechnungsfaktoren!$B$15/Umrechnungsfaktoren!$B$7</calculatedColumnFormula>
    </tableColumn>
    <tableColumn id="64" xr3:uid="{00000000-0010-0000-0200-000040000000}" name="fixe Kosten min. €_2018/kW*a" dataDxfId="908"/>
    <tableColumn id="19" xr3:uid="{00000000-0010-0000-0200-000013000000}" name="fixe Kosten €_2018/kW*a" dataDxfId="907">
      <calculatedColumnFormula>1*Umrechnungsfaktoren!$B$15/Umrechnungsfaktoren!$B$7</calculatedColumnFormula>
    </tableColumn>
    <tableColumn id="20" xr3:uid="{00000000-0010-0000-0200-000014000000}" name="Bemerkungen" dataDxfId="906"/>
    <tableColumn id="55" xr3:uid="{00000000-0010-0000-0200-000037000000}" name="Fundstelle Lastverschiebung" dataDxfId="905"/>
    <tableColumn id="54" xr3:uid="{00000000-0010-0000-0200-000036000000}" name="Fundstelle Lastverzicht" dataDxfId="904"/>
    <tableColumn id="21" xr3:uid="{00000000-0010-0000-0200-000015000000}" name="Fundstelle Potenzial pos." dataDxfId="903"/>
    <tableColumn id="22" xr3:uid="{00000000-0010-0000-0200-000016000000}" name="Fundstelle Potenzial neg." dataDxfId="902"/>
    <tableColumn id="43" xr3:uid="{00000000-0010-0000-0200-00002B000000}" name="Fundstelle flexibilisierbarer Anteil" dataDxfId="901"/>
    <tableColumn id="25" xr3:uid="{00000000-0010-0000-0200-000019000000}" name="Fundstelle installierte Leistung" dataDxfId="900"/>
    <tableColumn id="39" xr3:uid="{00000000-0010-0000-0200-000027000000}" name="Fundstelle Aktivierungsdauer" dataDxfId="899"/>
    <tableColumn id="26" xr3:uid="{00000000-0010-0000-0200-00001A000000}" name="Fundstelle Schaltdauer" dataDxfId="898"/>
    <tableColumn id="27" xr3:uid="{00000000-0010-0000-0200-00001B000000}" name="Fundstelle Verschiebedauer" dataDxfId="897"/>
    <tableColumn id="29" xr3:uid="{00000000-0010-0000-0200-00001D000000}" name="Fundstelle Zeitverfügbarkeit" dataDxfId="896"/>
    <tableColumn id="30" xr3:uid="{00000000-0010-0000-0200-00001E000000}" name="Fundstelle max. Abrufhäufigkeit" dataDxfId="895"/>
    <tableColumn id="31" xr3:uid="{00000000-0010-0000-0200-00001F000000}" name="Fundstelle Invest" dataDxfId="894"/>
    <tableColumn id="32" xr3:uid="{00000000-0010-0000-0200-000020000000}" name="Fundstelle var. Kosten" dataDxfId="893"/>
    <tableColumn id="33" xr3:uid="{00000000-0010-0000-0200-000021000000}" name="Fundstelle fixe Kosten" dataDxfId="892"/>
    <tableColumn id="34" xr3:uid="{00000000-0010-0000-0200-000022000000}" name="Fundstelle Bemerkungen" dataDxfId="891"/>
    <tableColumn id="35" xr3:uid="{00000000-0010-0000-0200-000023000000}" name="eigene Anmerkung" dataDxfId="890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89" dataDxfId="888">
  <autoFilter ref="A1:D8" xr:uid="{00000000-0009-0000-0100-000003000000}"/>
  <tableColumns count="4">
    <tableColumn id="1" xr3:uid="{00000000-0010-0000-0300-000001000000}" name="Industrieprozess" totalsRowLabel="Summe" dataDxfId="887" totalsRowDxfId="886"/>
    <tableColumn id="3" xr3:uid="{00000000-0010-0000-0300-000003000000}" name="Spezifizierung" dataDxfId="885" totalsRowDxfId="884"/>
    <tableColumn id="2" xr3:uid="{00000000-0010-0000-0300-000002000000}" name="Werte pos. Potenzial aus Tabelle (S. 425) in MW" totalsRowFunction="sum" dataDxfId="883" totalsRowDxfId="882"/>
    <tableColumn id="4" xr3:uid="{00000000-0010-0000-0300-000004000000}" name="Werte pos. Potenzial aus Tabelle (S. 525) in MW" totalsRowFunction="sum" dataDxfId="881" totalsRowDxfId="880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79" dataDxfId="878" tableBorderDxfId="877">
  <autoFilter ref="A1:AQ11" xr:uid="{00000000-0009-0000-0100-000006000000}"/>
  <tableColumns count="43">
    <tableColumn id="1" xr3:uid="{00000000-0010-0000-0500-000001000000}" name="Prozess" dataDxfId="876"/>
    <tableColumn id="47" xr3:uid="{00000000-0010-0000-0500-00002F000000}" name="Sektorenzuordnung" dataDxfId="875"/>
    <tableColumn id="2" xr3:uid="{00000000-0010-0000-0500-000002000000}" name="Jahr" dataDxfId="874"/>
    <tableColumn id="52" xr3:uid="{00000000-0010-0000-0500-000034000000}" name="Lastverschiebung" dataDxfId="873"/>
    <tableColumn id="53" xr3:uid="{00000000-0010-0000-0500-000035000000}" name="Lastverzicht" dataDxfId="872"/>
    <tableColumn id="67" xr3:uid="{FA08C4CE-FFC8-41A5-870D-C7D7670D735C}" name="Lasterhöhung" dataDxfId="871"/>
    <tableColumn id="38" xr3:uid="{00000000-0010-0000-0500-000026000000}" name="Potenzial pos. MW Durchschnitt" dataDxfId="870"/>
    <tableColumn id="5" xr3:uid="{00000000-0010-0000-0500-000005000000}" name="Potenzial pos. max MW" dataDxfId="869"/>
    <tableColumn id="69" xr3:uid="{26D9287D-BEEB-4694-BF97-1F2C96F62615}" name="Potenzial pos. max MW Lastverzicht" dataDxfId="868"/>
    <tableColumn id="41" xr3:uid="{00000000-0010-0000-0500-000029000000}" name="Potenzial neg. MW Durchschnitt" dataDxfId="867"/>
    <tableColumn id="8" xr3:uid="{00000000-0010-0000-0500-000008000000}" name="Mindestauslastung" dataDxfId="866" dataCellStyle="Prozent"/>
    <tableColumn id="36" xr3:uid="{00000000-0010-0000-0500-000024000000}" name="flexibilisierbarer Anteil an installierter Leistung" dataDxfId="865" dataCellStyle="Prozent"/>
    <tableColumn id="65" xr3:uid="{00000000-0010-0000-0500-000041000000}" name="Durchschnittsauslastung" dataDxfId="864" dataCellStyle="Prozent"/>
    <tableColumn id="44" xr3:uid="{00000000-0010-0000-0500-00002C000000}" name="Durchschnittliche Leistung MW" dataDxfId="863" dataCellStyle="Prozent"/>
    <tableColumn id="46" xr3:uid="{00000000-0010-0000-0500-00002E000000}" name="Maximalauslastung" dataDxfId="862" dataCellStyle="Prozent"/>
    <tableColumn id="10" xr3:uid="{00000000-0010-0000-0500-00000A000000}" name="installierte Leistung MW" dataDxfId="861"/>
    <tableColumn id="11" xr3:uid="{00000000-0010-0000-0500-00000B000000}" name="Aktivierungsdauer (h)" dataDxfId="860">
      <calculatedColumnFormula>7.5/60</calculatedColumnFormula>
    </tableColumn>
    <tableColumn id="70" xr3:uid="{39D052D7-EC80-4268-8669-5DAE0541F34D}" name="Schaltdauer pos. (h) Lastverzicht" dataDxfId="859"/>
    <tableColumn id="42" xr3:uid="{00000000-0010-0000-0500-00002A000000}" name="Verschiebedauer min. (h)" dataDxfId="858"/>
    <tableColumn id="57" xr3:uid="{00000000-0010-0000-0500-000039000000}" name="min. Investitionsausgaben €_2018/kW" dataDxfId="857">
      <calculatedColumnFormula>15*Umrechnungsfaktoren!$B$15/Umrechnungsfaktoren!$B$7</calculatedColumnFormula>
    </tableColumn>
    <tableColumn id="56" xr3:uid="{00000000-0010-0000-0500-000038000000}" name="max. Investitionsausgaben €_2018/kW" dataDxfId="856">
      <calculatedColumnFormula>18*Umrechnungsfaktoren!$B$15/Umrechnungsfaktoren!$B$7</calculatedColumnFormula>
    </tableColumn>
    <tableColumn id="17" xr3:uid="{00000000-0010-0000-0500-000011000000}" name="Investitionsausgaben €_2018/kW" dataDxfId="855">
      <calculatedColumnFormula>1*Umrechnungsfaktoren!$B$15/Umrechnungsfaktoren!$B$7</calculatedColumnFormula>
    </tableColumn>
    <tableColumn id="59" xr3:uid="{00000000-0010-0000-0500-00003B000000}" name="var. Kosten min. Lastverzicht €_2018/MWh" dataDxfId="854">
      <calculatedColumnFormula>500*Umrechnungsfaktoren!$B$15/Umrechnungsfaktoren!$B$7</calculatedColumnFormula>
    </tableColumn>
    <tableColumn id="58" xr3:uid="{00000000-0010-0000-0500-00003A000000}" name="var. Kosten max. Lastverzicht €_2018/MWh" dataDxfId="853">
      <calculatedColumnFormula>1500*Umrechnungsfaktoren!$B$15/Umrechnungsfaktoren!$B$7</calculatedColumnFormula>
    </tableColumn>
    <tableColumn id="68" xr3:uid="{C9E11D93-8CB1-45AF-8EF5-B6D7822B689E}" name="variable Kosten €_2018/MWh" dataDxfId="852">
      <calculatedColumnFormula>10*Umrechnungsfaktoren!$B$15/Umrechnungsfaktoren!$B$7</calculatedColumnFormula>
    </tableColumn>
    <tableColumn id="18" xr3:uid="{00000000-0010-0000-0500-000012000000}" name="variable Kosten Lastverzicht €_2018/MWh" dataDxfId="851">
      <calculatedColumnFormula>100*Umrechnungsfaktoren!$B$15/Umrechnungsfaktoren!$B$7</calculatedColumnFormula>
    </tableColumn>
    <tableColumn id="64" xr3:uid="{00000000-0010-0000-0500-000040000000}" name="fixe Kosten min. €_2018/kW*a" dataDxfId="850">
      <calculatedColumnFormula>0*Umrechnungsfaktoren!$B$15/Umrechnungsfaktoren!$B$7</calculatedColumnFormula>
    </tableColumn>
    <tableColumn id="20" xr3:uid="{00000000-0010-0000-0500-000014000000}" name="Bemerkungen" dataDxfId="849"/>
    <tableColumn id="55" xr3:uid="{00000000-0010-0000-0500-000037000000}" name="Fundstelle Lastverschiebung" dataDxfId="848"/>
    <tableColumn id="54" xr3:uid="{00000000-0010-0000-0500-000036000000}" name="Fundstelle Lastverzicht" dataDxfId="847"/>
    <tableColumn id="21" xr3:uid="{00000000-0010-0000-0500-000015000000}" name="Fundstelle Potenzial pos." dataDxfId="846"/>
    <tableColumn id="22" xr3:uid="{00000000-0010-0000-0500-000016000000}" name="Fundstelle Potenzial neg." dataDxfId="845"/>
    <tableColumn id="23" xr3:uid="{00000000-0010-0000-0500-000017000000}" name="Fundstelle Mindestleistung" dataDxfId="844"/>
    <tableColumn id="43" xr3:uid="{00000000-0010-0000-0500-00002B000000}" name="Fundstelle flexibilisierbarer Anteil" dataDxfId="843"/>
    <tableColumn id="66" xr3:uid="{00000000-0010-0000-0500-000042000000}" name="Fundstelle Durchschnittsauslastung" dataDxfId="842"/>
    <tableColumn id="24" xr3:uid="{00000000-0010-0000-0500-000018000000}" name="Fundstelle Maximalleistung" dataDxfId="841"/>
    <tableColumn id="25" xr3:uid="{00000000-0010-0000-0500-000019000000}" name="Fundstelle installierte Leistung" dataDxfId="840"/>
    <tableColumn id="39" xr3:uid="{00000000-0010-0000-0500-000027000000}" name="Fundstelle Aktivierungsdauer" dataDxfId="839"/>
    <tableColumn id="26" xr3:uid="{00000000-0010-0000-0500-00001A000000}" name="Fundstelle Schaltdauer" dataDxfId="838"/>
    <tableColumn id="27" xr3:uid="{00000000-0010-0000-0500-00001B000000}" name="Fundstelle Verschiebedauer" dataDxfId="837"/>
    <tableColumn id="31" xr3:uid="{00000000-0010-0000-0500-00001F000000}" name="Fundstelle Invest" dataDxfId="836"/>
    <tableColumn id="32" xr3:uid="{00000000-0010-0000-0500-000020000000}" name="Fundstelle var. Kosten" dataDxfId="835"/>
    <tableColumn id="33" xr3:uid="{00000000-0010-0000-0500-000021000000}" name="Fundstelle fixe Kosten" dataDxfId="834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33" dataDxfId="832" tableBorderDxfId="831">
  <autoFilter ref="A1:BN64" xr:uid="{00000000-0009-0000-0100-000012000000}"/>
  <tableColumns count="66">
    <tableColumn id="1" xr3:uid="{00000000-0010-0000-0F00-000001000000}" name="Prozess" dataDxfId="830"/>
    <tableColumn id="47" xr3:uid="{00000000-0010-0000-0F00-00002F000000}" name="Sektorenzuordnung" dataDxfId="829"/>
    <tableColumn id="2" xr3:uid="{00000000-0010-0000-0F00-000002000000}" name="Jahr" dataDxfId="828"/>
    <tableColumn id="52" xr3:uid="{00000000-0010-0000-0F00-000034000000}" name="Lastverschiebung" dataDxfId="827"/>
    <tableColumn id="53" xr3:uid="{00000000-0010-0000-0F00-000035000000}" name="Lastverzicht" dataDxfId="826"/>
    <tableColumn id="73" xr3:uid="{366B448B-5578-4AD3-946A-78C89BAD4435}" name="Lasterhöhung" dataDxfId="825"/>
    <tableColumn id="69" xr3:uid="{00000000-0010-0000-0F00-000045000000}" name="Stromverbrauch von TWh" dataDxfId="824"/>
    <tableColumn id="68" xr3:uid="{00000000-0010-0000-0F00-000044000000}" name="Stromverbrauch bis TWh" dataDxfId="823"/>
    <tableColumn id="67" xr3:uid="{00000000-0010-0000-0F00-000043000000}" name="Stromverbrauch in TWh" dataDxfId="822"/>
    <tableColumn id="3" xr3:uid="{00000000-0010-0000-0F00-000003000000}" name="Potenzial pos. min MW" dataDxfId="821"/>
    <tableColumn id="72" xr3:uid="{00000000-0010-0000-0F00-000048000000}" name="Potenzial pos. min wärmster Tag MW" dataDxfId="820"/>
    <tableColumn id="5" xr3:uid="{00000000-0010-0000-0F00-000005000000}" name="Potenzial pos. max MW" dataDxfId="819"/>
    <tableColumn id="83" xr3:uid="{00000000-0010-0000-0F00-000053000000}" name="Potenzial pos. max MW Lastverzicht" dataDxfId="818"/>
    <tableColumn id="74" xr3:uid="{00000000-0010-0000-0F00-00004A000000}" name="Potenzial pos. max wärmster Tag MW" dataDxfId="817"/>
    <tableColumn id="50" xr3:uid="{00000000-0010-0000-0F00-000032000000}" name="Potenzial neg. min MW" dataDxfId="816"/>
    <tableColumn id="75" xr3:uid="{00000000-0010-0000-0F00-00004B000000}" name="Potenzial neg. min wärmster Tag MW" dataDxfId="815"/>
    <tableColumn id="6" xr3:uid="{00000000-0010-0000-0F00-000006000000}" name="Potenzial neg. max MW" dataDxfId="814"/>
    <tableColumn id="76" xr3:uid="{00000000-0010-0000-0F00-00004C000000}" name="Potenzial neg. max wärmster Tag MW" dataDxfId="813"/>
    <tableColumn id="36" xr3:uid="{00000000-0010-0000-0F00-000024000000}" name="flexibilisierbarer Anteil" dataDxfId="812" dataCellStyle="Prozent"/>
    <tableColumn id="65" xr3:uid="{00000000-0010-0000-0F00-000041000000}" name="Durchschnittsauslastung" dataDxfId="811" dataCellStyle="Prozent">
      <calculatedColumnFormula>600/8760</calculatedColumnFormula>
    </tableColumn>
    <tableColumn id="79" xr3:uid="{00000000-0010-0000-0F00-00004F000000}" name="Betriebsstunden p.a." dataDxfId="810" dataCellStyle="Prozent"/>
    <tableColumn id="44" xr3:uid="{00000000-0010-0000-0F00-00002C000000}" name="Durchschnittliche Leistung MW" dataDxfId="809" dataCellStyle="Prozent"/>
    <tableColumn id="77" xr3:uid="{00000000-0010-0000-0F00-00004D000000}" name="Wirkungsgrad (%)" dataDxfId="808" dataCellStyle="Prozent"/>
    <tableColumn id="11" xr3:uid="{00000000-0010-0000-0F00-00000B000000}" name="Aktivierungsdauer (h)" dataDxfId="807">
      <calculatedColumnFormula>5/60</calculatedColumnFormula>
    </tableColumn>
    <tableColumn id="61" xr3:uid="{00000000-0010-0000-0F00-00003D000000}" name="Schaltdauer pos. min (h)" dataDxfId="806"/>
    <tableColumn id="60" xr3:uid="{00000000-0010-0000-0F00-00003C000000}" name="Schaltdauer pos. max (h)" dataDxfId="805"/>
    <tableColumn id="12" xr3:uid="{00000000-0010-0000-0F00-00000C000000}" name="Schaltdauer pos. (h)" dataDxfId="804"/>
    <tableColumn id="85" xr3:uid="{EEC62F72-53E0-41CA-BEC2-68E0E53F4490}" name="Schaltdauer pos. min (h) Lastverzicht" dataDxfId="803"/>
    <tableColumn id="84" xr3:uid="{BC25BCEB-C414-4481-9949-83A7EBFE638F}" name="Schaltdauer pos. (h) Lastverzicht" dataDxfId="802"/>
    <tableColumn id="63" xr3:uid="{00000000-0010-0000-0F00-00003F000000}" name="Schaltdauer neg min (h)" dataDxfId="801"/>
    <tableColumn id="62" xr3:uid="{00000000-0010-0000-0F00-00003E000000}" name="Schaltdauer neg. max (h)" dataDxfId="800"/>
    <tableColumn id="51" xr3:uid="{00000000-0010-0000-0F00-000033000000}" name="Schaltdauer neg. (h)" dataDxfId="799"/>
    <tableColumn id="42" xr3:uid="{00000000-0010-0000-0F00-00002A000000}" name="Verschiebedauer min. (h)" dataDxfId="798"/>
    <tableColumn id="4" xr3:uid="{00000000-0010-0000-0F00-000004000000}" name="Verschiebedauer max (h)" dataDxfId="797"/>
    <tableColumn id="13" xr3:uid="{00000000-0010-0000-0F00-00000D000000}" name="Verschiebedauer (h)" dataDxfId="796"/>
    <tableColumn id="15" xr3:uid="{00000000-0010-0000-0F00-00000F000000}" name="Zeitverfügbarkeit?" dataDxfId="795"/>
    <tableColumn id="82" xr3:uid="{00000000-0010-0000-0F00-000052000000}" name="max. Abrufhäufigkeit min. pro Jahr" dataDxfId="794"/>
    <tableColumn id="81" xr3:uid="{00000000-0010-0000-0F00-000051000000}" name="max. Abrufhäufigkeit max. pro Jahr" dataDxfId="793"/>
    <tableColumn id="40" xr3:uid="{00000000-0010-0000-0F00-000028000000}" name="max. Abrufhäufigkeit min. pro Jahr Lastverzicht" dataDxfId="792"/>
    <tableColumn id="86" xr3:uid="{1969DFC6-A590-463D-A44A-18304C6A8B66}" name="max. Abrufhäufigkeit max. pro Jahr Lastverzicht" dataDxfId="791"/>
    <tableColumn id="17" xr3:uid="{00000000-0010-0000-0F00-000011000000}" name="Investitionsausgaben €_2018/kW" dataDxfId="790">
      <calculatedColumnFormula>0.05*Umrechnungsfaktoren!$B$15/Umrechnungsfaktoren!$B$13</calculatedColumnFormula>
    </tableColumn>
    <tableColumn id="59" xr3:uid="{00000000-0010-0000-0F00-00003B000000}" name="var. Kosten min. €_2018/MWh" dataDxfId="789"/>
    <tableColumn id="58" xr3:uid="{00000000-0010-0000-0F00-00003A000000}" name="var. Kosten max. Lastverzicht €_2018/MWh" dataDxfId="788">
      <calculatedColumnFormula>164*Umrechnungsfaktoren!$B$15/Umrechnungsfaktoren!$B$13</calculatedColumnFormula>
    </tableColumn>
    <tableColumn id="19" xr3:uid="{00000000-0010-0000-0F00-000013000000}" name="fixe Kosten €_2018/kW*a" dataDxfId="787">
      <calculatedColumnFormula>0.05*Umrechnungsfaktoren!$B$15/Umrechnungsfaktoren!$B$13</calculatedColumnFormula>
    </tableColumn>
    <tableColumn id="71" xr3:uid="{00000000-0010-0000-0F00-000047000000}" name="fixe Kosten €_2018/a" dataDxfId="786">
      <calculatedColumnFormula>220*Umrechnungsfaktoren!$B$15/Umrechnungsfaktoren!$B$13</calculatedColumnFormula>
    </tableColumn>
    <tableColumn id="48" xr3:uid="{00000000-0010-0000-0F00-000030000000}" name="Investitionsausgaben je Anschlusspunkt (€_2018)" dataDxfId="785">
      <calculatedColumnFormula>220*Umrechnungsfaktoren!$B$15/Umrechnungsfaktoren!$B$13</calculatedColumnFormula>
    </tableColumn>
    <tableColumn id="20" xr3:uid="{00000000-0010-0000-0F00-000014000000}" name="Bemerkungen" dataDxfId="784"/>
    <tableColumn id="55" xr3:uid="{00000000-0010-0000-0F00-000037000000}" name="Fundstelle Lastverschiebung" dataDxfId="783"/>
    <tableColumn id="54" xr3:uid="{00000000-0010-0000-0F00-000036000000}" name="Fundstelle Lastverzicht" dataDxfId="782"/>
    <tableColumn id="70" xr3:uid="{00000000-0010-0000-0F00-000046000000}" name="Fundstelle Stromverbrauch" dataDxfId="781"/>
    <tableColumn id="21" xr3:uid="{00000000-0010-0000-0F00-000015000000}" name="Fundstelle Potenzial pos." dataDxfId="780"/>
    <tableColumn id="22" xr3:uid="{00000000-0010-0000-0F00-000016000000}" name="Fundstelle Potenzial neg." dataDxfId="779"/>
    <tableColumn id="43" xr3:uid="{00000000-0010-0000-0F00-00002B000000}" name="Fundstelle flexibilisierbarer Anteil" dataDxfId="778"/>
    <tableColumn id="66" xr3:uid="{00000000-0010-0000-0F00-000042000000}" name="Fundstelle Durchschnittsauslastung" dataDxfId="777"/>
    <tableColumn id="80" xr3:uid="{00000000-0010-0000-0F00-000050000000}" name="Fundstelle Betriebsstunden" dataDxfId="776"/>
    <tableColumn id="45" xr3:uid="{00000000-0010-0000-0F00-00002D000000}" name="Fundstelle durchschnittliche Leistung" dataDxfId="775"/>
    <tableColumn id="78" xr3:uid="{00000000-0010-0000-0F00-00004E000000}" name="Fundstelle Wirkungsgrad" dataDxfId="774"/>
    <tableColumn id="39" xr3:uid="{00000000-0010-0000-0F00-000027000000}" name="Fundstelle Aktivierungsdauer" dataDxfId="773"/>
    <tableColumn id="26" xr3:uid="{00000000-0010-0000-0F00-00001A000000}" name="Fundstelle Schaltdauer" dataDxfId="772"/>
    <tableColumn id="27" xr3:uid="{00000000-0010-0000-0F00-00001B000000}" name="Fundstelle Verschiebedauer" dataDxfId="771"/>
    <tableColumn id="29" xr3:uid="{00000000-0010-0000-0F00-00001D000000}" name="Fundstelle Zeitverfügbarkeit" dataDxfId="770"/>
    <tableColumn id="30" xr3:uid="{00000000-0010-0000-0F00-00001E000000}" name="Fundstelle max. Abrufhäufigkeit" dataDxfId="769"/>
    <tableColumn id="31" xr3:uid="{00000000-0010-0000-0F00-00001F000000}" name="Fundstelle Invest" dataDxfId="768"/>
    <tableColumn id="32" xr3:uid="{00000000-0010-0000-0F00-000020000000}" name="Fundstelle var. Kosten" dataDxfId="767"/>
    <tableColumn id="33" xr3:uid="{00000000-0010-0000-0F00-000021000000}" name="Fundstelle fixe Kosten" dataDxfId="766"/>
    <tableColumn id="49" xr3:uid="{00000000-0010-0000-0F00-000031000000}" name="Fundstelle Investition je Anschlusspunkt" dataDxfId="765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64" dataDxfId="763" tableBorderDxfId="762">
  <autoFilter ref="A1:N6" xr:uid="{00000000-0009-0000-0100-00000D000000}"/>
  <tableColumns count="14">
    <tableColumn id="1" xr3:uid="{00000000-0010-0000-0800-000001000000}" name="Prozess" dataDxfId="761"/>
    <tableColumn id="47" xr3:uid="{00000000-0010-0000-0800-00002F000000}" name="Sektorenzuordnung" dataDxfId="760"/>
    <tableColumn id="2" xr3:uid="{00000000-0010-0000-0800-000002000000}" name="Jahr" dataDxfId="759"/>
    <tableColumn id="52" xr3:uid="{00000000-0010-0000-0800-000034000000}" name="Lastverschiebung" dataDxfId="758"/>
    <tableColumn id="53" xr3:uid="{00000000-0010-0000-0800-000035000000}" name="Lastverzicht" dataDxfId="757"/>
    <tableColumn id="36" xr3:uid="{D0502EC0-C6B2-43EE-B675-33E4B2F87D80}" name="Lasterhöhung" dataDxfId="756"/>
    <tableColumn id="38" xr3:uid="{00000000-0010-0000-0800-000026000000}" name="Potenzial pos. MW Lastverzicht" dataDxfId="755"/>
    <tableColumn id="67" xr3:uid="{00000000-0010-0000-0800-000043000000}" name="flexibilisierbarer Anteil an Durchschnittslast" dataDxfId="754" dataCellStyle="Prozent"/>
    <tableColumn id="44" xr3:uid="{00000000-0010-0000-0800-00002C000000}" name="Durchschnittliche Leistung MW" dataDxfId="753" dataCellStyle="Prozent"/>
    <tableColumn id="55" xr3:uid="{00000000-0010-0000-0800-000037000000}" name="Fundstelle Lastverschiebung" dataDxfId="752"/>
    <tableColumn id="54" xr3:uid="{00000000-0010-0000-0800-000036000000}" name="Fundstelle Lastverzicht" dataDxfId="751"/>
    <tableColumn id="21" xr3:uid="{00000000-0010-0000-0800-000015000000}" name="Fundstelle Potenzial pos." dataDxfId="750"/>
    <tableColumn id="43" xr3:uid="{00000000-0010-0000-0800-00002B000000}" name="Fundstelle flexibilisierbarer Anteil" dataDxfId="749"/>
    <tableColumn id="45" xr3:uid="{00000000-0010-0000-0800-00002D000000}" name="Fundstelle durchschnittliche Leistung" dataDxfId="748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47" dataDxfId="746" tableBorderDxfId="745">
  <autoFilter ref="A1:L9" xr:uid="{00000000-0009-0000-0100-000001000000}"/>
  <tableColumns count="12">
    <tableColumn id="1" xr3:uid="{00000000-0010-0000-0400-000001000000}" name="Prozess" dataDxfId="744"/>
    <tableColumn id="47" xr3:uid="{00000000-0010-0000-0400-00002F000000}" name="Sektorenzuordnung" dataDxfId="743"/>
    <tableColumn id="2" xr3:uid="{00000000-0010-0000-0400-000002000000}" name="Jahr" dataDxfId="742"/>
    <tableColumn id="52" xr3:uid="{00000000-0010-0000-0400-000034000000}" name="Lastverschiebung" dataDxfId="741"/>
    <tableColumn id="53" xr3:uid="{00000000-0010-0000-0400-000035000000}" name="Lastverzicht" dataDxfId="740"/>
    <tableColumn id="4" xr3:uid="{BB3E4F2A-1D63-40E4-B0CE-BA0238116541}" name="Lasterhöhung" dataDxfId="739"/>
    <tableColumn id="5" xr3:uid="{00000000-0010-0000-0400-000005000000}" name="Potenzial pos. max MW Lastverzicht" dataDxfId="738"/>
    <tableColumn id="12" xr3:uid="{00000000-0010-0000-0400-00000C000000}" name="Schaltdauer pos. (h) Lastverzicht" dataDxfId="737"/>
    <tableColumn id="20" xr3:uid="{00000000-0010-0000-0400-000014000000}" name="Bemerkungen" dataDxfId="736"/>
    <tableColumn id="21" xr3:uid="{00000000-0010-0000-0400-000015000000}" name="Fundstelle Potenzial pos." dataDxfId="735"/>
    <tableColumn id="26" xr3:uid="{00000000-0010-0000-0400-00001A000000}" name="Fundstelle Schaltdauer" dataDxfId="734"/>
    <tableColumn id="35" xr3:uid="{00000000-0010-0000-0400-000023000000}" name="eigene Anmerkung" dataDxfId="733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32">
  <autoFilter ref="A1:O77" xr:uid="{00000000-0009-0000-0100-000016000000}"/>
  <tableColumns count="15">
    <tableColumn id="1" xr3:uid="{00000000-0010-0000-0B00-000001000000}" name="Prozess" dataDxfId="731"/>
    <tableColumn id="13" xr3:uid="{00000000-0010-0000-0B00-00000D000000}" name="Sektorenzuordnung" dataDxfId="730"/>
    <tableColumn id="2" xr3:uid="{00000000-0010-0000-0B00-000002000000}" name="Jahr" dataDxfId="729"/>
    <tableColumn id="12" xr3:uid="{00000000-0010-0000-0B00-00000C000000}" name="StV (TWh)" dataDxfId="728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27"/>
    <tableColumn id="10" xr3:uid="{00000000-0010-0000-0B00-00000A000000}" name="Produktionskapazität Mt" dataDxfId="726"/>
    <tableColumn id="8" xr3:uid="{00000000-0010-0000-0B00-000008000000}" name="Änderung des spez. Verbrauchs (% p.a.)" dataDxfId="725"/>
    <tableColumn id="9" xr3:uid="{00000000-0010-0000-0B00-000009000000}" name="Änderung der Produktionskapazität (% p.a.)" dataDxfId="724"/>
    <tableColumn id="14" xr3:uid="{00000000-0010-0000-0B00-00000E000000}" name="Anteil am sektoralen Verbrauch (%)" dataDxfId="723"/>
    <tableColumn id="15" xr3:uid="{00000000-0010-0000-0B00-00000F000000}" name="Änderung gg. 2010"/>
    <tableColumn id="3" xr3:uid="{00000000-0010-0000-0B00-000003000000}" name="Stromverbrauch" dataDxfId="722"/>
    <tableColumn id="4" xr3:uid="{00000000-0010-0000-0B00-000004000000}" name="Vollbenutzungsstunden" dataDxfId="721"/>
    <tableColumn id="5" xr3:uid="{00000000-0010-0000-0B00-000005000000}" name="Mindestleistung" dataDxfId="720"/>
    <tableColumn id="6" xr3:uid="{00000000-0010-0000-0B00-000006000000}" name="flexible Leistung" dataDxfId="719"/>
    <tableColumn id="7" xr3:uid="{00000000-0010-0000-0B00-000007000000}" name="Quelle" dataDxfId="718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17" dataDxfId="716">
  <autoFilter ref="A1:M41" xr:uid="{00000000-0009-0000-0100-000021000000}"/>
  <tableColumns count="13">
    <tableColumn id="1" xr3:uid="{00000000-0010-0000-0C00-000001000000}" name="Prozess" dataDxfId="715"/>
    <tableColumn id="13" xr3:uid="{00000000-0010-0000-0C00-00000D000000}" name="Sektorenzuordnung" dataDxfId="714"/>
    <tableColumn id="2" xr3:uid="{00000000-0010-0000-0C00-000002000000}" name="Jahr" dataDxfId="713"/>
    <tableColumn id="8" xr3:uid="{00000000-0010-0000-0C00-000008000000}" name="Anzahl Haushalte (Mio.)" dataDxfId="712"/>
    <tableColumn id="3" xr3:uid="{00000000-0010-0000-0C00-000003000000}" name="Stromverbrauch gesamt (TWh)" dataDxfId="711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10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09"/>
    <tableColumn id="9" xr3:uid="{00000000-0010-0000-0C00-000009000000}" name="Ausstattungsraten" dataDxfId="708"/>
    <tableColumn id="10" xr3:uid="{00000000-0010-0000-0C00-00000A000000}" name="Stromverbrauch je Einheit (kWh)" dataDxfId="707"/>
    <tableColumn id="11" xr3:uid="{00000000-0010-0000-0C00-00000B000000}" name="Leistung je Einheit (kW)" dataDxfId="706"/>
    <tableColumn id="5" xr3:uid="{00000000-0010-0000-0C00-000005000000}" name="flex. Leistung pos." dataDxfId="705"/>
    <tableColumn id="6" xr3:uid="{00000000-0010-0000-0C00-000006000000}" name="flex. Leistung neg." dataDxfId="704"/>
    <tableColumn id="7" xr3:uid="{00000000-0010-0000-0C00-000007000000}" name="Quelle" dataDxfId="703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1BCC9D6D-8A9D-4FBF-82F6-3400E7C0B30C}" name="Tabelle589242" displayName="Tabelle589242" ref="A1:L2" totalsRowShown="0" headerRowDxfId="14" dataDxfId="13" tableBorderDxfId="12">
  <autoFilter ref="A1:L2" xr:uid="{00000000-0009-0000-0100-000001000000}"/>
  <tableColumns count="12">
    <tableColumn id="1" xr3:uid="{74318614-3872-4C49-B5AB-91A10EC81951}" name="Prozess" dataDxfId="11"/>
    <tableColumn id="47" xr3:uid="{ACFC561B-85FA-4877-8A47-C333291C10C9}" name="Sektorenzuordnung" dataDxfId="10"/>
    <tableColumn id="2" xr3:uid="{B4279754-7302-4D23-94F2-CB3A8109391C}" name="Jahr" dataDxfId="9"/>
    <tableColumn id="52" xr3:uid="{2ECB1DC7-E87A-4F6A-BAE7-70C240A15B5B}" name="Lastverschiebung" dataDxfId="8"/>
    <tableColumn id="53" xr3:uid="{06A31AD4-98A4-4CD2-BADA-DDED4D39F0EE}" name="Lastverzicht" dataDxfId="7"/>
    <tableColumn id="4" xr3:uid="{97EC98CC-A63F-490D-830C-92B327179B05}" name="Lasterhöhung" dataDxfId="6"/>
    <tableColumn id="5" xr3:uid="{07ECD613-6BC4-45E8-9ECF-D5CD32084812}" name="Potenzial pos. max MW Lastverzicht" dataDxfId="5"/>
    <tableColumn id="12" xr3:uid="{EEC9B773-55B4-4D56-89BF-50F87DBAB6D5}" name="Schaltdauer pos. (h) Lastverzicht" dataDxfId="4"/>
    <tableColumn id="20" xr3:uid="{285EB927-E66C-47FA-98FB-183B9E16B18A}" name="Bemerkungen" dataDxfId="3"/>
    <tableColumn id="21" xr3:uid="{29C73016-3DF3-4669-AA70-6301FF556980}" name="Fundstelle Potenzial pos." dataDxfId="2"/>
    <tableColumn id="26" xr3:uid="{5ED3AA97-864E-4E3D-AE36-A37FC25D9A56}" name="Fundstelle Schaltdauer" dataDxfId="1"/>
    <tableColumn id="35" xr3:uid="{7115E2B5-6072-4019-8B26-2C975E47C588}" name="eigene Anmerkung" dataDxfId="0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702" dataDxfId="701" tableBorderDxfId="700">
  <autoFilter ref="A1:AK13" xr:uid="{EF824A0A-FCB1-4B4D-8B84-B5CBCDF90F5A}"/>
  <tableColumns count="37">
    <tableColumn id="1" xr3:uid="{73E4E8A4-9121-40AA-9D70-E52CBAD233D3}" name="Prozess" dataDxfId="699"/>
    <tableColumn id="47" xr3:uid="{046FAEBD-C643-4F10-8C72-95335CF764E9}" name="Sektorenzuordnung" dataDxfId="698"/>
    <tableColumn id="73" xr3:uid="{31BE2D6D-EFE0-495C-8E24-69EB45CEBEE2}" name="Verfahren" dataDxfId="697"/>
    <tableColumn id="2" xr3:uid="{E0A212EF-0C37-46A8-AB11-8C68B0C32EEF}" name="Jahr" dataDxfId="696"/>
    <tableColumn id="52" xr3:uid="{4EE926E1-48CF-4635-BF6B-D56704BD661E}" name="Lastverschiebung" dataDxfId="695"/>
    <tableColumn id="53" xr3:uid="{E4F6AA95-A268-4BA7-8169-6C116C77E471}" name="Lastverzicht" dataDxfId="694"/>
    <tableColumn id="71" xr3:uid="{AE9C0C6E-CA88-4509-8527-5DF3FC5666D7}" name="Lasterhöhung" dataDxfId="693"/>
    <tableColumn id="98" xr3:uid="{A4CAE3E6-EB19-4955-B807-0E74BD7C6EB1}" name="spez. StV min in kWh/m^2 * a" dataDxfId="692"/>
    <tableColumn id="97" xr3:uid="{DBACE8B5-5910-4204-9E6C-105BB12E5FBA}" name="spez. StV max in kWh/m^2 * a" dataDxfId="691"/>
    <tableColumn id="86" xr3:uid="{86F5C658-1B1D-44EE-95DC-A77C8F7F03EF}" name="Anzahl Anlangen (Tsd.)" dataDxfId="690"/>
    <tableColumn id="77" xr3:uid="{9000E535-F153-4E71-91E2-748ABCC0DADC}" name="Stromverbrauch in TWh" dataDxfId="689"/>
    <tableColumn id="99" xr3:uid="{6A6FF0E3-B6FA-4272-944D-0005D2D35524}" name="Verschiebepotenzial in TWh"/>
    <tableColumn id="3" xr3:uid="{8B0BA8BB-C5B6-4800-A4F3-560AC5BE98A4}" name="Potenzial pos. min MW" dataDxfId="688"/>
    <tableColumn id="38" xr3:uid="{9499159D-69F8-4C00-A67E-28149A7FBE65}" name="Potenzial pos. MW Durchschnitt" dataDxfId="687"/>
    <tableColumn id="5" xr3:uid="{9C9A3F3D-81E4-43F2-98D6-94E012155B13}" name="Potenzial pos. max MW" dataDxfId="686"/>
    <tableColumn id="50" xr3:uid="{53C6093F-86CA-4202-A30A-CEC89A3AD87F}" name="Potenzial neg. min MW" dataDxfId="685"/>
    <tableColumn id="41" xr3:uid="{053DFA16-260D-4D99-8E85-13BE438E1C39}" name="Potenzial neg. MW Durchschnitt" dataDxfId="684"/>
    <tableColumn id="6" xr3:uid="{F0FFDA6F-DBCA-494A-A728-CCAC809DD5C2}" name="Potenzial neg. max MW" dataDxfId="683">
      <calculatedColumnFormula>10000+16000</calculatedColumnFormula>
    </tableColumn>
    <tableColumn id="44" xr3:uid="{2B8F214A-E0A7-498A-ADCB-F780E1A14AC8}" name="Durchschnittliche Leistung MW" dataDxfId="682" dataCellStyle="Prozent"/>
    <tableColumn id="9" xr3:uid="{C530A2E5-D828-48A0-A36E-B5526930CA7D}" name="Maximalleistung MW" dataDxfId="681"/>
    <tableColumn id="10" xr3:uid="{FB2BC636-E13C-4BC7-86BF-AF59CD7F24BB}" name="installierte Leistung MW" dataDxfId="680"/>
    <tableColumn id="61" xr3:uid="{4C143164-C629-44E7-AD04-C31AB1771E11}" name="Schaltdauer pos. min (h)" dataDxfId="679"/>
    <tableColumn id="60" xr3:uid="{44ABF66B-143A-4729-ADBC-56E79660204E}" name="Schaltdauer pos. max (h)" dataDxfId="678"/>
    <tableColumn id="12" xr3:uid="{678271B2-1318-4AA5-AC81-3E4379BB2DA6}" name="Schaltdauer pos. (h)" dataDxfId="677"/>
    <tableColumn id="63" xr3:uid="{AA6D0971-593D-44AE-92B7-834C873D3165}" name="Schaltdauer neg min (h)" dataDxfId="676">
      <calculatedColumnFormula>10/60</calculatedColumnFormula>
    </tableColumn>
    <tableColumn id="62" xr3:uid="{5B6B0358-706E-43F3-8BAA-828D5DE21578}" name="Schaltdauer neg. max (h)" dataDxfId="675"/>
    <tableColumn id="51" xr3:uid="{C3079BE9-0695-4361-92AA-52DC4DC2FD8D}" name="Schaltdauer neg. (h)" dataDxfId="674"/>
    <tableColumn id="42" xr3:uid="{492CA3BF-F47C-4C83-AD50-8E36348BA327}" name="Verschiebedauer min. (h)" dataDxfId="673"/>
    <tableColumn id="54" xr3:uid="{EA328A29-EDC1-41A0-B9DD-226FD2D8E7C6}" name="Fundstelle Lastverzicht" dataDxfId="672"/>
    <tableColumn id="91" xr3:uid="{D835AF24-EE46-451F-A286-D5456F048C57}" name="Fundstelle Anzahl Anlagen" dataDxfId="671"/>
    <tableColumn id="79" xr3:uid="{AF42CC6F-AB9E-4AD0-BFFD-AF0F2E006091}" name="Fundstelle Stromverbrauch" dataDxfId="670"/>
    <tableColumn id="100" xr3:uid="{6372E1FF-B4C5-4F5D-82E8-787EAC91DE30}" name="Fundstelle verschiebbare Energiemenge" dataDxfId="669"/>
    <tableColumn id="21" xr3:uid="{A710D17C-8707-42E0-9EA3-E3CA964C4A0F}" name="Fundstelle Potenzial pos." dataDxfId="668"/>
    <tableColumn id="22" xr3:uid="{9149776E-A7ED-448F-9784-98CB61735F29}" name="Fundstelle Potenzial neg." dataDxfId="667"/>
    <tableColumn id="24" xr3:uid="{B5B68248-AD63-486F-981F-BA2B196C083A}" name="Fundstelle Maximalleistung" dataDxfId="666"/>
    <tableColumn id="25" xr3:uid="{E55243C9-23D1-4019-AA9D-25E209456733}" name="Fundstelle installierte Leistung" dataDxfId="665"/>
    <tableColumn id="26" xr3:uid="{7060A2C8-5AAC-4487-BBDF-8C17ED1D6C98}" name="Fundstelle Schaltdauer" dataDxfId="664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63" dataDxfId="662" tableBorderDxfId="661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60"/>
    <tableColumn id="139" xr3:uid="{00000000-0010-0000-1200-00008B000000}" name="Ursprüngliche Prozessbezeichnung" dataDxfId="659"/>
    <tableColumn id="12" xr3:uid="{00000000-0010-0000-1200-00000C000000}" name="Branche" dataDxfId="658"/>
    <tableColumn id="67" xr3:uid="{00000000-0010-0000-1200-000043000000}" name="Kürzel" dataDxfId="657"/>
    <tableColumn id="47" xr3:uid="{00000000-0010-0000-1200-00002F000000}" name="Sektorenzuordnung" dataDxfId="656"/>
    <tableColumn id="10" xr3:uid="{00000000-0010-0000-1200-00000A000000}" name="temporäre Sortierung" dataDxfId="655"/>
    <tableColumn id="2" xr3:uid="{00000000-0010-0000-1200-000002000000}" name="Jahr" dataDxfId="654"/>
    <tableColumn id="52" xr3:uid="{00000000-0010-0000-1200-000034000000}" name="Lastverschiebung" dataDxfId="653"/>
    <tableColumn id="53" xr3:uid="{00000000-0010-0000-1200-000035000000}" name="Lastverzicht" dataDxfId="652"/>
    <tableColumn id="137" xr3:uid="{00000000-0010-0000-1200-000089000000}" name="Lasterhöhung" dataDxfId="651"/>
    <tableColumn id="3" xr3:uid="{00000000-0010-0000-1200-000003000000}" name="Potenzial pos. MW Durchschnitt min" dataDxfId="650"/>
    <tableColumn id="38" xr3:uid="{00000000-0010-0000-1200-000026000000}" name="Potenzial pos. MW Durchschnitt" dataDxfId="649"/>
    <tableColumn id="5" xr3:uid="{00000000-0010-0000-1200-000005000000}" name="Potenzial pos. MW Durchschnitt max" dataDxfId="648"/>
    <tableColumn id="79" xr3:uid="{96ACD8D3-C56E-4BE0-A899-B547FDFD0BD2}" name="Potenzial pos. MW Durchschnitt min Lastverzicht" dataDxfId="647"/>
    <tableColumn id="76" xr3:uid="{F9A08C69-7BFD-4192-AEEE-6746DB526D95}" name="Potenzial pos. MW Durchschnitt Lastverzicht" dataDxfId="646"/>
    <tableColumn id="69" xr3:uid="{8BE92F16-0A38-4386-9871-0F6106C3CEF9}" name="Potenzial pos. MW Durchschnitt max Lastverzicht" dataDxfId="645"/>
    <tableColumn id="193" xr3:uid="{00000000-0010-0000-1200-0000C1000000}" name="Potenzial pos. MW Sommer WTT" dataDxfId="644"/>
    <tableColumn id="192" xr3:uid="{00000000-0010-0000-1200-0000C0000000}" name="Potenzial pos. MW min Sommer WTT" dataDxfId="643"/>
    <tableColumn id="191" xr3:uid="{00000000-0010-0000-1200-0000BF000000}" name="Potenzial pos. MW max Sommer WTT" dataDxfId="642"/>
    <tableColumn id="220" xr3:uid="{6E159611-20E1-499C-9AA8-00079C5F15C3}" name="Potenzial pos. MW Sommer WTT Lastverzicht" dataDxfId="641"/>
    <tableColumn id="219" xr3:uid="{EA90C893-FFD4-4ADC-BDD3-A2A6A983824D}" name="Potenzial pos. MW min Sommer WTT Lastverzicht" dataDxfId="640"/>
    <tableColumn id="218" xr3:uid="{380ADB4E-7E5D-44E0-A90E-6F37B97C3501}" name="Potenzial pos. MW max Sommer WTT Lastverzicht" dataDxfId="639"/>
    <tableColumn id="190" xr3:uid="{00000000-0010-0000-1200-0000BE000000}" name="Potenzial neg. MW Sommer WTT" dataDxfId="638"/>
    <tableColumn id="189" xr3:uid="{00000000-0010-0000-1200-0000BD000000}" name="Potenzial neg. MW min Sommer WTT" dataDxfId="637"/>
    <tableColumn id="188" xr3:uid="{00000000-0010-0000-1200-0000BC000000}" name="Potenzial neg. MW max Sommer WTT" dataDxfId="636"/>
    <tableColumn id="187" xr3:uid="{00000000-0010-0000-1200-0000BB000000}" name="Potenzial pos. MW Sommer SaT" dataDxfId="635"/>
    <tableColumn id="186" xr3:uid="{00000000-0010-0000-1200-0000BA000000}" name="Potenzial pos. MW min Sommer SaT" dataDxfId="634"/>
    <tableColumn id="185" xr3:uid="{00000000-0010-0000-1200-0000B9000000}" name="Potenzial pos. MW max Sommer SaT" dataDxfId="633"/>
    <tableColumn id="217" xr3:uid="{DC97E75F-B044-418A-B465-26F105BC9836}" name="Potenzial pos. MW Sommer SaT Lastverzicht" dataDxfId="632"/>
    <tableColumn id="216" xr3:uid="{4C36BD90-57EB-479E-AE87-7A857D88A3BF}" name="Potenzial pos. MW min Sommer SaT Lastverzicht" dataDxfId="631"/>
    <tableColumn id="215" xr3:uid="{AAA0D9DF-74A6-48DA-800A-D12274024200}" name="Potenzial pos. MW max Sommer SaT Lastverzicht" dataDxfId="630"/>
    <tableColumn id="184" xr3:uid="{00000000-0010-0000-1200-0000B8000000}" name="Potenzial neg. MW Sommer SaT" dataDxfId="629"/>
    <tableColumn id="183" xr3:uid="{00000000-0010-0000-1200-0000B7000000}" name="Potenzial neg. MW min Sommer SaT" dataDxfId="628"/>
    <tableColumn id="182" xr3:uid="{00000000-0010-0000-1200-0000B6000000}" name="Potenzial neg. MW max Sommer SaT" dataDxfId="627"/>
    <tableColumn id="181" xr3:uid="{00000000-0010-0000-1200-0000B5000000}" name="Potenzial pos. MW Sommer SFN" dataDxfId="626"/>
    <tableColumn id="180" xr3:uid="{00000000-0010-0000-1200-0000B4000000}" name="Potenzial pos. MW min Sommer SFN" dataDxfId="625"/>
    <tableColumn id="179" xr3:uid="{00000000-0010-0000-1200-0000B3000000}" name="Potenzial pos. MW max Sommer SFN" dataDxfId="624"/>
    <tableColumn id="178" xr3:uid="{00000000-0010-0000-1200-0000B2000000}" name="Potenzial neg. MW Sommer SFN" dataDxfId="623"/>
    <tableColumn id="177" xr3:uid="{00000000-0010-0000-1200-0000B1000000}" name="Potenzial neg. MW min Sommer SFN" dataDxfId="622"/>
    <tableColumn id="176" xr3:uid="{00000000-0010-0000-1200-0000B0000000}" name="Potenzial neg. MW max Sommer SFN" dataDxfId="621"/>
    <tableColumn id="175" xr3:uid="{00000000-0010-0000-1200-0000AF000000}" name="Potenzial pos. MW Übergangszeit WTT" dataDxfId="620"/>
    <tableColumn id="174" xr3:uid="{00000000-0010-0000-1200-0000AE000000}" name="Potenzial pos. MW min Übergangszeit WTT" dataDxfId="619"/>
    <tableColumn id="173" xr3:uid="{00000000-0010-0000-1200-0000AD000000}" name="Potenzial pos. MW max Übergangszeit WTT" dataDxfId="618"/>
    <tableColumn id="214" xr3:uid="{EE82445C-DD13-466A-B0FE-C133B47AF9D1}" name="Potenzial pos. MW Übergangszeit WTT Lastverzicht" dataDxfId="617"/>
    <tableColumn id="213" xr3:uid="{160085CA-F6DC-4092-B474-FFBBB87975AB}" name="Potenzial pos. MW min Übergangszeit WTT Lastverzicht" dataDxfId="616"/>
    <tableColumn id="212" xr3:uid="{71CF3E03-EFE3-488F-BBBF-0647076C0F98}" name="Potenzial pos. MW max Übergangszeit WTT Lastverzicht" dataDxfId="615"/>
    <tableColumn id="172" xr3:uid="{00000000-0010-0000-1200-0000AC000000}" name="Potenzial neg. MW Übergangszeit WTT" dataDxfId="614"/>
    <tableColumn id="171" xr3:uid="{00000000-0010-0000-1200-0000AB000000}" name="Potenzial neg. MW min Übergangszeit WTT" dataDxfId="613"/>
    <tableColumn id="170" xr3:uid="{00000000-0010-0000-1200-0000AA000000}" name="Potenzial neg. MW max Übergangszeit WTT" dataDxfId="612"/>
    <tableColumn id="169" xr3:uid="{00000000-0010-0000-1200-0000A9000000}" name="Potenzial pos. MW Übergangszeit SaT" dataDxfId="611"/>
    <tableColumn id="168" xr3:uid="{00000000-0010-0000-1200-0000A8000000}" name="Potenzial pos. MW min Übergangszeit SaT" dataDxfId="610"/>
    <tableColumn id="167" xr3:uid="{00000000-0010-0000-1200-0000A7000000}" name="Potenzial pos. MW max Übergangszeit SaT" dataDxfId="609"/>
    <tableColumn id="211" xr3:uid="{19955774-DB26-4217-81AF-7B47BB2B0D9D}" name="Potenzial pos. MW Übergangszeit SaT Lastverzicht" dataDxfId="608"/>
    <tableColumn id="210" xr3:uid="{AC831447-9F62-4797-B27A-8509261CB625}" name="Potenzial pos. MW min Übergangszeit SaT Lastverzicht" dataDxfId="607"/>
    <tableColumn id="209" xr3:uid="{39F674E7-5D2C-4B29-8233-41C90C9E87C9}" name="Potenzial pos. MW max Übergangszeit SaT Lastverzicht" dataDxfId="606"/>
    <tableColumn id="166" xr3:uid="{00000000-0010-0000-1200-0000A6000000}" name="Potenzial neg. MW Übergangszeit SaT" dataDxfId="605"/>
    <tableColumn id="165" xr3:uid="{00000000-0010-0000-1200-0000A5000000}" name="Potenzial neg. MW min Übergangszeit SaT" dataDxfId="604"/>
    <tableColumn id="164" xr3:uid="{00000000-0010-0000-1200-0000A4000000}" name="Potenzial neg. MW max Übergangszeit SaT" dataDxfId="603"/>
    <tableColumn id="163" xr3:uid="{00000000-0010-0000-1200-0000A3000000}" name="Potenzial pos. MW Übergangszeit SFN" dataDxfId="602"/>
    <tableColumn id="162" xr3:uid="{00000000-0010-0000-1200-0000A2000000}" name="Potenzial pos. MW min Übergangszeit SFN" dataDxfId="601"/>
    <tableColumn id="161" xr3:uid="{00000000-0010-0000-1200-0000A1000000}" name="Potenzial pos. MW max Übergangszeit SFN" dataDxfId="600"/>
    <tableColumn id="208" xr3:uid="{FE8DCBEE-C5C1-4508-8CE0-80B99D73046D}" name="Potenzial pos. MW Übergangszeit SFN Lastverzicht" dataDxfId="599"/>
    <tableColumn id="207" xr3:uid="{77D577D3-8EC9-4141-B65E-5A36FDA79998}" name="Potenzial pos. MW min Übergangszeit SFN Lastverzicht" dataDxfId="598"/>
    <tableColumn id="206" xr3:uid="{DD41F955-B4B6-404A-9A50-28B98C1B35ED}" name="Potenzial pos. MW max Übergangszeit SFN Lastverzicht" dataDxfId="597"/>
    <tableColumn id="160" xr3:uid="{00000000-0010-0000-1200-0000A0000000}" name="Potenzial neg. MW Übergangszeit SFN" dataDxfId="596"/>
    <tableColumn id="159" xr3:uid="{00000000-0010-0000-1200-00009F000000}" name="Potenzial neg. MW min Übergangszeit SFN" dataDxfId="595"/>
    <tableColumn id="158" xr3:uid="{00000000-0010-0000-1200-00009E000000}" name="Potenzial neg. MW max Übergangszeit SFN" dataDxfId="594"/>
    <tableColumn id="157" xr3:uid="{00000000-0010-0000-1200-00009D000000}" name="Potenzial pos. MW Winter WTT" dataDxfId="593"/>
    <tableColumn id="156" xr3:uid="{00000000-0010-0000-1200-00009C000000}" name="Potenzial pos. MW min Winter WTT" dataDxfId="592"/>
    <tableColumn id="155" xr3:uid="{00000000-0010-0000-1200-00009B000000}" name="Potenzial pos. MW max Winter WTT" dataDxfId="591"/>
    <tableColumn id="205" xr3:uid="{7E76ABC4-3904-4D4A-AE96-9A6546D7CA14}" name="Potenzial pos. MW Winter WTT Lastverzicht" dataDxfId="590"/>
    <tableColumn id="204" xr3:uid="{D1907E86-3B52-444C-A383-DB60E4B83299}" name="Potenzial pos. MW min Winter WTT Lastverzicht" dataDxfId="589"/>
    <tableColumn id="203" xr3:uid="{BEAC8CD6-B033-4683-9B03-81F61344BE49}" name="Potenzial pos. MW max Winter WTT Lastverzicht" dataDxfId="588"/>
    <tableColumn id="154" xr3:uid="{00000000-0010-0000-1200-00009A000000}" name="Potenzial neg. MW Winter WTT" dataDxfId="587"/>
    <tableColumn id="153" xr3:uid="{00000000-0010-0000-1200-000099000000}" name="Potenzial neg. MW min Winter WTT" dataDxfId="586"/>
    <tableColumn id="152" xr3:uid="{00000000-0010-0000-1200-000098000000}" name="Potenzial neg. MW max Winter WTT" dataDxfId="585"/>
    <tableColumn id="151" xr3:uid="{00000000-0010-0000-1200-000097000000}" name="Potenzial pos. MW Winter SaT" dataDxfId="584"/>
    <tableColumn id="150" xr3:uid="{00000000-0010-0000-1200-000096000000}" name="Potenzial pos. MW min Winter SaT" dataDxfId="583"/>
    <tableColumn id="149" xr3:uid="{00000000-0010-0000-1200-000095000000}" name="Potenzial pos. MW max Winter SaT" dataDxfId="582"/>
    <tableColumn id="202" xr3:uid="{B0B3D8E1-D836-4942-841D-EE5EECFAFDDE}" name="Potenzial pos. MW Winter SaT Lastverzicht" dataDxfId="581"/>
    <tableColumn id="201" xr3:uid="{5A2F33F9-F1AA-47D6-83B6-6D322CCD250F}" name="Potenzial pos. MW min Winter SaT Lastverzicht" dataDxfId="580"/>
    <tableColumn id="200" xr3:uid="{F964704A-6F9D-4460-ABDE-6348110D8E03}" name="Potenzial pos. MW max Winter SaT Lastverzicht" dataDxfId="579"/>
    <tableColumn id="148" xr3:uid="{00000000-0010-0000-1200-000094000000}" name="Potenzial neg. MW Winter SaT" dataDxfId="578"/>
    <tableColumn id="147" xr3:uid="{00000000-0010-0000-1200-000093000000}" name="Potenzial neg. MW min Winter SaT" dataDxfId="577"/>
    <tableColumn id="146" xr3:uid="{00000000-0010-0000-1200-000092000000}" name="Potenzial neg. MW max Winter SaT" dataDxfId="576"/>
    <tableColumn id="145" xr3:uid="{00000000-0010-0000-1200-000091000000}" name="Potenzial pos. MW Winter SFN" dataDxfId="575"/>
    <tableColumn id="144" xr3:uid="{00000000-0010-0000-1200-000090000000}" name="Potenzial pos. MW min Winter SFN" dataDxfId="574"/>
    <tableColumn id="143" xr3:uid="{00000000-0010-0000-1200-00008F000000}" name="Potenzial pos. MW max Winter SFN" dataDxfId="573"/>
    <tableColumn id="199" xr3:uid="{0D6AB32F-127F-4144-83D0-AA5B3D7DE432}" name="Potenzial pos. MW Winter SFN Lastzverzicht" dataDxfId="572"/>
    <tableColumn id="198" xr3:uid="{45BBF18A-9412-46E2-B23C-2B0F4E462411}" name="Potenzial pos. MW min Winter SFN Lastzverzicht" dataDxfId="571"/>
    <tableColumn id="197" xr3:uid="{2BC5145B-B3AF-457B-8897-C613087F0C7C}" name="Potenzial pos. MW max Winter SFN Lastzverzicht" dataDxfId="570"/>
    <tableColumn id="142" xr3:uid="{00000000-0010-0000-1200-00008E000000}" name="Potenzial neg. MW Winter SFN" dataDxfId="569"/>
    <tableColumn id="141" xr3:uid="{00000000-0010-0000-1200-00008D000000}" name="Potenzial neg. MW min Winter SFN" dataDxfId="568"/>
    <tableColumn id="140" xr3:uid="{00000000-0010-0000-1200-00008C000000}" name="Potenzial neg. MW max Winter SFN" dataDxfId="567"/>
    <tableColumn id="37" xr3:uid="{00000000-0010-0000-1200-000025000000}" name="ausgewiesenes Pot. pos. MW (falls abweichend)" dataDxfId="566"/>
    <tableColumn id="50" xr3:uid="{00000000-0010-0000-1200-000032000000}" name="Potenzial neg. MW Durchschnitt min" dataDxfId="565"/>
    <tableColumn id="41" xr3:uid="{00000000-0010-0000-1200-000029000000}" name="Potenzial neg. MW Durchschnitt" dataDxfId="564"/>
    <tableColumn id="6" xr3:uid="{00000000-0010-0000-1200-000006000000}" name="Potenzial neg. MW Durchschnitt max" dataDxfId="563"/>
    <tableColumn id="195" xr3:uid="{C3613415-B0F6-4BB3-B20A-C980548137E7}" name="Mindestleistung MW durch" dataDxfId="562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61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60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9" dataCellStyle="Prozent"/>
    <tableColumn id="8" xr3:uid="{00000000-0010-0000-1200-000008000000}" name="Mindestauslastung min" dataDxfId="558" dataCellStyle="Prozent"/>
    <tableColumn id="68" xr3:uid="{00000000-0010-0000-1200-000044000000}" name="Mindestauslastung max" dataDxfId="557" dataCellStyle="Prozent"/>
    <tableColumn id="36" xr3:uid="{00000000-0010-0000-1200-000024000000}" name="flexibilisierbarer Anteil" dataDxfId="556" dataCellStyle="Prozent"/>
    <tableColumn id="116" xr3:uid="{00000000-0010-0000-1200-000074000000}" name="Durchschnittsauslastung durch Sommer WTT" dataDxfId="555" dataCellStyle="Prozent"/>
    <tableColumn id="117" xr3:uid="{00000000-0010-0000-1200-000075000000}" name="Durchschnittsauslastung min Sommer WTT" dataDxfId="554" dataCellStyle="Prozent"/>
    <tableColumn id="118" xr3:uid="{00000000-0010-0000-1200-000076000000}" name="Durchschnittsauslastung max Sommer WTT" dataDxfId="553" dataCellStyle="Prozent"/>
    <tableColumn id="113" xr3:uid="{00000000-0010-0000-1200-000071000000}" name="Durchschnittsauslastung durch Sommer SaT" dataDxfId="552" dataCellStyle="Prozent"/>
    <tableColumn id="114" xr3:uid="{00000000-0010-0000-1200-000072000000}" name="Durchschnittsauslastung min Sommer SaT" dataDxfId="551" dataCellStyle="Prozent"/>
    <tableColumn id="115" xr3:uid="{00000000-0010-0000-1200-000073000000}" name="Durchschnittsauslastung max Sommer SaT" dataDxfId="550" dataCellStyle="Prozent"/>
    <tableColumn id="51" xr3:uid="{00000000-0010-0000-1200-000033000000}" name="Durchschnittsauslastung durch Sommer SFN" dataDxfId="549" dataCellStyle="Prozent"/>
    <tableColumn id="65" xr3:uid="{00000000-0010-0000-1200-000041000000}" name="Durchschnittsauslastung min Sommer SFN" dataDxfId="548" dataCellStyle="Prozent"/>
    <tableColumn id="74" xr3:uid="{00000000-0010-0000-1200-00004A000000}" name="Durchschnittsauslastung max Sommer SFN" dataDxfId="547" dataCellStyle="Prozent"/>
    <tableColumn id="136" xr3:uid="{00000000-0010-0000-1200-000088000000}" name="Durchschnittsauslastung durch Übergangszeit WTT" dataDxfId="546" dataCellStyle="Prozent"/>
    <tableColumn id="135" xr3:uid="{00000000-0010-0000-1200-000087000000}" name="Durchschnittsauslastung min Übergangszeit WTT" dataDxfId="545" dataCellStyle="Prozent"/>
    <tableColumn id="134" xr3:uid="{00000000-0010-0000-1200-000086000000}" name="Durchschnittsauslastung max Übergangszeit WTT" dataDxfId="544" dataCellStyle="Prozent"/>
    <tableColumn id="133" xr3:uid="{00000000-0010-0000-1200-000085000000}" name="Durchschnittsauslastung durch Übergangszeit SaT" dataDxfId="543" dataCellStyle="Prozent"/>
    <tableColumn id="132" xr3:uid="{00000000-0010-0000-1200-000084000000}" name="Durchschnittsauslastung min Übergangszeit SaT" dataDxfId="542" dataCellStyle="Prozent"/>
    <tableColumn id="131" xr3:uid="{00000000-0010-0000-1200-000083000000}" name="Durchschnittsauslastung max Übergangszeit SaT" dataDxfId="541" dataCellStyle="Prozent"/>
    <tableColumn id="130" xr3:uid="{00000000-0010-0000-1200-000082000000}" name="Durchschnittsauslastung durch Übergangszeit SFN" dataDxfId="540" dataCellStyle="Prozent"/>
    <tableColumn id="129" xr3:uid="{00000000-0010-0000-1200-000081000000}" name="Durchschnittsauslastung min Übergangszeit SFN" dataDxfId="539" dataCellStyle="Prozent"/>
    <tableColumn id="128" xr3:uid="{00000000-0010-0000-1200-000080000000}" name="Durchschnittsauslastung max Übergangszeit SFN" dataDxfId="538" dataCellStyle="Prozent"/>
    <tableColumn id="127" xr3:uid="{00000000-0010-0000-1200-00007F000000}" name="Durchschnittsauslastung durch Winter WTT" dataDxfId="537" dataCellStyle="Prozent"/>
    <tableColumn id="126" xr3:uid="{00000000-0010-0000-1200-00007E000000}" name="Durchschnittsauslastung min Winter WTT" dataDxfId="536" dataCellStyle="Prozent"/>
    <tableColumn id="125" xr3:uid="{00000000-0010-0000-1200-00007D000000}" name="Durchschnittsauslastung max Winter WTT" dataDxfId="535" dataCellStyle="Prozent"/>
    <tableColumn id="124" xr3:uid="{00000000-0010-0000-1200-00007C000000}" name="Durchschnittsauslastung durch Winter SaT" dataDxfId="534" dataCellStyle="Prozent"/>
    <tableColumn id="123" xr3:uid="{00000000-0010-0000-1200-00007B000000}" name="Durchschnittsauslastung min Winter SaT" dataDxfId="533" dataCellStyle="Prozent"/>
    <tableColumn id="122" xr3:uid="{00000000-0010-0000-1200-00007A000000}" name="Durchschnittsauslastung max Winter SaT" dataDxfId="532" dataCellStyle="Prozent"/>
    <tableColumn id="121" xr3:uid="{00000000-0010-0000-1200-000079000000}" name="Durchschnittsauslastung durch Winter SFN" dataDxfId="531" dataCellStyle="Prozent"/>
    <tableColumn id="120" xr3:uid="{00000000-0010-0000-1200-000078000000}" name="Durchschnittsauslastung min Winter SFN" dataDxfId="530" dataCellStyle="Prozent"/>
    <tableColumn id="119" xr3:uid="{00000000-0010-0000-1200-000077000000}" name="Durchschnittsauslastung max Winter SFN" dataDxfId="529" dataCellStyle="Prozent"/>
    <tableColumn id="78" xr3:uid="{00000000-0010-0000-1200-00004E000000}" name="Durchschnittsauslastung min" dataDxfId="528" dataCellStyle="Prozent"/>
    <tableColumn id="70" xr3:uid="{00000000-0010-0000-1200-000046000000}" name="Durchschnittsauslastung durch" dataDxfId="527" dataCellStyle="Prozent"/>
    <tableColumn id="71" xr3:uid="{00000000-0010-0000-1200-000047000000}" name="Durchschnittsauslastung max" dataDxfId="526" dataCellStyle="Prozent"/>
    <tableColumn id="80" xr3:uid="{00000000-0010-0000-1200-000050000000}" name="Durchschnittliche Leistung MW min" dataDxfId="525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24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23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22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21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20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9"/>
    <tableColumn id="196" xr3:uid="{3D8C49AD-BA64-4B61-AD02-C4220A8D0DE3}" name="Maximalauslastung min" dataDxfId="518" dataCellStyle="Prozent"/>
    <tableColumn id="46" xr3:uid="{00000000-0010-0000-1200-00002E000000}" name="Maximalauslastung max" dataDxfId="517" dataCellStyle="Prozent"/>
    <tableColumn id="17" xr3:uid="{00000000-0010-0000-1200-000011000000}" name="installierte Leistung MW durch" dataDxfId="516" dataCellStyle="Prozent"/>
    <tableColumn id="72" xr3:uid="{00000000-0010-0000-1200-000048000000}" name="installierte Leistung MW min" dataDxfId="515" dataCellStyle="Prozent"/>
    <tableColumn id="73" xr3:uid="{00000000-0010-0000-1200-000049000000}" name="installierte Leistung MW max" dataDxfId="514"/>
    <tableColumn id="85" xr3:uid="{00000000-0010-0000-1200-000055000000}" name="Aktivierungsdauer (h) pos durch" dataDxfId="513"/>
    <tableColumn id="84" xr3:uid="{00000000-0010-0000-1200-000054000000}" name="Aktivierungsdauer (h) pos min" dataDxfId="512"/>
    <tableColumn id="11" xr3:uid="{00000000-0010-0000-1200-00000B000000}" name="Aktivierungsdauer (h) pos max" dataDxfId="511"/>
    <tableColumn id="89" xr3:uid="{00000000-0010-0000-1200-000059000000}" name="Aktivierungsdauer (h) neg durch" dataDxfId="510"/>
    <tableColumn id="88" xr3:uid="{00000000-0010-0000-1200-000058000000}" name="Aktivierungsdauer (h) neg min" dataDxfId="509"/>
    <tableColumn id="87" xr3:uid="{00000000-0010-0000-1200-000057000000}" name="Aktivierungsdauer (h) neg max" dataDxfId="508"/>
    <tableColumn id="86" xr3:uid="{00000000-0010-0000-1200-000056000000}" name="Schaltdauer pos. (h)" dataDxfId="507"/>
    <tableColumn id="61" xr3:uid="{00000000-0010-0000-1200-00003D000000}" name="Schaltdauer pos. min (h)" dataDxfId="506"/>
    <tableColumn id="60" xr3:uid="{00000000-0010-0000-1200-00003C000000}" name="Schaltdauer pos. max (h)" dataDxfId="505"/>
    <tableColumn id="223" xr3:uid="{11693F19-F266-4578-83D3-E6DC795DA1E7}" name="Schaltdauer pos. (h) Lastverzicht" dataDxfId="504"/>
    <tableColumn id="222" xr3:uid="{3CE157AB-01EA-4F5B-913D-D5D326F07AEC}" name="Schaltdauer pos. min (h) Lastverzicht" dataDxfId="503"/>
    <tableColumn id="221" xr3:uid="{95FB7958-DB36-47E1-990A-BADA3585EEAF}" name="Schaltdauer pos. max (h) Lastverzicht" dataDxfId="502"/>
    <tableColumn id="90" xr3:uid="{00000000-0010-0000-1200-00005A000000}" name="Schaltdauer neg. (h)" dataDxfId="501"/>
    <tableColumn id="63" xr3:uid="{00000000-0010-0000-1200-00003F000000}" name="Schaltdauer neg min (h)" dataDxfId="500"/>
    <tableColumn id="62" xr3:uid="{00000000-0010-0000-1200-00003E000000}" name="Schaltdauer neg. max (h)" dataDxfId="499"/>
    <tableColumn id="91" xr3:uid="{00000000-0010-0000-1200-00005B000000}" name="Verschiebedauer (h)" dataDxfId="498"/>
    <tableColumn id="42" xr3:uid="{00000000-0010-0000-1200-00002A000000}" name="Verschiebedauer min. (h)" dataDxfId="497"/>
    <tableColumn id="4" xr3:uid="{00000000-0010-0000-1200-000004000000}" name="Verschiebedauer max (h)" dataDxfId="496"/>
    <tableColumn id="13" xr3:uid="{00000000-0010-0000-1200-00000D000000}" name="Verschiebedauer bei sofortiger Kompensation (h)" dataDxfId="495"/>
    <tableColumn id="93" xr3:uid="{00000000-0010-0000-1200-00005D000000}" name="Verschiebedauer bei sofortiger Kompensation (h) min" dataDxfId="494"/>
    <tableColumn id="92" xr3:uid="{00000000-0010-0000-1200-00005C000000}" name="Verschiebedauer bei sofortiger Kompensation (h) max" dataDxfId="493"/>
    <tableColumn id="14" xr3:uid="{00000000-0010-0000-1200-00000E000000}" name="Regenerationsdauer (h)" dataDxfId="492"/>
    <tableColumn id="15" xr3:uid="{00000000-0010-0000-1200-00000F000000}" name="Zeitverfügbarkeit?" dataDxfId="491"/>
    <tableColumn id="16" xr3:uid="{00000000-0010-0000-1200-000010000000}" name="max. Abrufhäufigkeit pro Woche" dataDxfId="490"/>
    <tableColumn id="40" xr3:uid="{00000000-0010-0000-1200-000028000000}" name="max. Abrufhäufigkeit pro Jahr pos durch" dataDxfId="489"/>
    <tableColumn id="95" xr3:uid="{00000000-0010-0000-1200-00005F000000}" name="max. Abrufhäufigkeit pro Jahr pos min" dataDxfId="488"/>
    <tableColumn id="94" xr3:uid="{00000000-0010-0000-1200-00005E000000}" name="max. Abrufhäufigkeit pro Jahr pos max" dataDxfId="487"/>
    <tableColumn id="96" xr3:uid="{00000000-0010-0000-1200-000060000000}" name="max. Abrufhäufigkeit pro Jahr pos Lastverzicht durch" dataDxfId="486"/>
    <tableColumn id="97" xr3:uid="{00000000-0010-0000-1200-000061000000}" name="max. Abrufhäufigkeit pro Jahr pos Lastverzicht min" dataDxfId="485"/>
    <tableColumn id="98" xr3:uid="{00000000-0010-0000-1200-000062000000}" name="max. Abrufhäufigkeit pro Jahr pos Lastverzicht max" dataDxfId="484"/>
    <tableColumn id="99" xr3:uid="{00000000-0010-0000-1200-000063000000}" name="max. Abrufhäufigkeit pro Jahr neg durch" dataDxfId="483"/>
    <tableColumn id="100" xr3:uid="{00000000-0010-0000-1200-000064000000}" name="max. Abrufhäufigkeit pro Jahr neg min" dataDxfId="482"/>
    <tableColumn id="101" xr3:uid="{00000000-0010-0000-1200-000065000000}" name="max. Abrufhäufigkeit pro Jahr neg max" dataDxfId="481"/>
    <tableColumn id="102" xr3:uid="{00000000-0010-0000-1200-000066000000}" name="Investitionsausgaben €_2018/kW" dataDxfId="480"/>
    <tableColumn id="57" xr3:uid="{00000000-0010-0000-1200-000039000000}" name="min. Investitionsausgaben €_2018/kW" dataDxfId="479"/>
    <tableColumn id="56" xr3:uid="{00000000-0010-0000-1200-000038000000}" name="max. Investitionsausgaben €_2018/kW" dataDxfId="478"/>
    <tableColumn id="104" xr3:uid="{00000000-0010-0000-1200-000068000000}" name="var. Kosten Lastverschiebung €_2018/MWh" dataDxfId="477"/>
    <tableColumn id="59" xr3:uid="{00000000-0010-0000-1200-00003B000000}" name="var. Kosten Lastverschiebung €_2018/MWh min" dataDxfId="476"/>
    <tableColumn id="58" xr3:uid="{00000000-0010-0000-1200-00003A000000}" name="var. Kosten Lastverschiebung €_2018/MWh max" dataDxfId="475"/>
    <tableColumn id="107" xr3:uid="{00000000-0010-0000-1200-00006B000000}" name="var. Kosten Lastverzicht €_2018/MWh" dataDxfId="474"/>
    <tableColumn id="106" xr3:uid="{00000000-0010-0000-1200-00006A000000}" name="var. Kosten Lastverzicht €_2018/MWh min" dataDxfId="473"/>
    <tableColumn id="105" xr3:uid="{00000000-0010-0000-1200-000069000000}" name="var. Kosten Lastverzicht €_2018/MWh max" dataDxfId="472"/>
    <tableColumn id="112" xr3:uid="{00000000-0010-0000-1200-000070000000}" name="c_Ber_RL_pos durch €/MW*d" dataDxfId="471"/>
    <tableColumn id="111" xr3:uid="{00000000-0010-0000-1200-00006F000000}" name="c_Ber_RL_pos €/MW*d min" dataDxfId="470"/>
    <tableColumn id="110" xr3:uid="{00000000-0010-0000-1200-00006E000000}" name="c_Ber_RL_pos €/MW*d max" dataDxfId="469"/>
    <tableColumn id="109" xr3:uid="{00000000-0010-0000-1200-00006D000000}" name="c_Ber_RL_neg €/MW*d" dataDxfId="468"/>
    <tableColumn id="108" xr3:uid="{00000000-0010-0000-1200-00006C000000}" name="c_Ber_RL_neg €/MW*d min" dataDxfId="467"/>
    <tableColumn id="18" xr3:uid="{00000000-0010-0000-1200-000012000000}" name="c_Ber_RL_neg €/MW*d max" dataDxfId="466"/>
    <tableColumn id="103" xr3:uid="{00000000-0010-0000-1200-000067000000}" name="fixe Kosten €_2018/kW*a" dataDxfId="465"/>
    <tableColumn id="64" xr3:uid="{00000000-0010-0000-1200-000040000000}" name="fixe Kosten €_2018/kW*a min" dataDxfId="464"/>
    <tableColumn id="19" xr3:uid="{00000000-0010-0000-1200-000013000000}" name="fixe Kosten €_2018/kW*a max" dataDxfId="463"/>
    <tableColumn id="48" xr3:uid="{00000000-0010-0000-1200-000030000000}" name="Investitionsausgaben je Anschlusspunkt (€_2018)" dataDxfId="462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61"/>
    <tableColumn id="55" xr3:uid="{00000000-0010-0000-1200-000037000000}" name="Fundstelle Lastverschiebung" dataDxfId="460"/>
    <tableColumn id="54" xr3:uid="{00000000-0010-0000-1200-000036000000}" name="Fundstelle Lastverzicht" dataDxfId="459"/>
    <tableColumn id="138" xr3:uid="{00000000-0010-0000-1200-00008A000000}" name="Fundstelle Lasterhöhung" dataDxfId="458"/>
    <tableColumn id="21" xr3:uid="{00000000-0010-0000-1200-000015000000}" name="Fundstelle Potenzial pos." dataDxfId="457"/>
    <tableColumn id="22" xr3:uid="{00000000-0010-0000-1200-000016000000}" name="Fundstelle Potenzial neg." dataDxfId="456"/>
    <tableColumn id="23" xr3:uid="{00000000-0010-0000-1200-000017000000}" name="Fundstelle Mindestleistung" dataDxfId="455"/>
    <tableColumn id="43" xr3:uid="{00000000-0010-0000-1200-00002B000000}" name="Fundstelle flexibilisierbarer Anteil" dataDxfId="454"/>
    <tableColumn id="66" xr3:uid="{00000000-0010-0000-1200-000042000000}" name="Fundstelle Durchschnittsauslastung" dataDxfId="453"/>
    <tableColumn id="45" xr3:uid="{00000000-0010-0000-1200-00002D000000}" name="Fundstelle durchschnittliche Leistung" dataDxfId="452"/>
    <tableColumn id="24" xr3:uid="{00000000-0010-0000-1200-000018000000}" name="Fundstelle Maximalleistung" dataDxfId="451"/>
    <tableColumn id="25" xr3:uid="{00000000-0010-0000-1200-000019000000}" name="Fundstelle installierte Leistung" dataDxfId="450"/>
    <tableColumn id="39" xr3:uid="{00000000-0010-0000-1200-000027000000}" name="Fundstelle Aktivierungsdauer" dataDxfId="449"/>
    <tableColumn id="26" xr3:uid="{00000000-0010-0000-1200-00001A000000}" name="Fundstelle Schaltdauer" dataDxfId="448"/>
    <tableColumn id="27" xr3:uid="{00000000-0010-0000-1200-00001B000000}" name="Fundstelle Verschiebedauer" dataDxfId="447"/>
    <tableColumn id="28" xr3:uid="{00000000-0010-0000-1200-00001C000000}" name="Fundstelle Regenerationsdauer" dataDxfId="446"/>
    <tableColumn id="29" xr3:uid="{00000000-0010-0000-1200-00001D000000}" name="Fundstelle Zeitverfügbarkeit" dataDxfId="445"/>
    <tableColumn id="30" xr3:uid="{00000000-0010-0000-1200-00001E000000}" name="Fundstelle max. Abrufhäufigkeit" dataDxfId="444"/>
    <tableColumn id="31" xr3:uid="{00000000-0010-0000-1200-00001F000000}" name="Fundstelle Invest" dataDxfId="443"/>
    <tableColumn id="32" xr3:uid="{00000000-0010-0000-1200-000020000000}" name="Fundstelle var. Kosten" dataDxfId="442"/>
    <tableColumn id="33" xr3:uid="{00000000-0010-0000-1200-000021000000}" name="Fundstelle fixe Kosten" dataDxfId="441"/>
    <tableColumn id="49" xr3:uid="{00000000-0010-0000-1200-000031000000}" name="Fundstelle Investition je Anschlusspunkt" dataDxfId="440"/>
    <tableColumn id="34" xr3:uid="{00000000-0010-0000-1200-000022000000}" name="Fundstelle Bemerkungen" dataDxfId="439"/>
    <tableColumn id="35" xr3:uid="{00000000-0010-0000-1200-000023000000}" name="eigene Anmerkung" dataDxfId="438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37" dataDxfId="436" tableBorderDxfId="435">
  <autoFilter ref="A1:BR55" xr:uid="{00000000-0009-0000-0100-00001E000000}"/>
  <tableColumns count="70">
    <tableColumn id="1" xr3:uid="{00000000-0010-0000-1A00-000001000000}" name="Prozess" dataDxfId="434"/>
    <tableColumn id="47" xr3:uid="{00000000-0010-0000-1A00-00002F000000}" name="Sektorenzuordnung" dataDxfId="433"/>
    <tableColumn id="2" xr3:uid="{00000000-0010-0000-1A00-000002000000}" name="Jahr" dataDxfId="432"/>
    <tableColumn id="52" xr3:uid="{00000000-0010-0000-1A00-000034000000}" name="Lastverschiebung" dataDxfId="431"/>
    <tableColumn id="53" xr3:uid="{00000000-0010-0000-1A00-000035000000}" name="Lastverzicht" dataDxfId="430"/>
    <tableColumn id="3" xr3:uid="{00000000-0010-0000-1A00-000003000000}" name="Potenzial pos. min MW" dataDxfId="429"/>
    <tableColumn id="38" xr3:uid="{00000000-0010-0000-1A00-000026000000}" name="Potenzial pos. MW Durchschnitt" dataDxfId="428"/>
    <tableColumn id="5" xr3:uid="{00000000-0010-0000-1A00-000005000000}" name="Potenzial pos. Sommer MW" dataDxfId="427"/>
    <tableColumn id="68" xr3:uid="{88EA48BC-D464-4E06-B82C-963723BA6B98}" name="Potenzial pos. Winter MW" dataDxfId="426"/>
    <tableColumn id="70" xr3:uid="{447AD4C7-8E89-478E-B97D-DCEE39EBEDFD}" name="Potenzial neg. Sommer MW" dataDxfId="425"/>
    <tableColumn id="69" xr3:uid="{C288EE63-BCB8-4D75-8A73-A3BC4D47AF08}" name="Potenzial neg. Winter MW" dataDxfId="424"/>
    <tableColumn id="37" xr3:uid="{00000000-0010-0000-1A00-000025000000}" name="ausgewiesenes Pot. pos. MW (falls abweichend)" dataDxfId="423"/>
    <tableColumn id="50" xr3:uid="{00000000-0010-0000-1A00-000032000000}" name="Potenzial neg. min MW" dataDxfId="422"/>
    <tableColumn id="41" xr3:uid="{00000000-0010-0000-1A00-000029000000}" name="Potenzial neg. MW Durchschnitt" dataDxfId="421"/>
    <tableColumn id="6" xr3:uid="{00000000-0010-0000-1A00-000006000000}" name="Potenzial neg. max MW" dataDxfId="420"/>
    <tableColumn id="7" xr3:uid="{00000000-0010-0000-1A00-000007000000}" name="Mindestleistung MW" dataDxfId="419"/>
    <tableColumn id="8" xr3:uid="{00000000-0010-0000-1A00-000008000000}" name="Mindestauslastung" dataDxfId="418" dataCellStyle="Prozent"/>
    <tableColumn id="36" xr3:uid="{00000000-0010-0000-1A00-000024000000}" name="flexibilisierbarer Anteil" dataDxfId="417" dataCellStyle="Prozent"/>
    <tableColumn id="67" xr3:uid="{00000000-0010-0000-1A00-000043000000}" name="flexibilisierbarer Anteil an Durchschnittslast" dataDxfId="416" dataCellStyle="Prozent"/>
    <tableColumn id="65" xr3:uid="{00000000-0010-0000-1A00-000041000000}" name="Durchschnittsauslastung" dataDxfId="415" dataCellStyle="Prozent"/>
    <tableColumn id="44" xr3:uid="{00000000-0010-0000-1A00-00002C000000}" name="Durchschnittliche Leistung MW" dataDxfId="414" dataCellStyle="Prozent"/>
    <tableColumn id="9" xr3:uid="{00000000-0010-0000-1A00-000009000000}" name="Maximalleistung MW" dataDxfId="413"/>
    <tableColumn id="46" xr3:uid="{00000000-0010-0000-1A00-00002E000000}" name="Maximalauslastung" dataDxfId="412" dataCellStyle="Prozent"/>
    <tableColumn id="10" xr3:uid="{00000000-0010-0000-1A00-00000A000000}" name="installierte Leistung MW" dataDxfId="411"/>
    <tableColumn id="11" xr3:uid="{00000000-0010-0000-1A00-00000B000000}" name="Aktivierungsdauer (h)" dataDxfId="410"/>
    <tableColumn id="61" xr3:uid="{00000000-0010-0000-1A00-00003D000000}" name="Schaltdauer pos. Min (h)" dataDxfId="409"/>
    <tableColumn id="60" xr3:uid="{00000000-0010-0000-1A00-00003C000000}" name="Schaltdauer pos. max (h)" dataDxfId="408"/>
    <tableColumn id="12" xr3:uid="{00000000-0010-0000-1A00-00000C000000}" name="Schaltdauer pos. (h)" dataDxfId="407"/>
    <tableColumn id="63" xr3:uid="{00000000-0010-0000-1A00-00003F000000}" name="Schaltdauer neg min (h)" dataDxfId="406"/>
    <tableColumn id="62" xr3:uid="{00000000-0010-0000-1A00-00003E000000}" name="Schaltdauer neg. max (h)" dataDxfId="405"/>
    <tableColumn id="51" xr3:uid="{00000000-0010-0000-1A00-000033000000}" name="Schaltdauer neg. (h)" dataDxfId="404"/>
    <tableColumn id="42" xr3:uid="{00000000-0010-0000-1A00-00002A000000}" name="Verschiebedauer min. (h)" dataDxfId="403"/>
    <tableColumn id="4" xr3:uid="{00000000-0010-0000-1A00-000004000000}" name="Verschiebedauer max (h)" dataDxfId="402"/>
    <tableColumn id="13" xr3:uid="{00000000-0010-0000-1A00-00000D000000}" name="Verschiebedauer (h)" dataDxfId="401"/>
    <tableColumn id="14" xr3:uid="{00000000-0010-0000-1A00-00000E000000}" name="Regenerationsdauer (h)" dataDxfId="400"/>
    <tableColumn id="15" xr3:uid="{00000000-0010-0000-1A00-00000F000000}" name="Zeitverfügbarkeit?" dataDxfId="399"/>
    <tableColumn id="16" xr3:uid="{00000000-0010-0000-1A00-000010000000}" name="max. Abrufhäufigkeit pro Woche" dataDxfId="398"/>
    <tableColumn id="40" xr3:uid="{00000000-0010-0000-1A00-000028000000}" name="max. Abrufhäufigkeit pro Jahr" dataDxfId="397"/>
    <tableColumn id="57" xr3:uid="{00000000-0010-0000-1A00-000039000000}" name="min. Investitionsausgaben €_2018/kW" dataDxfId="396"/>
    <tableColumn id="56" xr3:uid="{00000000-0010-0000-1A00-000038000000}" name="max. Investitionsausgaben €_2018/kW" dataDxfId="395"/>
    <tableColumn id="17" xr3:uid="{00000000-0010-0000-1A00-000011000000}" name="Investitionsausgaben €_2018/kW" dataDxfId="394"/>
    <tableColumn id="59" xr3:uid="{00000000-0010-0000-1A00-00003B000000}" name="var. Kosten min. €_2018/MWh" dataDxfId="393"/>
    <tableColumn id="58" xr3:uid="{00000000-0010-0000-1A00-00003A000000}" name="var. Kosten max. €_2018/MWh" dataDxfId="392"/>
    <tableColumn id="18" xr3:uid="{00000000-0010-0000-1A00-000012000000}" name="variable Kosten €_2018/MWh" dataDxfId="391"/>
    <tableColumn id="64" xr3:uid="{00000000-0010-0000-1A00-000040000000}" name="fixe Kosten min. €_2018/kW*a" dataDxfId="390"/>
    <tableColumn id="19" xr3:uid="{00000000-0010-0000-1A00-000013000000}" name="fixe Kosten €_2018/kW*a" dataDxfId="389"/>
    <tableColumn id="48" xr3:uid="{00000000-0010-0000-1A00-000030000000}" name="Investitionsausgaben je Anschlusspunkt (€_2018)" dataDxfId="388"/>
    <tableColumn id="20" xr3:uid="{00000000-0010-0000-1A00-000014000000}" name="Bemerkungen" dataDxfId="387"/>
    <tableColumn id="55" xr3:uid="{00000000-0010-0000-1A00-000037000000}" name="Fundstelle Lastverschiebung" dataDxfId="386"/>
    <tableColumn id="54" xr3:uid="{00000000-0010-0000-1A00-000036000000}" name="Fundstelle Lastverzicht" dataDxfId="385"/>
    <tableColumn id="21" xr3:uid="{00000000-0010-0000-1A00-000015000000}" name="Fundstelle Potenzial pos." dataDxfId="384"/>
    <tableColumn id="22" xr3:uid="{00000000-0010-0000-1A00-000016000000}" name="Fundstelle Potenzial neg." dataDxfId="383"/>
    <tableColumn id="23" xr3:uid="{00000000-0010-0000-1A00-000017000000}" name="Fundstelle Mindestleistung" dataDxfId="382"/>
    <tableColumn id="43" xr3:uid="{00000000-0010-0000-1A00-00002B000000}" name="Funstelle flexibierbarer Anteil" dataDxfId="381"/>
    <tableColumn id="66" xr3:uid="{00000000-0010-0000-1A00-000042000000}" name="Fundstelle Durchschnittsauslastung" dataDxfId="380"/>
    <tableColumn id="45" xr3:uid="{00000000-0010-0000-1A00-00002D000000}" name="Fundstelle durchschnittliche Leistung" dataDxfId="379"/>
    <tableColumn id="24" xr3:uid="{00000000-0010-0000-1A00-000018000000}" name="Fundstelle Maximalleistung" dataDxfId="378"/>
    <tableColumn id="25" xr3:uid="{00000000-0010-0000-1A00-000019000000}" name="Fundstelle installierte Leistung" dataDxfId="377"/>
    <tableColumn id="39" xr3:uid="{00000000-0010-0000-1A00-000027000000}" name="Fundstelle Aktivierungsdauer" dataDxfId="376"/>
    <tableColumn id="26" xr3:uid="{00000000-0010-0000-1A00-00001A000000}" name="Fundstelle Schaltdauer" dataDxfId="375"/>
    <tableColumn id="27" xr3:uid="{00000000-0010-0000-1A00-00001B000000}" name="Fundstelle Verschiebedauer" dataDxfId="374"/>
    <tableColumn id="28" xr3:uid="{00000000-0010-0000-1A00-00001C000000}" name="Fundstelle Regenerationsdauer" dataDxfId="373"/>
    <tableColumn id="29" xr3:uid="{00000000-0010-0000-1A00-00001D000000}" name="Fundstelle Zeitverfügbarkeit" dataDxfId="372"/>
    <tableColumn id="30" xr3:uid="{00000000-0010-0000-1A00-00001E000000}" name="Fundstelle max. Abrufhäufigkeit" dataDxfId="371"/>
    <tableColumn id="31" xr3:uid="{00000000-0010-0000-1A00-00001F000000}" name="Fundstelle Invest" dataDxfId="370"/>
    <tableColumn id="32" xr3:uid="{00000000-0010-0000-1A00-000020000000}" name="Fundstelle var. Kosten" dataDxfId="369"/>
    <tableColumn id="33" xr3:uid="{00000000-0010-0000-1A00-000021000000}" name="Fundstelle fixe Kosten" dataDxfId="368"/>
    <tableColumn id="49" xr3:uid="{00000000-0010-0000-1A00-000031000000}" name="Fundstelle Investition je Anschlusspunkt" dataDxfId="367"/>
    <tableColumn id="34" xr3:uid="{00000000-0010-0000-1A00-000022000000}" name="Fundstelle Bemerkungen" dataDxfId="366"/>
    <tableColumn id="35" xr3:uid="{00000000-0010-0000-1A00-000023000000}" name="eigene Anmerkung" dataDxfId="365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64" dataDxfId="363" tableBorderDxfId="362">
  <autoFilter ref="A1:AR34" xr:uid="{00000000-0009-0000-0100-000010000000}"/>
  <tableColumns count="44">
    <tableColumn id="1" xr3:uid="{00000000-0010-0000-0E00-000001000000}" name="Prozess" dataDxfId="361"/>
    <tableColumn id="47" xr3:uid="{00000000-0010-0000-0E00-00002F000000}" name="Sektorenzuordnung" dataDxfId="360"/>
    <tableColumn id="2" xr3:uid="{00000000-0010-0000-0E00-000002000000}" name="Jahr" dataDxfId="359"/>
    <tableColumn id="52" xr3:uid="{00000000-0010-0000-0E00-000034000000}" name="Lastverschiebung" dataDxfId="358"/>
    <tableColumn id="53" xr3:uid="{00000000-0010-0000-0E00-000035000000}" name="Lastverzicht" dataDxfId="357"/>
    <tableColumn id="68" xr3:uid="{00000000-0010-0000-0E00-000044000000}" name="Lasterhöhung" dataDxfId="356"/>
    <tableColumn id="3" xr3:uid="{00000000-0010-0000-0E00-000003000000}" name="Potenzial pos. min MW" dataDxfId="355"/>
    <tableColumn id="5" xr3:uid="{00000000-0010-0000-0E00-000005000000}" name="Potenzial pos. max MW" dataDxfId="354"/>
    <tableColumn id="69" xr3:uid="{CED58257-C9CB-465E-B244-9ADF50F967B9}" name="Potenzial pos. min MW Lastverzicht" dataDxfId="353"/>
    <tableColumn id="37" xr3:uid="{00000000-0010-0000-0E00-000025000000}" name="Potenzial pos. max MW Lastverzicht" dataDxfId="352"/>
    <tableColumn id="50" xr3:uid="{00000000-0010-0000-0E00-000032000000}" name="Potenzial neg. min MW" dataDxfId="351"/>
    <tableColumn id="6" xr3:uid="{00000000-0010-0000-0E00-000006000000}" name="Potenzial neg. max MW" dataDxfId="350"/>
    <tableColumn id="65" xr3:uid="{00000000-0010-0000-0E00-000041000000}" name="Durchschnittsauslastung" dataDxfId="349" dataCellStyle="Prozent">
      <calculatedColumnFormula>2920/8760</calculatedColumnFormula>
    </tableColumn>
    <tableColumn id="44" xr3:uid="{00000000-0010-0000-0E00-00002C000000}" name="Durchschnittliche Leistung MW" dataDxfId="348" dataCellStyle="Prozent"/>
    <tableColumn id="9" xr3:uid="{00000000-0010-0000-0E00-000009000000}" name="Maximalleistung MW" dataDxfId="347"/>
    <tableColumn id="42" xr3:uid="{00000000-0010-0000-0E00-00002A000000}" name="Verschiebedauer min. (h)" dataDxfId="346"/>
    <tableColumn id="4" xr3:uid="{00000000-0010-0000-0E00-000004000000}" name="Verschiebedauer max (h)" dataDxfId="345"/>
    <tableColumn id="13" xr3:uid="{00000000-0010-0000-0E00-00000D000000}" name="Verschiebedauer (h)" dataDxfId="344"/>
    <tableColumn id="15" xr3:uid="{00000000-0010-0000-0E00-00000F000000}" name="Zeitverfügbarkeit?" dataDxfId="343"/>
    <tableColumn id="16" xr3:uid="{00000000-0010-0000-0E00-000010000000}" name="max. Abrufhäufigkeit pro Woche" dataDxfId="342">
      <calculatedColumnFormula>24*7</calculatedColumnFormula>
    </tableColumn>
    <tableColumn id="40" xr3:uid="{00000000-0010-0000-0E00-000028000000}" name="max. Abrufhäufigkeit pro Jahr" dataDxfId="341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40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9">
      <calculatedColumnFormula>30*Umrechnungsfaktoren!$B$15/Umrechnungsfaktoren!$B$10</calculatedColumnFormula>
    </tableColumn>
    <tableColumn id="56" xr3:uid="{00000000-0010-0000-0E00-000038000000}" name="max. Investitionsausgaben €_2018/kW" dataDxfId="338">
      <calculatedColumnFormula>130*Umrechnungsfaktoren!$B$15/Umrechnungsfaktoren!$B$10</calculatedColumnFormula>
    </tableColumn>
    <tableColumn id="17" xr3:uid="{00000000-0010-0000-0E00-000011000000}" name="Investitionsausgaben €_2018/kW" dataDxfId="337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6">
      <calculatedColumnFormula>0*Umrechnungsfaktoren!$B$15/Umrechnungsfaktoren!$B$10</calculatedColumnFormula>
    </tableColumn>
    <tableColumn id="58" xr3:uid="{00000000-0010-0000-0E00-00003A000000}" name="var. Kosten max. €_2018/MWh" dataDxfId="335">
      <calculatedColumnFormula>0*Umrechnungsfaktoren!$B$15/Umrechnungsfaktoren!$B$10</calculatedColumnFormula>
    </tableColumn>
    <tableColumn id="18" xr3:uid="{00000000-0010-0000-0E00-000012000000}" name="variable Kosten €_2018/MWh" dataDxfId="334">
      <calculatedColumnFormula>0*Umrechnungsfaktoren!$B$15/Umrechnungsfaktoren!$B$10</calculatedColumnFormula>
    </tableColumn>
    <tableColumn id="64" xr3:uid="{00000000-0010-0000-0E00-000040000000}" name="fixe Kosten min. €_2018/kW*a" dataDxfId="333">
      <calculatedColumnFormula>2*Umrechnungsfaktoren!$B$15/Umrechnungsfaktoren!$B$10</calculatedColumnFormula>
    </tableColumn>
    <tableColumn id="67" xr3:uid="{00000000-0010-0000-0E00-000043000000}" name="fixe Kosten max. €_2018/kW*a" dataDxfId="332">
      <calculatedColumnFormula>9*Umrechnungsfaktoren!$B$15/Umrechnungsfaktoren!$B$10</calculatedColumnFormula>
    </tableColumn>
    <tableColumn id="19" xr3:uid="{00000000-0010-0000-0E00-000013000000}" name="fixe Kosten €_2018/kW*a" dataDxfId="331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30"/>
    <tableColumn id="54" xr3:uid="{00000000-0010-0000-0E00-000036000000}" name="Fundstelle Lastverzicht" dataDxfId="329"/>
    <tableColumn id="21" xr3:uid="{00000000-0010-0000-0E00-000015000000}" name="Fundstelle Potenzial pos." dataDxfId="328"/>
    <tableColumn id="22" xr3:uid="{00000000-0010-0000-0E00-000016000000}" name="Fundstelle Potenzial neg." dataDxfId="327"/>
    <tableColumn id="66" xr3:uid="{00000000-0010-0000-0E00-000042000000}" name="Fundstelle Durchschnittsauslastung" dataDxfId="326"/>
    <tableColumn id="45" xr3:uid="{00000000-0010-0000-0E00-00002D000000}" name="Fundstelle durchschnittliche Leistung" dataDxfId="325"/>
    <tableColumn id="24" xr3:uid="{00000000-0010-0000-0E00-000018000000}" name="Fundstelle Maximalleistung" dataDxfId="324"/>
    <tableColumn id="27" xr3:uid="{00000000-0010-0000-0E00-00001B000000}" name="Fundstelle Verschiebedauer" dataDxfId="323"/>
    <tableColumn id="29" xr3:uid="{00000000-0010-0000-0E00-00001D000000}" name="Fundstelle Zeitverfügbarkeit" dataDxfId="322"/>
    <tableColumn id="30" xr3:uid="{00000000-0010-0000-0E00-00001E000000}" name="Fundstelle max. Abrufhäufigkeit" dataDxfId="321"/>
    <tableColumn id="31" xr3:uid="{00000000-0010-0000-0E00-00001F000000}" name="Fundstelle Invest" dataDxfId="320"/>
    <tableColumn id="32" xr3:uid="{00000000-0010-0000-0E00-000020000000}" name="Fundstelle var. Kosten" dataDxfId="319"/>
    <tableColumn id="33" xr3:uid="{00000000-0010-0000-0E00-000021000000}" name="Fundstelle fixe Kosten" dataDxfId="318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7" dataDxfId="316">
  <autoFilter ref="A1:H22" xr:uid="{00000000-0009-0000-0100-000011000000}"/>
  <tableColumns count="8">
    <tableColumn id="1" xr3:uid="{00000000-0010-0000-1000-000001000000}" name="Prozess" dataDxfId="315"/>
    <tableColumn id="13" xr3:uid="{00000000-0010-0000-1000-00000D000000}" name="Sektorenzuordnung" dataDxfId="314"/>
    <tableColumn id="2" xr3:uid="{00000000-0010-0000-1000-000002000000}" name="Jahr" dataDxfId="313"/>
    <tableColumn id="4" xr3:uid="{00000000-0010-0000-1000-000004000000}" name="Anteil Potenzial pos. (an Wert von 2012)" dataDxfId="312" dataCellStyle="Prozent"/>
    <tableColumn id="5" xr3:uid="{00000000-0010-0000-1000-000005000000}" name="Anteil Potenzial neg. (an Wert von 2012)" dataDxfId="311"/>
    <tableColumn id="8" xr3:uid="{00000000-0010-0000-1000-000008000000}" name="Außentemperatur (°C)" dataDxfId="310"/>
    <tableColumn id="3" xr3:uid="{00000000-0010-0000-1000-000003000000}" name="Schaltdauer pos. (h)" dataDxfId="309">
      <calculatedColumnFormula>#REF!*Tabelle23418[[#This Row],[Außentemperatur (°C)]]*#REF!</calculatedColumnFormula>
    </tableColumn>
    <tableColumn id="7" xr3:uid="{00000000-0010-0000-1000-000007000000}" name="Quelle" dataDxfId="308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7" dataDxfId="306" tableBorderDxfId="305">
  <autoFilter ref="A1:GK433" xr:uid="{00000000-0009-0000-0100-000014000000}"/>
  <tableColumns count="193">
    <tableColumn id="1" xr3:uid="{96C1A4D3-6A1F-4A7D-B109-C343F82DBD09}" name="Prozess" dataDxfId="304"/>
    <tableColumn id="139" xr3:uid="{77CD41DB-B587-4BAF-97B3-88399F981AA7}" name="Ursprüngliche Prozessbezeichnung" dataDxfId="303"/>
    <tableColumn id="12" xr3:uid="{F9711526-A687-4C68-9238-E50FBB7E4798}" name="Branche" dataDxfId="302"/>
    <tableColumn id="67" xr3:uid="{69DD47C0-6589-45D7-9337-A472B1981A37}" name="Kürzel" dataDxfId="301"/>
    <tableColumn id="47" xr3:uid="{65C6DEFD-C9CC-4894-9C0C-1219AA9DAB5E}" name="Sektorenzuordnung" dataDxfId="300"/>
    <tableColumn id="10" xr3:uid="{8DF53305-4960-4546-A388-C53031162E35}" name="temporäre Sortierung" dataDxfId="299"/>
    <tableColumn id="2" xr3:uid="{F00BC4C5-2A15-496F-AD98-E7D87B5DD9BA}" name="Jahr" dataDxfId="298"/>
    <tableColumn id="52" xr3:uid="{E3DE3731-72D7-46DD-A2CF-D768E3786F0D}" name="Lastverschiebung" dataDxfId="297"/>
    <tableColumn id="53" xr3:uid="{1A556B2A-1BE1-401E-AD2B-67EC908CB56D}" name="Lastverzicht" dataDxfId="296"/>
    <tableColumn id="137" xr3:uid="{6C82D155-B7D6-4693-829B-960417F8AD0F}" name="Lasterhöhung" dataDxfId="295"/>
    <tableColumn id="3" xr3:uid="{1F81FAF9-2A40-41DF-AE77-5F7FC6639B46}" name="Potenzial pos. MW Durchschnitt min" dataDxfId="294"/>
    <tableColumn id="38" xr3:uid="{1AD52BDD-466A-465B-97B1-F4F6355914BB}" name="Potenzial pos. MW Durchschnitt" dataDxfId="293"/>
    <tableColumn id="5" xr3:uid="{303BE270-A0CE-4807-9C5E-52A46633F3E0}" name="Potenzial pos. MW Durchschnitt max" dataDxfId="292"/>
    <tableColumn id="193" xr3:uid="{AE4860A8-2767-4BE7-A97C-E2CDD13CE759}" name="Potenzial pos. MW Sommer WTT" dataDxfId="291"/>
    <tableColumn id="192" xr3:uid="{97C59C6D-94F0-4BA6-9402-5BD3E7F6E1EA}" name="Potenzial pos. MW min Sommer WTT" dataDxfId="290"/>
    <tableColumn id="191" xr3:uid="{D9014202-F95B-49BA-83E7-724BE38869A5}" name="Potenzial pos. MW max Sommer WTT" dataDxfId="289"/>
    <tableColumn id="190" xr3:uid="{EE352C57-82F2-4521-99D1-6170DAEDCD4A}" name="Potenzial neg. MW Sommer WTT" dataDxfId="288"/>
    <tableColumn id="189" xr3:uid="{D13B44B0-E05B-4E9D-B72F-C30EF58B4650}" name="Potenzial neg. MW min Sommer WTT" dataDxfId="287"/>
    <tableColumn id="188" xr3:uid="{38183D2C-57FC-4036-8C96-0504E688A664}" name="Potenzial neg. MW max Sommer WTT" dataDxfId="286"/>
    <tableColumn id="187" xr3:uid="{797DED71-5BF0-4800-A1BE-C10296E948E2}" name="Potenzial pos. MW Sommer SaT" dataDxfId="285"/>
    <tableColumn id="186" xr3:uid="{1BE44931-BE08-4FDE-8A27-94655EB4E4AF}" name="Potenzial pos. MW min Sommer SaT" dataDxfId="284"/>
    <tableColumn id="185" xr3:uid="{71C92766-354D-4609-BA27-105CCFC36D68}" name="Potenzial pos. MW max Sommer SaT" dataDxfId="283"/>
    <tableColumn id="184" xr3:uid="{4D15777C-6AD9-4924-B47E-FCB1FEBBFD32}" name="Potenzial neg. MW Sommer SaT" dataDxfId="282"/>
    <tableColumn id="183" xr3:uid="{E14ABB7E-ADFD-4080-98A4-51D3B7503856}" name="Potenzial neg. MW min Sommer SaT" dataDxfId="281"/>
    <tableColumn id="182" xr3:uid="{E2662B89-7FDE-4889-8DFB-3678D5BBBCFC}" name="Potenzial neg. MW max Sommer SaT" dataDxfId="280"/>
    <tableColumn id="181" xr3:uid="{DA71B415-7EAE-4732-99C0-6E8D1F00A89A}" name="Potenzial pos. MW Sommer SFN" dataDxfId="279"/>
    <tableColumn id="180" xr3:uid="{FE22F607-7542-40B0-A5F3-59A5EFA92A4C}" name="Potenzial pos. MW min Sommer SFN" dataDxfId="278"/>
    <tableColumn id="179" xr3:uid="{8FA68B8C-5829-4099-8FE5-4EFDCFEC8CB1}" name="Potenzial pos. MW max Sommer SFN" dataDxfId="277"/>
    <tableColumn id="178" xr3:uid="{5DAC66EB-F449-47EC-A7BA-8D631B4F1142}" name="Potenzial neg. MW Sommer SFN" dataDxfId="276"/>
    <tableColumn id="177" xr3:uid="{12609058-7223-4D0B-B034-EFEF5B64E08F}" name="Potenzial neg. MW min Sommer SFN" dataDxfId="275"/>
    <tableColumn id="176" xr3:uid="{2C3F3BBE-1450-447C-A989-2661491562D9}" name="Potenzial neg. MW max Sommer SFN" dataDxfId="274"/>
    <tableColumn id="175" xr3:uid="{D56AB454-0FF1-42AB-8830-B57D84F4D5FA}" name="Potenzial pos. MW Übergangszeit WTT" dataDxfId="273"/>
    <tableColumn id="174" xr3:uid="{B85729C1-6B11-4153-BFC8-C347E7644F5B}" name="Potenzial pos. MW min Übergangszeit WTT" dataDxfId="272"/>
    <tableColumn id="173" xr3:uid="{9E8A7C74-80B5-426B-8EF9-B8915DADE172}" name="Potenzial pos. MW max Übergangszeit WTT" dataDxfId="271"/>
    <tableColumn id="172" xr3:uid="{2207DCE5-B895-4D96-A013-AA9B880474AE}" name="Potenzial neg. MW Übergangszeit WTT" dataDxfId="270"/>
    <tableColumn id="171" xr3:uid="{8E01EEA4-05F1-4D1D-9AE8-AF0076E9A7A4}" name="Potenzial neg. MW min Übergangszeit WTT" dataDxfId="269"/>
    <tableColumn id="170" xr3:uid="{1B6600B5-5C08-4F22-9CBC-D3A6AF136EAF}" name="Potenzial neg. MW max Übergangszeit WTT" dataDxfId="268"/>
    <tableColumn id="169" xr3:uid="{FDBCB040-E87B-4F1A-8309-2409E3CB0249}" name="Potenzial pos. MW Übergangszeit SaT" dataDxfId="267"/>
    <tableColumn id="168" xr3:uid="{B99B39A9-8ED3-493D-917B-2B2EA666AA33}" name="Potenzial pos. MW min Übergangszeit SaT" dataDxfId="266"/>
    <tableColumn id="167" xr3:uid="{F915CEC5-EF4B-46C6-AD03-94D6DE377E2B}" name="Potenzial pos. MW max Übergangszeit SaT" dataDxfId="265"/>
    <tableColumn id="166" xr3:uid="{3C8C7952-5499-4E5A-8590-0A0B90AC8C66}" name="Potenzial neg. MW Übergangszeit SaT" dataDxfId="264"/>
    <tableColumn id="165" xr3:uid="{34BB7003-5064-4993-AA2D-06E1A261150B}" name="Potenzial neg. MW min Übergangszeit SaT" dataDxfId="263"/>
    <tableColumn id="164" xr3:uid="{FC59FC1A-7AA9-4D64-9B8F-7E9C4D270096}" name="Potenzial neg. MW max Übergangszeit SaT" dataDxfId="262"/>
    <tableColumn id="163" xr3:uid="{0E600C4F-260A-4E0A-A212-8DFC4BC7C5C6}" name="Potenzial pos. MW Übergangszeit SFN" dataDxfId="261"/>
    <tableColumn id="162" xr3:uid="{E8AC8775-51AA-4A99-ACB4-73D5E000BC7D}" name="Potenzial pos. MW min Übergangszeit SFN" dataDxfId="260"/>
    <tableColumn id="161" xr3:uid="{3246D209-1395-4FEA-B0F5-E923BCAD4F0C}" name="Potenzial pos. MW max Übergangszeit SFN" dataDxfId="259"/>
    <tableColumn id="160" xr3:uid="{F1B14430-1C38-425C-82A9-16A1BD0DCA64}" name="Potenzial neg. MW Übergangszeit SFN" dataDxfId="258"/>
    <tableColumn id="159" xr3:uid="{B67A209A-031F-411E-97C7-3B28987D97AC}" name="Potenzial neg. MW min Übergangszeit SFN" dataDxfId="257"/>
    <tableColumn id="158" xr3:uid="{35D96867-E3C6-422C-B776-016D1AEB2D93}" name="Potenzial neg. MW max Übergangszeit SFN" dataDxfId="256"/>
    <tableColumn id="157" xr3:uid="{B1E432A3-F533-4305-A414-82E382762A30}" name="Potenzial pos. MW Winter WTT" dataDxfId="255"/>
    <tableColumn id="156" xr3:uid="{FFAE15D9-86ED-4C54-A3F8-0D6FA9C91193}" name="Potenzial pos. MW min Winter WTT" dataDxfId="254"/>
    <tableColumn id="155" xr3:uid="{3A72A55A-AAA9-4401-BC22-1C70E8644AF0}" name="Potenzial pos. MW max Winter WTT" dataDxfId="253"/>
    <tableColumn id="154" xr3:uid="{C92F0B53-27F5-4E7B-B589-B568BADCDB04}" name="Potenzial neg. MW Winter WTT" dataDxfId="252"/>
    <tableColumn id="153" xr3:uid="{3FEB7A3B-ED38-4682-93A4-A9584C984EDF}" name="Potenzial neg. MW min Winter WTT" dataDxfId="251"/>
    <tableColumn id="152" xr3:uid="{DC8B61C1-274C-4E61-B131-6997470160DB}" name="Potenzial neg. MW max Winter WTT" dataDxfId="250"/>
    <tableColumn id="151" xr3:uid="{7E13294E-12F7-44A8-8A84-3CFA0A6B06AC}" name="Potenzial pos. MW Winter SaT" dataDxfId="249"/>
    <tableColumn id="150" xr3:uid="{4D2B1338-B3AA-4B2C-ADC4-117A173B5B09}" name="Potenzial pos. MW min Winter SaT" dataDxfId="248"/>
    <tableColumn id="149" xr3:uid="{131D79BB-3014-4466-AF58-3CFA7B2E7D9A}" name="Potenzial pos. MW max Winter SaT" dataDxfId="247"/>
    <tableColumn id="148" xr3:uid="{E1701B5C-4444-414B-AD88-B5502BED5AF5}" name="Potenzial neg. MW Winter SaT" dataDxfId="246"/>
    <tableColumn id="147" xr3:uid="{2B71BA37-9727-43BD-9A78-992A4FE579CD}" name="Potenzial neg. MW min Winter SaT" dataDxfId="245"/>
    <tableColumn id="146" xr3:uid="{309C7A8C-0AA5-4736-85A0-0AB029E1EDEF}" name="Potenzial neg. MW max Winter SaT" dataDxfId="244"/>
    <tableColumn id="145" xr3:uid="{585444E5-2424-447D-9082-498E9CA3886D}" name="Potenzial pos. MW Winter SFN" dataDxfId="243"/>
    <tableColumn id="144" xr3:uid="{F4A3C6DD-7E3D-4C4C-B1AA-417FA6CE59FE}" name="Potenzial pos. MW min Winter SFN" dataDxfId="242"/>
    <tableColumn id="143" xr3:uid="{62FCBA83-EE49-46A2-B0CA-9FC18615C803}" name="Potenzial pos. MW max Winter SFN" dataDxfId="241"/>
    <tableColumn id="142" xr3:uid="{C39B9B78-B6E5-47D3-96E8-28F0913D6947}" name="Potenzial neg. MW Winter SFN" dataDxfId="240"/>
    <tableColumn id="141" xr3:uid="{34A41BDE-76D0-4296-A456-D28D7122B56A}" name="Potenzial neg. MW min Winter SFN" dataDxfId="239"/>
    <tableColumn id="140" xr3:uid="{4463438D-F9FF-4DB9-AC72-E25649445308}" name="Potenzial neg. MW max Winter SFN" dataDxfId="238"/>
    <tableColumn id="37" xr3:uid="{3E8D265B-CD13-4EBF-AAED-53C0E5294CE2}" name="ausgewiesenes Pot. pos. MW (falls abweichend)" dataDxfId="237"/>
    <tableColumn id="50" xr3:uid="{FCA03C0D-8E63-4E97-98CD-55CDBCA86AFA}" name="Potenzial neg. MW Durchschnitt min" dataDxfId="236"/>
    <tableColumn id="41" xr3:uid="{BC0E3B8B-A8FC-41FD-A335-18F2EFFFD66F}" name="Potenzial neg. MW Durchschnitt" dataDxfId="235"/>
    <tableColumn id="6" xr3:uid="{647C1D17-07D8-4497-8317-9813F38B058C}" name="Potenzial neg. MW Durchschnitt max" dataDxfId="234"/>
    <tableColumn id="77" xr3:uid="{38977BE2-050B-4CC9-BE90-4DAE1A404035}" name="Mindestleistung MW min" dataDxfId="233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32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31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30" dataCellStyle="Prozent"/>
    <tableColumn id="69" xr3:uid="{1D8D0F31-3B58-43CA-87EA-C5285FEB484A}" name="Mindestauslastung durch" dataDxfId="229" dataCellStyle="Prozent"/>
    <tableColumn id="68" xr3:uid="{71A77A65-BD78-4E29-905D-E6FDEFCA9BF2}" name="Mindestauslastung max" dataDxfId="228" dataCellStyle="Prozent"/>
    <tableColumn id="36" xr3:uid="{46F9D17C-B74D-401D-A454-943C83672A89}" name="flexibilisierbarer Anteil" dataDxfId="227" dataCellStyle="Prozent"/>
    <tableColumn id="116" xr3:uid="{8362C7F5-5CDB-406E-8E93-DE43C59A98DA}" name="Durchschnittsauslastung durch Sommer WTT" dataDxfId="226" dataCellStyle="Prozent"/>
    <tableColumn id="117" xr3:uid="{B07582F7-DF1E-4B8B-A9E9-72D08D283DB4}" name="Durchschnittsauslastung min Sommer WTT" dataDxfId="225" dataCellStyle="Prozent"/>
    <tableColumn id="118" xr3:uid="{01B869B4-6A21-473E-8337-8CE0F32CCF8C}" name="Durchschnittsauslastung max Sommer WTT" dataDxfId="224" dataCellStyle="Prozent"/>
    <tableColumn id="113" xr3:uid="{78386D00-162E-402B-859C-37B1ED5C8EA4}" name="Durchschnittsauslastung durch Sommer SaT" dataDxfId="223" dataCellStyle="Prozent"/>
    <tableColumn id="114" xr3:uid="{A3837996-D6BC-4E1B-BF32-13FAA7408812}" name="Durchschnittsauslastung min Sommer SaT" dataDxfId="222" dataCellStyle="Prozent"/>
    <tableColumn id="115" xr3:uid="{D65DD912-0E9D-47A6-8802-D33CEFA142CE}" name="Durchschnittsauslastung max Sommer SaT" dataDxfId="221" dataCellStyle="Prozent"/>
    <tableColumn id="51" xr3:uid="{E3BEFBDF-1CC5-43A0-BF79-991D856A170B}" name="Durchschnittsauslastung durch Sommer SFN" dataDxfId="220" dataCellStyle="Prozent"/>
    <tableColumn id="65" xr3:uid="{0EDFF339-B594-45BC-AA94-A3C96A3E1053}" name="Durchschnittsauslastung min Sommer SFN" dataDxfId="219" dataCellStyle="Prozent"/>
    <tableColumn id="74" xr3:uid="{99342E1F-5558-405E-B844-10AAB3487349}" name="Durchschnittsauslastung max Sommer SFN" dataDxfId="218" dataCellStyle="Prozent"/>
    <tableColumn id="136" xr3:uid="{F1EC9C7C-7F19-42CB-9E62-C257A5826E42}" name="Durchschnittsauslastung durch Übergangszeit WTT" dataDxfId="217" dataCellStyle="Prozent"/>
    <tableColumn id="135" xr3:uid="{7642A2E3-B342-4D68-9ABC-C8A9B852DCBF}" name="Durchschnittsauslastung min Übergangszeit WTT" dataDxfId="216" dataCellStyle="Prozent"/>
    <tableColumn id="134" xr3:uid="{1C601534-90C4-4380-8649-1AF684159A32}" name="Durchschnittsauslastung max Übergangszeit WTT" dataDxfId="215" dataCellStyle="Prozent"/>
    <tableColumn id="133" xr3:uid="{2F6FF9FB-E8C1-4DEC-BDA8-A7DFA431E327}" name="Durchschnittsauslastung durch Übergangszeit SaT" dataDxfId="214" dataCellStyle="Prozent"/>
    <tableColumn id="132" xr3:uid="{00E82B3C-28F5-40C4-93A4-853537DEE257}" name="Durchschnittsauslastung min Übergangszeit SaT" dataDxfId="213" dataCellStyle="Prozent"/>
    <tableColumn id="131" xr3:uid="{44741019-BE35-45C4-8199-C13583E6E824}" name="Durchschnittsauslastung max Übergangszeit SaT" dataDxfId="212" dataCellStyle="Prozent"/>
    <tableColumn id="130" xr3:uid="{7A0E8767-D004-4024-933D-72401F24A2D7}" name="Durchschnittsauslastung durch Übergangszeit SFN" dataDxfId="211" dataCellStyle="Prozent"/>
    <tableColumn id="129" xr3:uid="{316704A6-29D3-4579-8613-EFF9A7B0A6BB}" name="Durchschnittsauslastung min Übergangszeit SFN" dataDxfId="210" dataCellStyle="Prozent"/>
    <tableColumn id="128" xr3:uid="{49B36A64-1113-4C32-B404-62D94FE6359B}" name="Durchschnittsauslastung max Übergangszeit SFN" dataDxfId="209" dataCellStyle="Prozent"/>
    <tableColumn id="127" xr3:uid="{5BAD3DB5-3262-4341-A16E-563D839D0507}" name="Durchschnittsauslastung durch Winter WTT" dataDxfId="208" dataCellStyle="Prozent"/>
    <tableColumn id="126" xr3:uid="{BE193C46-FAE8-4357-ACB6-2DE1B826EF20}" name="Durchschnittsauslastung min Winter WTT" dataDxfId="207" dataCellStyle="Prozent"/>
    <tableColumn id="125" xr3:uid="{D10C1DEC-FB41-461B-8234-4ACC83B23FA2}" name="Durchschnittsauslastung max Winter WTT" dataDxfId="206" dataCellStyle="Prozent"/>
    <tableColumn id="124" xr3:uid="{A940F8A0-8421-4061-B0DF-E9F03604224D}" name="Durchschnittsauslastung durch Winter SaT" dataDxfId="205" dataCellStyle="Prozent"/>
    <tableColumn id="123" xr3:uid="{ACF1A946-9DA1-44DC-B403-03F6CB39993F}" name="Durchschnittsauslastung min Winter SaT" dataDxfId="204" dataCellStyle="Prozent"/>
    <tableColumn id="122" xr3:uid="{67502B37-D509-4BE3-A2D8-BF84CD4303E4}" name="Durchschnittsauslastung max Winter SaT" dataDxfId="203" dataCellStyle="Prozent"/>
    <tableColumn id="121" xr3:uid="{D4B8CEA1-C449-46C5-9ED5-5A9770D21AC3}" name="Durchschnittsauslastung durch Winter SFN" dataDxfId="202" dataCellStyle="Prozent"/>
    <tableColumn id="120" xr3:uid="{4509EA9A-F06D-4081-B047-A47312D359A5}" name="Durchschnittsauslastung min Winter SFN" dataDxfId="201" dataCellStyle="Prozent"/>
    <tableColumn id="119" xr3:uid="{F0A27C97-608E-40EC-9F31-C549EF968EAE}" name="Durchschnittsauslastung max Winter SFN" dataDxfId="200" dataCellStyle="Prozent"/>
    <tableColumn id="78" xr3:uid="{9721A768-6569-4D7F-8443-A114D563D41D}" name="Durchschnittsauslastung min" dataDxfId="199" dataCellStyle="Prozent"/>
    <tableColumn id="70" xr3:uid="{D4A32855-AD9B-4155-A520-4FF71C41E17C}" name="Durchschnittsauslastung durch" dataDxfId="198" dataCellStyle="Prozent"/>
    <tableColumn id="71" xr3:uid="{1DC245D0-7EEE-4C52-A40B-2E7D27EEE5F0}" name="Durchschnittsauslastung max" dataDxfId="197" dataCellStyle="Prozent"/>
    <tableColumn id="80" xr3:uid="{20FCE5C2-79F3-4F83-91C5-5EB1A99E5FBA}" name="Durchschnittliche Leistung MW min" dataDxfId="196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5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94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93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92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91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90"/>
    <tableColumn id="75" xr3:uid="{A6F36E54-E942-4956-A970-AC47F9645B91}" name="Maximalauslastung durch" dataDxfId="189"/>
    <tableColumn id="46" xr3:uid="{567368D0-55E8-40E2-A588-1CB5D70C5BA4}" name="Maximalauslastung max" dataDxfId="188" dataCellStyle="Prozent"/>
    <tableColumn id="17" xr3:uid="{CFD87AFD-9CA7-43B2-9F26-C6291946EDB9}" name="installierte Leistung MW durch" dataDxfId="187" dataCellStyle="Prozent"/>
    <tableColumn id="72" xr3:uid="{6208E59A-3998-44CB-9166-A8DA677DA3D2}" name="installierte Leistung MW min" dataDxfId="186" dataCellStyle="Prozent"/>
    <tableColumn id="73" xr3:uid="{F5840475-D9D8-48B1-86FA-F6FCD9C3D3A0}" name="installierte Leistung MW max" dataDxfId="185"/>
    <tableColumn id="85" xr3:uid="{6D39EBD3-F34C-445D-8AE1-8CA06AEEA18D}" name="Aktivierungsdauer (h) pos durch" dataDxfId="184"/>
    <tableColumn id="84" xr3:uid="{6D671022-658E-4C72-A1D9-057C6BC37BCB}" name="Aktivierungsdauer (h) pos min" dataDxfId="183"/>
    <tableColumn id="11" xr3:uid="{1BD25A5A-95C2-4301-8734-EE02772AAFBE}" name="Aktivierungsdauer (h) pos max" dataDxfId="182"/>
    <tableColumn id="89" xr3:uid="{395C442F-F8CB-4002-AABD-EBBE68158BD5}" name="Aktivierungsdauer (h) neg durch" dataDxfId="181"/>
    <tableColumn id="88" xr3:uid="{DA0C4FD3-7572-4D01-9F2A-0A8616840F25}" name="Aktivierungsdauer (h) neg min" dataDxfId="180"/>
    <tableColumn id="87" xr3:uid="{98AD8273-37FC-424F-AB3F-0A2DD855A304}" name="Aktivierungsdauer (h) neg max" dataDxfId="179"/>
    <tableColumn id="86" xr3:uid="{3FF1DA92-A7EA-4CF9-8E46-B0393AA8D1B5}" name="Schaltdauer pos. (h)" dataDxfId="178"/>
    <tableColumn id="61" xr3:uid="{4EC98DC2-3B24-4F8D-9B15-ED60B8ED031A}" name="Schaltdauer pos. min (h)" dataDxfId="177"/>
    <tableColumn id="60" xr3:uid="{B238AD60-97A6-439B-8144-B606870B962F}" name="Schaltdauer pos. max (h)" dataDxfId="176"/>
    <tableColumn id="90" xr3:uid="{CE57C603-4401-4E7B-933E-389ADC198EEF}" name="Schaltdauer neg. (h)" dataDxfId="175"/>
    <tableColumn id="63" xr3:uid="{E862A055-D738-465E-AE25-4783B8AB818B}" name="Schaltdauer neg min (h)" dataDxfId="174"/>
    <tableColumn id="62" xr3:uid="{9AD5177D-9B5B-4A39-84C6-AC66C0B54E9E}" name="Schaltdauer neg. max (h)" dataDxfId="173"/>
    <tableColumn id="91" xr3:uid="{ED2F4282-7F14-4B80-9E55-C564730FD51C}" name="Verschiebedauer (h)" dataDxfId="172"/>
    <tableColumn id="42" xr3:uid="{867F55B9-CF06-43B9-B5D6-E3445C1D6AD6}" name="Verschiebedauer min. (h)" dataDxfId="171"/>
    <tableColumn id="4" xr3:uid="{45B28C7B-EE73-4CB9-9261-B2141A75A061}" name="Verschiebedauer max (h)" dataDxfId="170"/>
    <tableColumn id="13" xr3:uid="{262CD2DE-0921-4AF3-93EC-66207555112C}" name="Verschiebedauer bei sofortiger Kompensation (h)" dataDxfId="169"/>
    <tableColumn id="93" xr3:uid="{EFD7F299-BD86-4DF3-87D2-EBF8891D8AAA}" name="Verschiebedauer bei sofortiger Kompensation (h) min" dataDxfId="168"/>
    <tableColumn id="92" xr3:uid="{570ADB21-7B8F-43EB-816D-A3C5E247BEEC}" name="Verschiebedauer bei sofortiger Kompensation (h) max" dataDxfId="167"/>
    <tableColumn id="14" xr3:uid="{A0708214-E90D-4D38-8089-67C518B5F01F}" name="Regenerationsdauer (h)" dataDxfId="166"/>
    <tableColumn id="15" xr3:uid="{6AB4E7E6-1BED-4AFE-BDD0-AFBC661251DB}" name="Zeitverfügbarkeit?" dataDxfId="165"/>
    <tableColumn id="16" xr3:uid="{2166F127-9A1B-4FB6-9B54-83603DFA3EDB}" name="max. Abrufhäufigkeit pro Woche" dataDxfId="164"/>
    <tableColumn id="40" xr3:uid="{AA3187DD-25D4-4FD6-A0B9-4357059EC5D7}" name="max. Abrufhäufigkeit pro Jahr pos durch" dataDxfId="163"/>
    <tableColumn id="95" xr3:uid="{3CFCBD6A-123B-46B5-9316-FC67C0CEBC0B}" name="max. Abrufhäufigkeit pro Jahr pos min" dataDxfId="162"/>
    <tableColumn id="94" xr3:uid="{500F092D-C9F3-40B1-A5F8-5FA51617F38A}" name="max. Abrufhäufigkeit pro Jahr pos max" dataDxfId="161"/>
    <tableColumn id="96" xr3:uid="{4BB4FBD3-DF47-4526-8B0A-97A3EEB64CDC}" name="max. Abrufhäufigkeit pro Jahr pos Lastverzicht durch" dataDxfId="160"/>
    <tableColumn id="97" xr3:uid="{AE1B6893-1271-4BBB-9C42-3EBCE52462C0}" name="max. Abrufhäufigkeit pro Jahr pos Lastverzicht min" dataDxfId="159"/>
    <tableColumn id="98" xr3:uid="{B9717376-50B1-43B3-A9A4-E4EE3EAA15FE}" name="max. Abrufhäufigkeit pro Jahr pos Lastverzicht max" dataDxfId="158"/>
    <tableColumn id="99" xr3:uid="{CB3E25D7-559F-4121-8D9A-0061EF4C9301}" name="max. Abrufhäufigkeit pro Jahr neg durch" dataDxfId="157"/>
    <tableColumn id="100" xr3:uid="{442EC75B-33FB-42DE-B012-B9D985E9F5D8}" name="max. Abrufhäufigkeit pro Jahr neg min" dataDxfId="156"/>
    <tableColumn id="101" xr3:uid="{6244B367-2E83-41F9-9430-60162E7A5AD3}" name="max. Abrufhäufigkeit pro Jahr neg max" dataDxfId="155"/>
    <tableColumn id="102" xr3:uid="{72C47A40-5F40-434C-BD0A-F2189C5EF273}" name="Investitionsausgaben €_2018/kW" dataDxfId="154"/>
    <tableColumn id="57" xr3:uid="{CDD1FC1E-00D7-47BA-8607-3950F6D4160E}" name="min. Investitionsausgaben €_2018/kW" dataDxfId="153"/>
    <tableColumn id="56" xr3:uid="{0DAAADA7-2B0A-48B5-82A4-3ED941232CD2}" name="max. Investitionsausgaben €_2018/kW" dataDxfId="152"/>
    <tableColumn id="104" xr3:uid="{5CCA91B8-BC92-4F20-94A4-DF0646CD3B3D}" name="var. Kosten Lastverzicht €_2018/MWh" dataDxfId="151"/>
    <tableColumn id="59" xr3:uid="{3809DADE-E734-4832-8E4E-6D5EFC21526C}" name="var. Kosten Lastverzicht €_2018/MWh min" dataDxfId="150"/>
    <tableColumn id="58" xr3:uid="{0B2E2431-8B85-4F11-9976-C3874BBB61D2}" name="var. Kosten Lastverzicht €_2018/MWh max" dataDxfId="149"/>
    <tableColumn id="107" xr3:uid="{154DDBFF-88AF-440A-A306-3D6EF29D9506}" name="var. Kosten Lastabwurf €_2018/MWh" dataDxfId="148"/>
    <tableColumn id="106" xr3:uid="{D19FC880-69FB-4D13-A487-DAF5C723C3FF}" name="var. Kosten Lastabwurf €_2018/MWh min" dataDxfId="147"/>
    <tableColumn id="105" xr3:uid="{45D97679-0911-4002-8FFD-1A1701A53823}" name="var. Kosten Lastabwurf €_2018/MWh max" dataDxfId="146"/>
    <tableColumn id="112" xr3:uid="{9D37D8DE-BE2B-4615-A274-F7F1BABE19BF}" name="c_Ber_RL_pos durch €/MW*d" dataDxfId="145"/>
    <tableColumn id="111" xr3:uid="{C8A2EA40-9AC2-4E37-8F9C-81D8B90FB108}" name="c_Ber_RL_pos €/MW*d min" dataDxfId="144"/>
    <tableColumn id="110" xr3:uid="{B35EB89B-B09F-4C97-B6A5-1C2493B14DB3}" name="c_Ber_RL_pos €/MW*d max" dataDxfId="143"/>
    <tableColumn id="109" xr3:uid="{80044E1A-F4D5-4AF8-8065-5530D5CE5E4F}" name="c_Ber_RL_neg €/MW*d" dataDxfId="142"/>
    <tableColumn id="108" xr3:uid="{6C93DEAD-70A3-4687-8BBF-DBC9171FB479}" name="c_Ber_RL_neg €/MW*d min" dataDxfId="141"/>
    <tableColumn id="18" xr3:uid="{778B9C92-BD47-40E4-91D7-55EB8E504D1B}" name="c_Ber_RL_neg €/MW*d max" dataDxfId="140"/>
    <tableColumn id="103" xr3:uid="{4B621135-63ED-4984-9DB3-4204BC7C78E4}" name="fixe Kosten €_2018/kW*a" dataDxfId="139"/>
    <tableColumn id="64" xr3:uid="{391F51CB-B0A1-4419-BF68-2FDC0C004E17}" name="fixe Kosten €_2018/kW*a min" dataDxfId="138"/>
    <tableColumn id="19" xr3:uid="{D8148E41-A79B-41F9-A21B-F86BDDA5F987}" name="fixe Kosten €_2018/kW*a max" dataDxfId="137"/>
    <tableColumn id="48" xr3:uid="{146F43A4-4AEB-4FBB-856C-5776F9539CA7}" name="Investitionsausgaben je Anschlusspunkt (€_2018)" dataDxfId="136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5"/>
    <tableColumn id="55" xr3:uid="{30E44965-005B-44FF-B42D-8B7573827709}" name="Fundstelle Lastverschiebung" dataDxfId="134"/>
    <tableColumn id="54" xr3:uid="{4266F067-D36E-4CFC-AE87-918862E2E95E}" name="Fundstelle Lastverzicht" dataDxfId="133"/>
    <tableColumn id="138" xr3:uid="{74715E00-033C-48C2-96C2-80180EE10F96}" name="Fundstelle Lasterhöhung" dataDxfId="132"/>
    <tableColumn id="21" xr3:uid="{CCC4BB04-7584-42B7-BA11-F10C4E67F8F5}" name="Fundstelle Potenzial pos." dataDxfId="131"/>
    <tableColumn id="22" xr3:uid="{A8065E2A-D5AC-451C-9697-AA52C967B605}" name="Fundstelle Potenzial neg." dataDxfId="130"/>
    <tableColumn id="23" xr3:uid="{196FBFE6-979E-4EFF-A9B8-19598F4637AD}" name="Fundstelle Mindestleistung" dataDxfId="129"/>
    <tableColumn id="43" xr3:uid="{669AA592-F733-4CC5-8FC1-B016C09ADB63}" name="Fundstelle flexibilisierbarer Anteil" dataDxfId="128"/>
    <tableColumn id="66" xr3:uid="{7CFCCF7B-3D11-4D42-A494-432686973801}" name="Fundstelle Durchschnittsauslastung" dataDxfId="127"/>
    <tableColumn id="45" xr3:uid="{E5563A05-86B8-48ED-AA7C-8E3D062806BD}" name="Fundstelle durchschnittliche Leistung" dataDxfId="126"/>
    <tableColumn id="24" xr3:uid="{19E8AE68-2903-4ECF-AD55-903C2E57859E}" name="Fundstelle Maximalleistung" dataDxfId="125"/>
    <tableColumn id="25" xr3:uid="{2AC2C3DA-717C-4192-915D-93BCCE615089}" name="Fundstelle installierte Leistung" dataDxfId="124"/>
    <tableColumn id="39" xr3:uid="{A7570360-681E-4B2E-BCDB-693BCFE3EA0B}" name="Fundstelle Aktivierungsdauer" dataDxfId="123"/>
    <tableColumn id="26" xr3:uid="{C8693876-990A-445D-83E1-6C478EDBA2E4}" name="Fundstelle Schaltdauer" dataDxfId="122"/>
    <tableColumn id="27" xr3:uid="{2E2BEDF4-44D2-498A-9610-5EE3F8F0C811}" name="Fundstelle Verschiebedauer" dataDxfId="121"/>
    <tableColumn id="28" xr3:uid="{F767BAC8-E2B4-4FDE-A4B9-B563F3EDDB90}" name="Fundstelle Regenerationsdauer" dataDxfId="120"/>
    <tableColumn id="29" xr3:uid="{77FC9CA1-8158-4F7A-987F-235F2470B602}" name="Fundstelle Zeitverfügbarkeit" dataDxfId="119"/>
    <tableColumn id="30" xr3:uid="{4EB9E033-367E-46DF-A5A0-51DF75221305}" name="Fundstelle max. Abrufhäufigkeit" dataDxfId="118"/>
    <tableColumn id="31" xr3:uid="{74902221-EBB2-4AC4-B8FB-1D679FB311AF}" name="Fundstelle Invest" dataDxfId="117"/>
    <tableColumn id="32" xr3:uid="{01315A07-AEF9-4B88-90F0-FF87331CF923}" name="Fundstelle var. Kosten" dataDxfId="116"/>
    <tableColumn id="33" xr3:uid="{DE820D77-29ED-4D1E-975B-DAA6C8560D7C}" name="Fundstelle fixe Kosten" dataDxfId="115"/>
    <tableColumn id="49" xr3:uid="{F36FD5F7-E938-438C-BCB2-440BCC154780}" name="Fundstelle Investition je Anschlusspunkt" dataDxfId="114"/>
    <tableColumn id="34" xr3:uid="{C3F49686-5E7D-418F-AD2A-EC2B6AFB6384}" name="Fundstelle Bemerkungen" dataDxfId="113"/>
    <tableColumn id="35" xr3:uid="{2C7AB34C-28DC-4969-A46D-327462B4824A}" name="eigene Anmerkung" dataDxfId="11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11">
  <autoFilter ref="A1:D32" xr:uid="{00000000-0009-0000-0100-000020000000}"/>
  <tableColumns count="4">
    <tableColumn id="1" xr3:uid="{00000000-0010-0000-0A00-000001000000}" name="Prozess" dataDxfId="110"/>
    <tableColumn id="16" xr3:uid="{00000000-0010-0000-0A00-000010000000}" name="Sektorenzuordnung" dataDxfId="109"/>
    <tableColumn id="13" xr3:uid="{00000000-0010-0000-0A00-00000D000000}" name="Gruppenzuordnung" dataDxfId="108"/>
    <tableColumn id="7" xr3:uid="{00000000-0010-0000-0A00-000007000000}" name="Quelle" dataDxfId="107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8" totalsRowShown="0" headerRowDxfId="106" dataDxfId="15">
  <autoFilter ref="A1:D28" xr:uid="{00000000-0009-0000-0100-00000B000000}"/>
  <sortState ref="A2:D28">
    <sortCondition ref="A1:A28"/>
  </sortState>
  <tableColumns count="4">
    <tableColumn id="1" xr3:uid="{00000000-0010-0000-1C00-000001000000}" name="Kürzel" dataDxfId="19"/>
    <tableColumn id="2" xr3:uid="{00000000-0010-0000-1C00-000002000000}" name="Kurzbeleg" dataDxfId="18"/>
    <tableColumn id="3" xr3:uid="{00000000-0010-0000-1C00-000003000000}" name="Titel" dataDxfId="17"/>
    <tableColumn id="4" xr3:uid="{00000000-0010-0000-1C00-000004000000}" name="Werte eingepflegt" dataDxfId="16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105" dataDxfId="104">
  <autoFilter ref="A1:E100" xr:uid="{00000000-0009-0000-0100-000009000000}"/>
  <tableColumns count="5">
    <tableColumn id="1" xr3:uid="{00000000-0010-0000-1D00-000001000000}" name="Prozess" dataDxfId="103"/>
    <tableColumn id="5" xr3:uid="{00000000-0010-0000-1D00-000005000000}" name="Spezifizierung Verfahren" dataDxfId="102"/>
    <tableColumn id="2" xr3:uid="{00000000-0010-0000-1D00-000002000000}" name="Sektorenzuordnung" dataDxfId="101"/>
    <tableColumn id="3" xr3:uid="{00000000-0010-0000-1D00-000003000000}" name="binär" dataDxfId="100"/>
    <tableColumn id="4" xr3:uid="{00000000-0010-0000-1D00-000004000000}" name="Enscheidung" dataDxfId="99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E32250F-C735-4FD7-86C9-B291BC041453}" name="Tabelle40" displayName="Tabelle40" ref="A1:D100" totalsRowShown="0" headerRowDxfId="98" tableBorderDxfId="97">
  <autoFilter ref="A1:D100" xr:uid="{63BC7FB7-03E5-49C6-9B0C-F1D35128217D}"/>
  <tableColumns count="4">
    <tableColumn id="1" xr3:uid="{88548980-1B5B-409A-9A2C-AE59A93B0A1F}" name="Prozess (ursprüngliche Kategorien)" dataDxfId="96"/>
    <tableColumn id="2" xr3:uid="{B00A6BDF-0A91-4426-A3EE-1E02DD9052C6}" name="Prozesskategorie" dataDxfId="95"/>
    <tableColumn id="3" xr3:uid="{FC901226-C096-4B1B-AC16-345A2E6E3966}" name="Einstufung" dataDxfId="94"/>
    <tableColumn id="4" xr3:uid="{D16F26F4-DE75-4643-BA59-0BD21A1E58EE}" name="Nutzung?" dataDxfId="93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92" dataDxfId="91">
  <autoFilter ref="A1:B70" xr:uid="{00000000-0009-0000-0100-000009000000}"/>
  <tableColumns count="2">
    <tableColumn id="1" xr3:uid="{5EE1F495-3DBF-4D48-99F2-BA2A3B98DCFF}" name="Prozesskategorie" dataDxfId="90"/>
    <tableColumn id="5" xr3:uid="{08229E5D-CDBE-4802-B2E8-D163F7701E20}" name="Farbe (matplotlib strings)" dataDxfId="89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8" dataDxfId="87">
  <autoFilter ref="A1:F99" xr:uid="{222969A2-424B-4D1C-97BC-4C7E13940DB0}"/>
  <tableColumns count="6">
    <tableColumn id="1" xr3:uid="{C8C8A81A-7560-4959-B391-5C9F555378F2}" name="Prozess (ursprüngliche Kategorien)" dataDxfId="86"/>
    <tableColumn id="2" xr3:uid="{C419B9E9-C634-4A69-B1A0-FBD49AA95678}" name="Prozesskategorie 1" dataDxfId="85"/>
    <tableColumn id="3" xr3:uid="{5497BC71-22C9-4BB8-B4DC-3BEB062DFE57}" name="Prozesskategorie 2" dataDxfId="84"/>
    <tableColumn id="4" xr3:uid="{94695E2C-A740-4A98-913B-CF0A63086A1F}" name="Prozesskategorie 3" dataDxfId="83"/>
    <tableColumn id="5" xr3:uid="{6BE7F5DE-7121-4923-BBBE-CB2CC17535F6}" name="Einstufung" dataDxfId="82"/>
    <tableColumn id="6" xr3:uid="{172AE78C-BFE5-4F1D-AE6E-900556E7B03D}" name="Nutzung Prozesskategorie 1" dataDxfId="81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80" dataDxfId="79" tableBorderDxfId="78">
  <autoFilter ref="A1:AZ2" xr:uid="{00000000-0009-0000-0100-000007000000}"/>
  <tableColumns count="52">
    <tableColumn id="1" xr3:uid="{00000000-0010-0000-1E00-000001000000}" name="Prozess" dataDxfId="77"/>
    <tableColumn id="47" xr3:uid="{00000000-0010-0000-1E00-00002F000000}" name="Sektorenzuordnung" dataDxfId="76"/>
    <tableColumn id="2" xr3:uid="{00000000-0010-0000-1E00-000002000000}" name="Jahr" dataDxfId="75"/>
    <tableColumn id="53" xr3:uid="{00000000-0010-0000-1E00-000035000000}" name="Lastverschiebung" dataDxfId="74"/>
    <tableColumn id="52" xr3:uid="{00000000-0010-0000-1E00-000034000000}" name="Lastverzicht" dataDxfId="73"/>
    <tableColumn id="3" xr3:uid="{00000000-0010-0000-1E00-000003000000}" name="Potenzial pos. min MW" dataDxfId="72"/>
    <tableColumn id="4" xr3:uid="{00000000-0010-0000-1E00-000004000000}" name="Potenzial pos. MW Durchschnitt" dataDxfId="71"/>
    <tableColumn id="38" xr3:uid="{00000000-0010-0000-1E00-000026000000}" name="Potenzial pos. max MW" dataDxfId="70"/>
    <tableColumn id="5" xr3:uid="{00000000-0010-0000-1E00-000005000000}" name="ausgewiesenes Pot. pos. MW (falls abweichend)" dataDxfId="69"/>
    <tableColumn id="37" xr3:uid="{00000000-0010-0000-1E00-000025000000}" name="Potenzial neg. min MW2" dataDxfId="68"/>
    <tableColumn id="50" xr3:uid="{00000000-0010-0000-1E00-000032000000}" name="Potenzial neg. MW Durchschnitt4" dataDxfId="67"/>
    <tableColumn id="42" xr3:uid="{00000000-0010-0000-1E00-00002A000000}" name="Potenzial neg. max MW" dataDxfId="66"/>
    <tableColumn id="41" xr3:uid="{00000000-0010-0000-1E00-000029000000}" name="Mindestleistung MW" dataDxfId="65"/>
    <tableColumn id="6" xr3:uid="{00000000-0010-0000-1E00-000006000000}" name="Mindestauslastung" dataDxfId="64" dataCellStyle="Prozent"/>
    <tableColumn id="7" xr3:uid="{00000000-0010-0000-1E00-000007000000}" name="flexibilisierbarer Anteil" dataDxfId="63" dataCellStyle="Prozent"/>
    <tableColumn id="8" xr3:uid="{00000000-0010-0000-1E00-000008000000}" name="Durchschnittliche Leistung MW" dataDxfId="62" dataCellStyle="Prozent"/>
    <tableColumn id="36" xr3:uid="{00000000-0010-0000-1E00-000024000000}" name="Maximalleistung MW" dataDxfId="61" dataCellStyle="Prozent"/>
    <tableColumn id="44" xr3:uid="{00000000-0010-0000-1E00-00002C000000}" name="Maximalauslastung" dataDxfId="60" dataCellStyle="Prozent"/>
    <tableColumn id="9" xr3:uid="{00000000-0010-0000-1E00-000009000000}" name="installierte Leistung MW" dataDxfId="59"/>
    <tableColumn id="46" xr3:uid="{00000000-0010-0000-1E00-00002E000000}" name="Aktivierungsdauer (h)" dataDxfId="58" dataCellStyle="Prozent"/>
    <tableColumn id="10" xr3:uid="{00000000-0010-0000-1E00-00000A000000}" name="Schaltdauer pos. (h)" dataDxfId="57"/>
    <tableColumn id="11" xr3:uid="{00000000-0010-0000-1E00-00000B000000}" name="Verschiebedauer (h)" dataDxfId="56"/>
    <tableColumn id="12" xr3:uid="{00000000-0010-0000-1E00-00000C000000}" name="Regenerationsdauer (h)" dataDxfId="55"/>
    <tableColumn id="51" xr3:uid="{00000000-0010-0000-1E00-000033000000}" name="Zeitverfügbarkeit?" dataDxfId="54"/>
    <tableColumn id="13" xr3:uid="{00000000-0010-0000-1E00-00000D000000}" name="max. Abrufhäufigkeit pro Woche" dataDxfId="53"/>
    <tableColumn id="14" xr3:uid="{00000000-0010-0000-1E00-00000E000000}" name="max. Abrufhäufigkeit pro Jahr" dataDxfId="52"/>
    <tableColumn id="15" xr3:uid="{00000000-0010-0000-1E00-00000F000000}" name="Investitionsausgaben €_2018/kW" dataDxfId="51"/>
    <tableColumn id="16" xr3:uid="{00000000-0010-0000-1E00-000010000000}" name="variable Kosten €_2018/kWh" dataDxfId="50"/>
    <tableColumn id="40" xr3:uid="{00000000-0010-0000-1E00-000028000000}" name="fixe Kosten €_2018/a" dataDxfId="49"/>
    <tableColumn id="17" xr3:uid="{00000000-0010-0000-1E00-000011000000}" name="Investitionsausgaben je Anschlusspunkt (€_2018)" dataDxfId="48"/>
    <tableColumn id="18" xr3:uid="{00000000-0010-0000-1E00-000012000000}" name="Bemerkungen" dataDxfId="47"/>
    <tableColumn id="19" xr3:uid="{00000000-0010-0000-1E00-000013000000}" name="Fundstelle Lastverschiebung" dataDxfId="46"/>
    <tableColumn id="48" xr3:uid="{00000000-0010-0000-1E00-000030000000}" name="Fundstelle Lastverzicht" dataDxfId="45"/>
    <tableColumn id="20" xr3:uid="{00000000-0010-0000-1E00-000014000000}" name="Fundstelle Potenzial pos." dataDxfId="44"/>
    <tableColumn id="55" xr3:uid="{00000000-0010-0000-1E00-000037000000}" name="Fundstelle Potenzial neg." dataDxfId="43"/>
    <tableColumn id="54" xr3:uid="{00000000-0010-0000-1E00-000036000000}" name="Fundstelle Mindestleistung" dataDxfId="42"/>
    <tableColumn id="21" xr3:uid="{00000000-0010-0000-1E00-000015000000}" name="Fundstelle flexibilisierbarer Anteil" dataDxfId="41"/>
    <tableColumn id="22" xr3:uid="{00000000-0010-0000-1E00-000016000000}" name="Fundstelle durchschnittliche Leistung" dataDxfId="40"/>
    <tableColumn id="23" xr3:uid="{00000000-0010-0000-1E00-000017000000}" name="Fundstelle Maximalleistung" dataDxfId="39"/>
    <tableColumn id="43" xr3:uid="{00000000-0010-0000-1E00-00002B000000}" name="Fundstelle installierte Leistung" dataDxfId="38"/>
    <tableColumn id="45" xr3:uid="{00000000-0010-0000-1E00-00002D000000}" name="Fundstelle Aktivierungsdauer" dataDxfId="37"/>
    <tableColumn id="24" xr3:uid="{00000000-0010-0000-1E00-000018000000}" name="Fundstelle Schaltdauer" dataDxfId="36"/>
    <tableColumn id="25" xr3:uid="{00000000-0010-0000-1E00-000019000000}" name="Fundstelle Verschiebedauer" dataDxfId="35"/>
    <tableColumn id="39" xr3:uid="{00000000-0010-0000-1E00-000027000000}" name="Fundstelle Regenerationsdauer" dataDxfId="34"/>
    <tableColumn id="26" xr3:uid="{00000000-0010-0000-1E00-00001A000000}" name="Fundstelle Zeitverfügbarkeit" dataDxfId="33"/>
    <tableColumn id="27" xr3:uid="{00000000-0010-0000-1E00-00001B000000}" name="Fundstelle max. Abrufhäufigkeit" dataDxfId="32"/>
    <tableColumn id="28" xr3:uid="{00000000-0010-0000-1E00-00001C000000}" name="Fundstelle Invest" dataDxfId="31"/>
    <tableColumn id="29" xr3:uid="{00000000-0010-0000-1E00-00001D000000}" name="Fundstelle var. Kosten" dataDxfId="30"/>
    <tableColumn id="30" xr3:uid="{00000000-0010-0000-1E00-00001E000000}" name="Fundstelle fixe Kosten" dataDxfId="29"/>
    <tableColumn id="31" xr3:uid="{00000000-0010-0000-1E00-00001F000000}" name="Fundstelle Investition je Anschlusspunkt" dataDxfId="28"/>
    <tableColumn id="32" xr3:uid="{00000000-0010-0000-1E00-000020000000}" name="Fundstelle Bemerkungen" dataDxfId="27"/>
    <tableColumn id="33" xr3:uid="{00000000-0010-0000-1E00-000021000000}" name="eigene Anmerkung" dataDxfId="26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25"/>
    <tableColumn id="2" xr3:uid="{00000000-0010-0000-1F00-000002000000}" name="Jahr" dataDxfId="2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23" dataDxfId="22">
  <autoFilter ref="A1:B14" xr:uid="{00000000-0009-0000-0100-000015000000}"/>
  <tableColumns count="2">
    <tableColumn id="1" xr3:uid="{00000000-0010-0000-2000-000001000000}" name="Problem" dataDxfId="21"/>
    <tableColumn id="2" xr3:uid="{00000000-0010-0000-2000-000002000000}" name="Methodischer Ansatz zur Ermittlung von Kennwerten" dataDxfId="2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2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3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table" Target="../tables/table31.xml"/><Relationship Id="rId1" Type="http://schemas.openxmlformats.org/officeDocument/2006/relationships/vmlDrawing" Target="../drawings/vmlDrawing30.vml"/><Relationship Id="rId4" Type="http://schemas.microsoft.com/office/2017/10/relationships/threadedComment" Target="../threadedComments/threadedComment24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2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4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8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V2" activePane="bottomRight" state="frozen"/>
      <selection pane="topRight" activeCell="D1" sqref="D1"/>
      <selection pane="bottomLeft" activeCell="A2" sqref="A2"/>
      <selection pane="bottomRight" activeCell="AZ8" sqref="A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920</v>
      </c>
      <c r="H1" s="2" t="s">
        <v>1089</v>
      </c>
      <c r="I1" s="2" t="s">
        <v>892</v>
      </c>
      <c r="J1" s="2" t="s">
        <v>1090</v>
      </c>
      <c r="K1" s="2" t="s">
        <v>840</v>
      </c>
      <c r="L1" s="2" t="s">
        <v>1098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1144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861</v>
      </c>
      <c r="AB1" s="2" t="s">
        <v>234</v>
      </c>
      <c r="AC1" s="2" t="s">
        <v>1125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992</v>
      </c>
      <c r="AI1" s="2" t="s">
        <v>419</v>
      </c>
      <c r="AJ1" s="2" t="s">
        <v>9</v>
      </c>
      <c r="AK1" s="2" t="s">
        <v>1145</v>
      </c>
      <c r="AL1" s="2" t="s">
        <v>1146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1096</v>
      </c>
      <c r="AW1" s="2" t="s">
        <v>1097</v>
      </c>
      <c r="AX1" s="2" t="s">
        <v>22</v>
      </c>
      <c r="AY1" s="2" t="s">
        <v>163</v>
      </c>
      <c r="AZ1" s="2" t="s">
        <v>164</v>
      </c>
      <c r="BA1" s="2" t="s">
        <v>893</v>
      </c>
      <c r="BB1" s="2" t="s">
        <v>875</v>
      </c>
      <c r="BC1" s="2" t="s">
        <v>1</v>
      </c>
      <c r="BD1" s="2" t="s">
        <v>2</v>
      </c>
      <c r="BE1" s="2" t="s">
        <v>58</v>
      </c>
      <c r="BF1" s="2" t="s">
        <v>894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2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29">
        <f t="shared" ref="AH2:AH7" si="0">0.01/60</f>
        <v>1.6666666666666666E-4</v>
      </c>
      <c r="AI2" s="27">
        <v>0.25</v>
      </c>
      <c r="AJ2" s="27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1091</v>
      </c>
      <c r="BC2" s="13" t="s">
        <v>1095</v>
      </c>
      <c r="BD2" s="13" t="s">
        <v>1095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2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29">
        <f t="shared" si="0"/>
        <v>1.6666666666666666E-4</v>
      </c>
      <c r="AI3" s="27">
        <v>0.25</v>
      </c>
      <c r="AJ3" s="28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1091</v>
      </c>
      <c r="BC3" s="13" t="s">
        <v>1095</v>
      </c>
      <c r="BD3" s="13" t="s">
        <v>1095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2">
        <f>Tabelle589711[[#This Row],[Durchschnittsauslastung]]*8760</f>
        <v>7000</v>
      </c>
      <c r="AB4" s="9">
        <f>7000/8760</f>
        <v>0.79908675799086759</v>
      </c>
      <c r="AC4" s="9"/>
      <c r="AD4" s="87"/>
      <c r="AE4" s="19"/>
      <c r="AF4" s="19"/>
      <c r="AG4" s="19"/>
      <c r="AH4" s="29">
        <f t="shared" si="0"/>
        <v>1.6666666666666666E-4</v>
      </c>
      <c r="AI4" s="27">
        <v>0.25</v>
      </c>
      <c r="AJ4" s="27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1091</v>
      </c>
      <c r="BC4" s="13" t="s">
        <v>1095</v>
      </c>
      <c r="BD4" s="13" t="s">
        <v>1095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2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29">
        <f t="shared" si="0"/>
        <v>1.6666666666666666E-4</v>
      </c>
      <c r="AI5" s="27">
        <v>0.25</v>
      </c>
      <c r="AJ5" s="28">
        <f>10/60</f>
        <v>0.16666666666666666</v>
      </c>
      <c r="AK5" s="28"/>
      <c r="AL5" s="28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1092</v>
      </c>
      <c r="BB5" s="13" t="s">
        <v>1093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2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29">
        <f t="shared" si="0"/>
        <v>1.6666666666666666E-4</v>
      </c>
      <c r="AI6" s="27">
        <v>0.25</v>
      </c>
      <c r="AJ6" s="28">
        <f>10/60</f>
        <v>0.16666666666666666</v>
      </c>
      <c r="AK6" s="28"/>
      <c r="AL6" s="28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1101</v>
      </c>
      <c r="BB6" s="13" t="s">
        <v>1093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2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29">
        <f t="shared" si="0"/>
        <v>1.6666666666666666E-4</v>
      </c>
      <c r="AI7" s="27">
        <v>0.25</v>
      </c>
      <c r="AJ7" s="28">
        <f>10/60</f>
        <v>0.16666666666666666</v>
      </c>
      <c r="AK7" s="28"/>
      <c r="AL7" s="28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1102</v>
      </c>
      <c r="BB7" s="13" t="s">
        <v>1093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2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1099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2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1099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2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1099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2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2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2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2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27">
        <f>100/60</f>
        <v>1.6666666666666667</v>
      </c>
      <c r="AK14" s="27"/>
      <c r="AL14" s="27"/>
      <c r="AT14" s="1" t="s">
        <v>310</v>
      </c>
      <c r="AX14" s="1" t="s">
        <v>1100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2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27">
        <f>100/60</f>
        <v>1.6666666666666667</v>
      </c>
      <c r="AK15" s="27"/>
      <c r="AL15" s="27"/>
      <c r="AT15" s="1" t="s">
        <v>310</v>
      </c>
      <c r="AX15" s="1" t="s">
        <v>1100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2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27">
        <f>100/60</f>
        <v>1.6666666666666667</v>
      </c>
      <c r="AK16" s="27"/>
      <c r="AL16" s="27"/>
      <c r="AT16" s="1" t="s">
        <v>310</v>
      </c>
      <c r="AX16" s="1" t="s">
        <v>1100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946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2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27">
        <v>0.25</v>
      </c>
      <c r="AK17" s="27"/>
      <c r="AL17" s="27"/>
      <c r="AM17" s="1">
        <v>1</v>
      </c>
      <c r="AN17" s="1">
        <v>2</v>
      </c>
      <c r="AT17" s="1" t="s">
        <v>1103</v>
      </c>
      <c r="AU17" s="1">
        <f>2*7</f>
        <v>14</v>
      </c>
      <c r="AV17" s="1">
        <f>Tabelle589711[[#This Row],[max. Abrufhäufigkeit pro Woche]]*52</f>
        <v>728</v>
      </c>
      <c r="AX17" s="1" t="s">
        <v>1104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946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2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27">
        <v>0.25</v>
      </c>
      <c r="AK18" s="27"/>
      <c r="AL18" s="27"/>
      <c r="AM18" s="1">
        <v>1</v>
      </c>
      <c r="AN18" s="1">
        <v>2</v>
      </c>
      <c r="AT18" s="1" t="s">
        <v>1103</v>
      </c>
      <c r="AU18" s="1">
        <f>2*7</f>
        <v>14</v>
      </c>
      <c r="AX18" s="1" t="s">
        <v>1104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946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2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27">
        <v>0.25</v>
      </c>
      <c r="AK19" s="27"/>
      <c r="AL19" s="27"/>
      <c r="AM19" s="1">
        <v>1</v>
      </c>
      <c r="AN19" s="1">
        <v>2</v>
      </c>
      <c r="AT19" s="1" t="s">
        <v>1103</v>
      </c>
      <c r="AU19" s="1">
        <f>2*7</f>
        <v>14</v>
      </c>
      <c r="AX19" s="1" t="s">
        <v>1104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2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28"/>
      <c r="AJ20" s="28">
        <f t="shared" ref="AJ20:AJ51" si="2">0.1/60</f>
        <v>1.6666666666666668E-3</v>
      </c>
      <c r="AK20" s="28"/>
      <c r="AL20" s="28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2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28"/>
      <c r="AJ21" s="28">
        <f t="shared" si="2"/>
        <v>1.6666666666666668E-3</v>
      </c>
      <c r="AK21" s="28"/>
      <c r="AL21" s="28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2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28"/>
      <c r="AJ22" s="28">
        <f t="shared" si="2"/>
        <v>1.6666666666666668E-3</v>
      </c>
      <c r="AK22" s="28"/>
      <c r="AL22" s="28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2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28">
        <f t="shared" si="2"/>
        <v>1.6666666666666668E-3</v>
      </c>
      <c r="AK23" s="28"/>
      <c r="AL23" s="28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2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28">
        <f t="shared" si="2"/>
        <v>1.6666666666666668E-3</v>
      </c>
      <c r="AK24" s="28"/>
      <c r="AL24" s="28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2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28">
        <f t="shared" si="2"/>
        <v>1.6666666666666668E-3</v>
      </c>
      <c r="AK25" s="28"/>
      <c r="AL25" s="28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2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28">
        <f t="shared" si="2"/>
        <v>1.6666666666666668E-3</v>
      </c>
      <c r="AK26" s="28"/>
      <c r="AL26" s="28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2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28">
        <f t="shared" si="2"/>
        <v>1.6666666666666668E-3</v>
      </c>
      <c r="AK27" s="28"/>
      <c r="AL27" s="28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2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28">
        <f t="shared" si="2"/>
        <v>1.6666666666666668E-3</v>
      </c>
      <c r="AK28" s="28"/>
      <c r="AL28" s="28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2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28">
        <f t="shared" si="2"/>
        <v>1.6666666666666668E-3</v>
      </c>
      <c r="AK29" s="28"/>
      <c r="AL29" s="28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2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28">
        <f t="shared" si="2"/>
        <v>1.6666666666666668E-3</v>
      </c>
      <c r="AK30" s="28"/>
      <c r="AL30" s="28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2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28">
        <f t="shared" si="2"/>
        <v>1.6666666666666668E-3</v>
      </c>
      <c r="AK31" s="28"/>
      <c r="AL31" s="28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2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28">
        <f t="shared" si="2"/>
        <v>1.6666666666666668E-3</v>
      </c>
      <c r="AK32" s="28"/>
      <c r="AL32" s="28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2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28">
        <f t="shared" si="2"/>
        <v>1.6666666666666668E-3</v>
      </c>
      <c r="AK33" s="28"/>
      <c r="AL33" s="28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2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28">
        <f t="shared" si="2"/>
        <v>1.6666666666666668E-3</v>
      </c>
      <c r="AK34" s="28"/>
      <c r="AL34" s="28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2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28">
        <f t="shared" si="2"/>
        <v>1.6666666666666668E-3</v>
      </c>
      <c r="AK35" s="28"/>
      <c r="AL35" s="28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2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28">
        <f t="shared" si="2"/>
        <v>1.6666666666666668E-3</v>
      </c>
      <c r="AK36" s="28"/>
      <c r="AL36" s="28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2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28">
        <f t="shared" si="2"/>
        <v>1.6666666666666668E-3</v>
      </c>
      <c r="AK37" s="28"/>
      <c r="AL37" s="28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2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28">
        <f t="shared" si="2"/>
        <v>1.6666666666666668E-3</v>
      </c>
      <c r="AK38" s="28"/>
      <c r="AL38" s="28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2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28">
        <f t="shared" si="2"/>
        <v>1.6666666666666668E-3</v>
      </c>
      <c r="AK39" s="28"/>
      <c r="AL39" s="28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2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28">
        <f t="shared" si="2"/>
        <v>1.6666666666666668E-3</v>
      </c>
      <c r="AK40" s="28"/>
      <c r="AL40" s="28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2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28">
        <f t="shared" si="2"/>
        <v>1.6666666666666668E-3</v>
      </c>
      <c r="AK41" s="28"/>
      <c r="AL41" s="28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2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28">
        <f t="shared" si="2"/>
        <v>1.6666666666666668E-3</v>
      </c>
      <c r="AK42" s="28"/>
      <c r="AL42" s="28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2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28">
        <f t="shared" si="2"/>
        <v>1.6666666666666668E-3</v>
      </c>
      <c r="AK43" s="28"/>
      <c r="AL43" s="28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2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28">
        <f t="shared" si="2"/>
        <v>1.6666666666666668E-3</v>
      </c>
      <c r="AK44" s="28"/>
      <c r="AL44" s="28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2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28">
        <f t="shared" si="2"/>
        <v>1.6666666666666668E-3</v>
      </c>
      <c r="AK45" s="28"/>
      <c r="AL45" s="28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2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28">
        <f t="shared" si="2"/>
        <v>1.6666666666666668E-3</v>
      </c>
      <c r="AK46" s="28"/>
      <c r="AL46" s="28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2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28">
        <f t="shared" si="2"/>
        <v>1.6666666666666668E-3</v>
      </c>
      <c r="AK47" s="28"/>
      <c r="AL47" s="28"/>
      <c r="AR47" s="1">
        <v>24</v>
      </c>
      <c r="AX47" s="1" t="s">
        <v>1105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2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28">
        <f t="shared" si="2"/>
        <v>1.6666666666666668E-3</v>
      </c>
      <c r="AK48" s="28"/>
      <c r="AL48" s="28"/>
      <c r="AR48" s="1">
        <v>24</v>
      </c>
      <c r="AX48" s="1" t="s">
        <v>1105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2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28">
        <f t="shared" si="2"/>
        <v>1.6666666666666668E-3</v>
      </c>
      <c r="AK49" s="28"/>
      <c r="AL49" s="28"/>
      <c r="AR49" s="1">
        <v>24</v>
      </c>
      <c r="AX49" s="1" t="s">
        <v>1105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2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28">
        <f t="shared" si="2"/>
        <v>1.6666666666666668E-3</v>
      </c>
      <c r="AK50" s="28"/>
      <c r="AL50" s="28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2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28">
        <f t="shared" si="2"/>
        <v>1.6666666666666668E-3</v>
      </c>
      <c r="AK51" s="28"/>
      <c r="AL51" s="28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2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28">
        <f t="shared" ref="AJ52:AJ79" si="4">0.1/60</f>
        <v>1.6666666666666668E-3</v>
      </c>
      <c r="AK52" s="28"/>
      <c r="AL52" s="28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2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28">
        <f t="shared" si="4"/>
        <v>1.6666666666666668E-3</v>
      </c>
      <c r="AK53" s="28"/>
      <c r="AL53" s="28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2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28">
        <f t="shared" si="4"/>
        <v>1.6666666666666668E-3</v>
      </c>
      <c r="AK54" s="28"/>
      <c r="AL54" s="28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2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28">
        <f t="shared" si="4"/>
        <v>1.6666666666666668E-3</v>
      </c>
      <c r="AK55" s="28"/>
      <c r="AL55" s="28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2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28">
        <f t="shared" si="4"/>
        <v>1.6666666666666668E-3</v>
      </c>
      <c r="AK56" s="28"/>
      <c r="AL56" s="28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2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28">
        <f t="shared" si="4"/>
        <v>1.6666666666666668E-3</v>
      </c>
      <c r="AK57" s="28"/>
      <c r="AL57" s="28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2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28">
        <f t="shared" si="4"/>
        <v>1.6666666666666668E-3</v>
      </c>
      <c r="AK58" s="28"/>
      <c r="AL58" s="28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2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28">
        <f t="shared" si="4"/>
        <v>1.6666666666666668E-3</v>
      </c>
      <c r="AK59" s="28"/>
      <c r="AL59" s="28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2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28">
        <f t="shared" si="4"/>
        <v>1.6666666666666668E-3</v>
      </c>
      <c r="AK60" s="28"/>
      <c r="AL60" s="28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2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28">
        <f t="shared" si="4"/>
        <v>1.6666666666666668E-3</v>
      </c>
      <c r="AK61" s="28"/>
      <c r="AL61" s="28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2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28">
        <f t="shared" si="4"/>
        <v>1.6666666666666668E-3</v>
      </c>
      <c r="AK62" s="28"/>
      <c r="AL62" s="28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2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28">
        <f t="shared" si="4"/>
        <v>1.6666666666666668E-3</v>
      </c>
      <c r="AK63" s="28"/>
      <c r="AL63" s="28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2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28">
        <f t="shared" si="4"/>
        <v>1.6666666666666668E-3</v>
      </c>
      <c r="AK64" s="28"/>
      <c r="AL64" s="28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2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28">
        <f t="shared" si="4"/>
        <v>1.6666666666666668E-3</v>
      </c>
      <c r="AK65" s="28"/>
      <c r="AL65" s="28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2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28">
        <f t="shared" si="4"/>
        <v>1.6666666666666668E-3</v>
      </c>
      <c r="AK66" s="28"/>
      <c r="AL66" s="28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2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28">
        <f t="shared" si="4"/>
        <v>1.6666666666666668E-3</v>
      </c>
      <c r="AK67" s="28"/>
      <c r="AL67" s="28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2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28">
        <f t="shared" si="4"/>
        <v>1.6666666666666668E-3</v>
      </c>
      <c r="AK68" s="28"/>
      <c r="AL68" s="28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2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28">
        <f t="shared" si="4"/>
        <v>1.6666666666666668E-3</v>
      </c>
      <c r="AK69" s="28"/>
      <c r="AL69" s="28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2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28">
        <f t="shared" si="4"/>
        <v>1.6666666666666668E-3</v>
      </c>
      <c r="AK70" s="28"/>
      <c r="AL70" s="28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2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28">
        <f t="shared" si="4"/>
        <v>1.6666666666666668E-3</v>
      </c>
      <c r="AK71" s="28"/>
      <c r="AL71" s="28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2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28">
        <f t="shared" si="4"/>
        <v>1.6666666666666668E-3</v>
      </c>
      <c r="AK72" s="28"/>
      <c r="AL72" s="28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2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28">
        <f t="shared" si="4"/>
        <v>1.6666666666666668E-3</v>
      </c>
      <c r="AK73" s="28"/>
      <c r="AL73" s="28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2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28">
        <f t="shared" si="4"/>
        <v>1.6666666666666668E-3</v>
      </c>
      <c r="AK74" s="28"/>
      <c r="AL74" s="28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2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28">
        <f t="shared" si="4"/>
        <v>1.6666666666666668E-3</v>
      </c>
      <c r="AK75" s="28"/>
      <c r="AL75" s="28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2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28">
        <f t="shared" si="4"/>
        <v>1.6666666666666668E-3</v>
      </c>
      <c r="AK76" s="28"/>
      <c r="AL76" s="28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2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28">
        <f t="shared" si="4"/>
        <v>1.6666666666666668E-3</v>
      </c>
      <c r="AK77" s="28"/>
      <c r="AL77" s="28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2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28">
        <f t="shared" si="4"/>
        <v>1.6666666666666668E-3</v>
      </c>
      <c r="AK78" s="28"/>
      <c r="AL78" s="28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2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28">
        <f t="shared" si="4"/>
        <v>1.6666666666666668E-3</v>
      </c>
      <c r="AK79" s="28"/>
      <c r="AL79" s="28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opLeftCell="E1" workbookViewId="0"/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840</v>
      </c>
      <c r="I1" s="2" t="s">
        <v>86</v>
      </c>
      <c r="J1" s="2" t="s">
        <v>938</v>
      </c>
      <c r="K1" s="2" t="s">
        <v>937</v>
      </c>
      <c r="L1" s="2" t="s">
        <v>22</v>
      </c>
      <c r="M1" s="2" t="s">
        <v>875</v>
      </c>
      <c r="N1" s="2" t="s">
        <v>1136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0">
        <v>2017</v>
      </c>
      <c r="E2" s="1">
        <v>1</v>
      </c>
      <c r="F2" s="1">
        <v>0</v>
      </c>
      <c r="G2" s="1">
        <v>0</v>
      </c>
      <c r="H2" s="30">
        <v>6</v>
      </c>
      <c r="I2" s="33">
        <v>0.94</v>
      </c>
      <c r="J2" s="30"/>
      <c r="K2" s="30">
        <v>0.1</v>
      </c>
      <c r="L2" s="1" t="s">
        <v>939</v>
      </c>
      <c r="M2" s="30">
        <v>752</v>
      </c>
      <c r="N2" s="30">
        <v>752</v>
      </c>
      <c r="O2" s="30">
        <v>752</v>
      </c>
    </row>
    <row r="3" spans="1:15" x14ac:dyDescent="0.25">
      <c r="A3" s="1" t="s">
        <v>132</v>
      </c>
      <c r="B3" s="1" t="s">
        <v>141</v>
      </c>
      <c r="C3" s="1"/>
      <c r="D3" s="30">
        <v>2017</v>
      </c>
      <c r="E3" s="1">
        <v>1</v>
      </c>
      <c r="F3" s="1">
        <v>0</v>
      </c>
      <c r="G3" s="1">
        <v>0</v>
      </c>
      <c r="H3" s="65">
        <v>4.5</v>
      </c>
      <c r="I3" s="33">
        <v>0.94</v>
      </c>
      <c r="J3" s="1"/>
      <c r="K3" s="1">
        <f>10/60</f>
        <v>0.16666666666666666</v>
      </c>
      <c r="L3" s="1" t="s">
        <v>939</v>
      </c>
      <c r="M3" s="30">
        <v>752</v>
      </c>
      <c r="N3" s="30">
        <v>752</v>
      </c>
      <c r="O3" s="30">
        <v>752</v>
      </c>
    </row>
    <row r="4" spans="1:15" x14ac:dyDescent="0.25">
      <c r="A4" s="1" t="s">
        <v>285</v>
      </c>
      <c r="B4" s="1" t="s">
        <v>141</v>
      </c>
      <c r="C4" s="1"/>
      <c r="D4" s="30">
        <v>2017</v>
      </c>
      <c r="E4" s="1">
        <v>1</v>
      </c>
      <c r="F4" s="1">
        <v>0</v>
      </c>
      <c r="G4" s="1">
        <v>0</v>
      </c>
      <c r="H4" s="65">
        <v>6</v>
      </c>
      <c r="I4" s="64">
        <v>0.93</v>
      </c>
      <c r="J4" s="1"/>
      <c r="K4" s="1">
        <f>6/60</f>
        <v>0.1</v>
      </c>
      <c r="L4" s="1" t="s">
        <v>939</v>
      </c>
      <c r="M4" s="30">
        <v>752</v>
      </c>
      <c r="N4" s="30">
        <v>752</v>
      </c>
      <c r="O4" s="30">
        <v>752</v>
      </c>
    </row>
    <row r="5" spans="1:15" x14ac:dyDescent="0.25">
      <c r="A5" s="1" t="s">
        <v>934</v>
      </c>
      <c r="B5" s="1" t="s">
        <v>141</v>
      </c>
      <c r="C5" s="1"/>
      <c r="D5" s="30">
        <v>2017</v>
      </c>
      <c r="E5" s="1">
        <v>1</v>
      </c>
      <c r="F5" s="1">
        <v>0</v>
      </c>
      <c r="G5" s="1">
        <v>0</v>
      </c>
      <c r="H5" s="65">
        <v>16.399999999999999</v>
      </c>
      <c r="I5" s="64">
        <v>0.9</v>
      </c>
      <c r="J5" s="1">
        <f>1/60</f>
        <v>1.6666666666666666E-2</v>
      </c>
      <c r="K5" s="1">
        <f>1/60</f>
        <v>1.6666666666666666E-2</v>
      </c>
      <c r="L5" s="1"/>
      <c r="M5" s="30">
        <v>752</v>
      </c>
      <c r="N5" s="30">
        <v>752</v>
      </c>
      <c r="O5" s="30">
        <v>752</v>
      </c>
    </row>
    <row r="6" spans="1:15" x14ac:dyDescent="0.25">
      <c r="A6" s="1" t="s">
        <v>134</v>
      </c>
      <c r="B6" s="1" t="s">
        <v>141</v>
      </c>
      <c r="C6" s="1"/>
      <c r="D6" s="30">
        <v>2017</v>
      </c>
      <c r="E6" s="1">
        <v>1</v>
      </c>
      <c r="F6" s="1">
        <v>0</v>
      </c>
      <c r="G6" s="1">
        <v>0</v>
      </c>
      <c r="H6" s="65">
        <v>14.9</v>
      </c>
      <c r="I6" s="64">
        <v>0.97</v>
      </c>
      <c r="J6" s="1">
        <v>0.5</v>
      </c>
      <c r="K6" s="1">
        <v>0.5</v>
      </c>
      <c r="L6" s="1"/>
      <c r="M6" s="30">
        <v>752</v>
      </c>
      <c r="N6" s="30">
        <v>752</v>
      </c>
      <c r="O6" s="30">
        <v>752</v>
      </c>
    </row>
    <row r="7" spans="1:15" x14ac:dyDescent="0.25">
      <c r="A7" s="1" t="s">
        <v>135</v>
      </c>
      <c r="B7" s="1" t="s">
        <v>141</v>
      </c>
      <c r="C7" s="1"/>
      <c r="D7" s="30">
        <v>2017</v>
      </c>
      <c r="E7" s="1">
        <v>1</v>
      </c>
      <c r="F7" s="1">
        <v>0</v>
      </c>
      <c r="G7" s="1">
        <v>0</v>
      </c>
      <c r="H7" s="65">
        <v>13.4</v>
      </c>
      <c r="I7" s="64">
        <v>0.97</v>
      </c>
      <c r="J7" s="1">
        <v>0.5</v>
      </c>
      <c r="K7" s="1">
        <v>0.5</v>
      </c>
      <c r="L7" s="1"/>
      <c r="M7" s="30">
        <v>752</v>
      </c>
      <c r="N7" s="30">
        <v>752</v>
      </c>
      <c r="O7" s="30">
        <v>752</v>
      </c>
    </row>
    <row r="8" spans="1:15" x14ac:dyDescent="0.25">
      <c r="A8" s="1" t="s">
        <v>137</v>
      </c>
      <c r="B8" s="1" t="s">
        <v>141</v>
      </c>
      <c r="C8" s="1"/>
      <c r="D8" s="30">
        <v>2017</v>
      </c>
      <c r="E8" s="1">
        <v>1</v>
      </c>
      <c r="F8" s="1">
        <v>0</v>
      </c>
      <c r="G8" s="1">
        <v>0</v>
      </c>
      <c r="H8" s="65">
        <v>14.1</v>
      </c>
      <c r="I8" s="64">
        <v>0.9</v>
      </c>
      <c r="J8" s="1"/>
      <c r="K8" s="1">
        <v>0.5</v>
      </c>
      <c r="L8" s="1" t="s">
        <v>939</v>
      </c>
      <c r="M8" s="30">
        <v>752</v>
      </c>
      <c r="N8" s="30">
        <v>752</v>
      </c>
      <c r="O8" s="30">
        <v>752</v>
      </c>
    </row>
    <row r="9" spans="1:15" x14ac:dyDescent="0.25">
      <c r="A9" s="1" t="s">
        <v>935</v>
      </c>
      <c r="B9" s="1" t="s">
        <v>141</v>
      </c>
      <c r="C9" s="1"/>
      <c r="D9" s="30">
        <v>2017</v>
      </c>
      <c r="E9" s="1">
        <v>1</v>
      </c>
      <c r="F9" s="1">
        <v>0</v>
      </c>
      <c r="G9" s="1">
        <v>0</v>
      </c>
      <c r="H9" s="65">
        <v>4.5</v>
      </c>
      <c r="I9" s="64">
        <v>0.93</v>
      </c>
      <c r="J9" s="1">
        <v>0.25</v>
      </c>
      <c r="K9" s="1">
        <v>0.25</v>
      </c>
      <c r="L9" s="1"/>
      <c r="M9" s="30">
        <v>752</v>
      </c>
      <c r="N9" s="30">
        <v>752</v>
      </c>
      <c r="O9" s="30">
        <v>752</v>
      </c>
    </row>
    <row r="10" spans="1:15" x14ac:dyDescent="0.25">
      <c r="A10" s="1" t="s">
        <v>140</v>
      </c>
      <c r="B10" s="1" t="s">
        <v>141</v>
      </c>
      <c r="C10" s="1"/>
      <c r="D10" s="30">
        <v>2017</v>
      </c>
      <c r="E10" s="1">
        <v>1</v>
      </c>
      <c r="F10" s="1">
        <v>0</v>
      </c>
      <c r="G10" s="1">
        <v>0</v>
      </c>
      <c r="H10" s="65">
        <v>20.9</v>
      </c>
      <c r="I10" s="64">
        <v>0.93</v>
      </c>
      <c r="J10" s="1"/>
      <c r="K10" s="1">
        <v>0.25</v>
      </c>
      <c r="L10" s="1" t="s">
        <v>939</v>
      </c>
      <c r="M10" s="30">
        <v>752</v>
      </c>
      <c r="N10" s="30">
        <v>752</v>
      </c>
      <c r="O10" s="30">
        <v>752</v>
      </c>
    </row>
    <row r="11" spans="1:15" x14ac:dyDescent="0.25">
      <c r="A11" s="1" t="s">
        <v>152</v>
      </c>
      <c r="B11" s="1" t="s">
        <v>141</v>
      </c>
      <c r="C11" s="1"/>
      <c r="D11" s="30">
        <v>2017</v>
      </c>
      <c r="E11" s="1">
        <v>1</v>
      </c>
      <c r="F11" s="1">
        <v>0</v>
      </c>
      <c r="G11" s="1">
        <v>0</v>
      </c>
      <c r="H11" s="65">
        <v>10.6</v>
      </c>
      <c r="I11" s="64">
        <v>0.93</v>
      </c>
      <c r="J11" s="1">
        <v>0.25</v>
      </c>
      <c r="K11" s="1">
        <v>0.25</v>
      </c>
      <c r="L11" s="1"/>
      <c r="M11" s="30">
        <v>752</v>
      </c>
      <c r="N11" s="30">
        <v>752</v>
      </c>
      <c r="O11" s="30">
        <v>752</v>
      </c>
    </row>
    <row r="12" spans="1:15" x14ac:dyDescent="0.25">
      <c r="A12" s="1" t="s">
        <v>208</v>
      </c>
      <c r="B12" s="1" t="s">
        <v>129</v>
      </c>
      <c r="C12" s="1"/>
      <c r="D12" s="30">
        <v>2017</v>
      </c>
      <c r="E12" s="1">
        <v>1</v>
      </c>
      <c r="F12" s="1">
        <v>0</v>
      </c>
      <c r="G12" s="1">
        <v>0</v>
      </c>
      <c r="H12" s="65">
        <v>7.4</v>
      </c>
      <c r="I12" s="64">
        <v>1</v>
      </c>
      <c r="J12" s="1">
        <v>0.5</v>
      </c>
      <c r="K12" s="1">
        <v>0.5</v>
      </c>
      <c r="L12" s="1"/>
      <c r="M12" s="30">
        <v>752</v>
      </c>
      <c r="N12" s="30">
        <v>752</v>
      </c>
      <c r="O12" s="30">
        <v>752</v>
      </c>
    </row>
    <row r="13" spans="1:15" x14ac:dyDescent="0.25">
      <c r="A13" s="1" t="s">
        <v>211</v>
      </c>
      <c r="B13" s="1" t="s">
        <v>129</v>
      </c>
      <c r="C13" s="1"/>
      <c r="D13" s="30">
        <v>2017</v>
      </c>
      <c r="E13" s="1">
        <v>1</v>
      </c>
      <c r="F13" s="1">
        <v>0</v>
      </c>
      <c r="G13" s="1">
        <v>0</v>
      </c>
      <c r="H13" s="65">
        <v>3</v>
      </c>
      <c r="I13" s="64">
        <v>0.7</v>
      </c>
      <c r="J13" s="1">
        <v>0.25</v>
      </c>
      <c r="K13" s="1">
        <v>0.25</v>
      </c>
      <c r="L13" s="1"/>
      <c r="M13" s="30">
        <v>752</v>
      </c>
      <c r="N13" s="30">
        <v>752</v>
      </c>
      <c r="O13" s="30">
        <v>752</v>
      </c>
    </row>
    <row r="14" spans="1:15" x14ac:dyDescent="0.25">
      <c r="A14" s="1" t="s">
        <v>210</v>
      </c>
      <c r="B14" s="1" t="s">
        <v>129</v>
      </c>
      <c r="C14" s="1"/>
      <c r="D14" s="30">
        <v>2017</v>
      </c>
      <c r="E14" s="1">
        <v>1</v>
      </c>
      <c r="F14" s="1">
        <v>0</v>
      </c>
      <c r="G14" s="1">
        <v>0</v>
      </c>
      <c r="H14" s="65">
        <v>2.6</v>
      </c>
      <c r="I14" s="64">
        <v>0.75</v>
      </c>
      <c r="J14" s="1">
        <v>0.25</v>
      </c>
      <c r="K14" s="1">
        <v>0.25</v>
      </c>
      <c r="L14" s="1"/>
      <c r="M14" s="30">
        <v>752</v>
      </c>
      <c r="N14" s="30">
        <v>752</v>
      </c>
      <c r="O14" s="30">
        <v>752</v>
      </c>
    </row>
    <row r="15" spans="1:15" x14ac:dyDescent="0.25">
      <c r="A15" s="1" t="s">
        <v>138</v>
      </c>
      <c r="B15" s="1" t="s">
        <v>129</v>
      </c>
      <c r="C15" s="1"/>
      <c r="D15" s="30">
        <v>2017</v>
      </c>
      <c r="E15" s="1">
        <v>1</v>
      </c>
      <c r="F15" s="1">
        <v>0</v>
      </c>
      <c r="G15" s="1">
        <v>0</v>
      </c>
      <c r="H15" s="65">
        <v>3.4</v>
      </c>
      <c r="I15" s="64">
        <v>0.25</v>
      </c>
      <c r="J15" s="1">
        <v>2</v>
      </c>
      <c r="K15" s="1">
        <v>0.75</v>
      </c>
      <c r="L15" s="1"/>
      <c r="M15" s="30">
        <v>752</v>
      </c>
      <c r="N15" s="30">
        <v>752</v>
      </c>
      <c r="O15" s="30">
        <v>752</v>
      </c>
    </row>
    <row r="16" spans="1:15" x14ac:dyDescent="0.25">
      <c r="A16" s="1" t="s">
        <v>936</v>
      </c>
      <c r="B16" s="1" t="s">
        <v>129</v>
      </c>
      <c r="C16" s="1"/>
      <c r="D16" s="30">
        <v>2017</v>
      </c>
      <c r="E16" s="1">
        <v>1</v>
      </c>
      <c r="F16" s="1">
        <v>0</v>
      </c>
      <c r="G16" s="1">
        <v>0</v>
      </c>
      <c r="H16" s="65">
        <v>4.2</v>
      </c>
      <c r="I16" s="64">
        <v>1</v>
      </c>
      <c r="J16" s="1">
        <v>8</v>
      </c>
      <c r="K16" s="1">
        <v>0.25</v>
      </c>
      <c r="L16" s="1"/>
      <c r="M16" s="30">
        <v>752</v>
      </c>
      <c r="N16" s="30">
        <v>752</v>
      </c>
      <c r="O16" s="30">
        <v>752</v>
      </c>
    </row>
    <row r="17" spans="1:15" x14ac:dyDescent="0.25">
      <c r="A17" s="1" t="s">
        <v>29</v>
      </c>
      <c r="B17" s="1" t="s">
        <v>128</v>
      </c>
      <c r="C17" s="1"/>
      <c r="D17" s="30">
        <v>2017</v>
      </c>
      <c r="E17" s="1">
        <v>1</v>
      </c>
      <c r="F17" s="1">
        <v>0</v>
      </c>
      <c r="G17" s="1">
        <v>0</v>
      </c>
      <c r="H17" s="65">
        <v>5.3</v>
      </c>
      <c r="I17" s="64">
        <v>0.4</v>
      </c>
      <c r="J17" s="1">
        <v>2</v>
      </c>
      <c r="K17" s="1">
        <v>0</v>
      </c>
      <c r="L17" s="1"/>
      <c r="M17" s="30">
        <v>752</v>
      </c>
      <c r="N17" s="30">
        <v>752</v>
      </c>
      <c r="O17" s="30">
        <v>752</v>
      </c>
    </row>
    <row r="18" spans="1:15" x14ac:dyDescent="0.25">
      <c r="A18" s="1" t="s">
        <v>41</v>
      </c>
      <c r="B18" s="1" t="s">
        <v>128</v>
      </c>
      <c r="C18" s="1"/>
      <c r="D18" s="30">
        <v>2017</v>
      </c>
      <c r="E18" s="1">
        <v>1</v>
      </c>
      <c r="F18" s="1">
        <v>0</v>
      </c>
      <c r="G18" s="1">
        <v>0</v>
      </c>
      <c r="H18" s="65">
        <v>5</v>
      </c>
      <c r="I18" s="64">
        <v>0.3</v>
      </c>
      <c r="J18" s="1">
        <v>4</v>
      </c>
      <c r="K18" s="1">
        <v>0</v>
      </c>
      <c r="L18" s="1"/>
      <c r="M18" s="30">
        <v>752</v>
      </c>
      <c r="N18" s="30">
        <v>752</v>
      </c>
      <c r="O18" s="30">
        <v>752</v>
      </c>
    </row>
    <row r="19" spans="1:15" x14ac:dyDescent="0.25">
      <c r="A19" s="1" t="s">
        <v>53</v>
      </c>
      <c r="B19" s="1" t="s">
        <v>128</v>
      </c>
      <c r="C19" s="1"/>
      <c r="D19" s="30">
        <v>2017</v>
      </c>
      <c r="E19" s="1">
        <v>1</v>
      </c>
      <c r="F19" s="1">
        <v>0</v>
      </c>
      <c r="G19" s="1">
        <v>0</v>
      </c>
      <c r="H19" s="65">
        <v>7.8</v>
      </c>
      <c r="I19" s="64">
        <v>0.25</v>
      </c>
      <c r="J19" s="1">
        <v>4</v>
      </c>
      <c r="K19" s="1">
        <v>0</v>
      </c>
      <c r="L19" s="1"/>
      <c r="M19" s="30">
        <v>752</v>
      </c>
      <c r="N19" s="30">
        <v>752</v>
      </c>
      <c r="O19" s="30">
        <v>752</v>
      </c>
    </row>
    <row r="20" spans="1:15" x14ac:dyDescent="0.25">
      <c r="A20" s="1" t="s">
        <v>279</v>
      </c>
      <c r="B20" s="1" t="s">
        <v>128</v>
      </c>
      <c r="C20" s="1"/>
      <c r="D20" s="30">
        <v>2017</v>
      </c>
      <c r="E20" s="1">
        <v>1</v>
      </c>
      <c r="F20" s="1">
        <v>0</v>
      </c>
      <c r="G20" s="1">
        <v>0</v>
      </c>
      <c r="H20" s="65">
        <v>1.1000000000000001</v>
      </c>
      <c r="I20" s="64">
        <v>0.25</v>
      </c>
      <c r="J20" s="1">
        <v>4</v>
      </c>
      <c r="K20" s="1">
        <v>0</v>
      </c>
      <c r="L20" s="1"/>
      <c r="M20" s="30">
        <v>752</v>
      </c>
      <c r="N20" s="30">
        <v>752</v>
      </c>
      <c r="O20" s="30">
        <v>752</v>
      </c>
    </row>
    <row r="21" spans="1:15" x14ac:dyDescent="0.25">
      <c r="A21" s="1" t="s">
        <v>187</v>
      </c>
      <c r="B21" s="1" t="s">
        <v>128</v>
      </c>
      <c r="C21" s="1"/>
      <c r="D21" s="30">
        <v>2017</v>
      </c>
      <c r="E21" s="1">
        <v>1</v>
      </c>
      <c r="F21" s="1">
        <v>0</v>
      </c>
      <c r="G21" s="1">
        <v>0</v>
      </c>
      <c r="H21" s="65">
        <v>20.8</v>
      </c>
      <c r="I21" s="64">
        <v>1</v>
      </c>
      <c r="J21" s="1">
        <v>1.5</v>
      </c>
      <c r="K21" s="1">
        <v>0</v>
      </c>
      <c r="L21" s="1"/>
      <c r="M21" s="30">
        <v>752</v>
      </c>
      <c r="N21" s="30">
        <v>752</v>
      </c>
      <c r="O21" s="30">
        <v>752</v>
      </c>
    </row>
    <row r="22" spans="1:15" x14ac:dyDescent="0.25">
      <c r="A22" s="1" t="s">
        <v>83</v>
      </c>
      <c r="B22" s="1" t="s">
        <v>128</v>
      </c>
      <c r="C22" s="1"/>
      <c r="D22" s="30">
        <v>2017</v>
      </c>
      <c r="E22" s="1">
        <v>1</v>
      </c>
      <c r="F22" s="1">
        <v>0</v>
      </c>
      <c r="G22" s="1">
        <v>0</v>
      </c>
      <c r="H22" s="65">
        <v>5.3</v>
      </c>
      <c r="I22" s="64">
        <v>1</v>
      </c>
      <c r="J22" s="1">
        <v>0.5</v>
      </c>
      <c r="K22" s="1">
        <v>0</v>
      </c>
      <c r="L22" s="1"/>
      <c r="M22" s="30">
        <v>752</v>
      </c>
      <c r="N22" s="30">
        <v>752</v>
      </c>
      <c r="O22" s="30">
        <v>752</v>
      </c>
    </row>
    <row r="23" spans="1:15" x14ac:dyDescent="0.25">
      <c r="A23" s="1" t="s">
        <v>946</v>
      </c>
      <c r="B23" s="1" t="s">
        <v>128</v>
      </c>
      <c r="C23" s="1"/>
      <c r="D23" s="30">
        <v>2017</v>
      </c>
      <c r="E23" s="1">
        <v>1</v>
      </c>
      <c r="F23" s="1">
        <v>0</v>
      </c>
      <c r="G23" s="1">
        <v>0</v>
      </c>
      <c r="H23" s="65">
        <v>2.2000000000000002</v>
      </c>
      <c r="I23" s="64">
        <v>1</v>
      </c>
      <c r="J23" s="1">
        <v>3</v>
      </c>
      <c r="K23" s="1">
        <v>0</v>
      </c>
      <c r="L23" s="1"/>
      <c r="M23" s="30">
        <v>752</v>
      </c>
      <c r="N23" s="30">
        <v>752</v>
      </c>
      <c r="O23" s="30">
        <v>752</v>
      </c>
    </row>
    <row r="24" spans="1:15" x14ac:dyDescent="0.25">
      <c r="A24" s="1" t="s">
        <v>999</v>
      </c>
      <c r="B24" s="1" t="s">
        <v>128</v>
      </c>
      <c r="C24" s="1"/>
      <c r="D24" s="30">
        <v>2017</v>
      </c>
      <c r="E24" s="1">
        <v>1</v>
      </c>
      <c r="F24" s="1">
        <v>0</v>
      </c>
      <c r="G24" s="1">
        <v>0</v>
      </c>
      <c r="H24" s="65"/>
      <c r="I24" s="64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0">
        <v>2017</v>
      </c>
      <c r="E25" s="1">
        <v>1</v>
      </c>
      <c r="F25" s="1">
        <v>0</v>
      </c>
      <c r="G25" s="1">
        <v>0</v>
      </c>
      <c r="H25" s="65"/>
      <c r="I25" s="64"/>
      <c r="J25" s="1"/>
      <c r="K25" s="1"/>
      <c r="L25" s="1"/>
      <c r="M25" s="1"/>
      <c r="N25" s="13"/>
      <c r="O25" s="1"/>
    </row>
    <row r="26" spans="1:15" x14ac:dyDescent="0.25">
      <c r="A26" s="1" t="s">
        <v>830</v>
      </c>
      <c r="B26" s="1" t="s">
        <v>141</v>
      </c>
      <c r="C26" s="1"/>
      <c r="D26" s="30">
        <v>2017</v>
      </c>
      <c r="E26" s="1">
        <v>1</v>
      </c>
      <c r="F26" s="1">
        <v>0</v>
      </c>
      <c r="G26" s="1">
        <v>0</v>
      </c>
      <c r="H26" s="65"/>
      <c r="I26" s="64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50</v>
      </c>
      <c r="J1" s="2" t="s">
        <v>853</v>
      </c>
      <c r="K1" s="2" t="s">
        <v>157</v>
      </c>
      <c r="L1" s="2" t="s">
        <v>852</v>
      </c>
      <c r="M1" s="2" t="s">
        <v>861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5" t="s">
        <v>29</v>
      </c>
      <c r="B2" s="1" t="s">
        <v>128</v>
      </c>
      <c r="C2" s="55">
        <v>2011</v>
      </c>
      <c r="D2" s="55">
        <v>0</v>
      </c>
      <c r="E2" s="55">
        <v>1</v>
      </c>
      <c r="F2" s="55">
        <v>0</v>
      </c>
      <c r="G2" s="55">
        <f t="shared" ref="G2" si="0">0.46+5.27</f>
        <v>5.7299999999999995</v>
      </c>
      <c r="H2" s="56"/>
      <c r="I2" s="56"/>
      <c r="J2" s="56"/>
      <c r="K2" s="56"/>
      <c r="L2" s="56"/>
      <c r="M2" s="88">
        <f>Tabelle58971114292527[[#This Row],[Durchschnittsauslastung]]*8760</f>
        <v>7358.4</v>
      </c>
      <c r="N2" s="58">
        <v>0.84</v>
      </c>
      <c r="O2" s="57">
        <f>Tabelle58971114292527[[#This Row],[Durchschnittsauslastung]]*Tabelle58971114292527[[#This Row],[installierte Leistung MW]]</f>
        <v>2108.4</v>
      </c>
      <c r="P2" s="56">
        <f>1100+1410</f>
        <v>2510</v>
      </c>
      <c r="Q2" s="1" t="s">
        <v>987</v>
      </c>
      <c r="R2" s="55">
        <v>5</v>
      </c>
      <c r="S2" s="55">
        <v>5</v>
      </c>
      <c r="T2" s="55">
        <v>5</v>
      </c>
    </row>
    <row r="3" spans="1:20" x14ac:dyDescent="0.2">
      <c r="A3" s="55" t="s">
        <v>83</v>
      </c>
      <c r="B3" s="1" t="s">
        <v>128</v>
      </c>
      <c r="C3" s="55">
        <v>2011</v>
      </c>
      <c r="D3" s="55">
        <v>0</v>
      </c>
      <c r="E3" s="55">
        <v>1</v>
      </c>
      <c r="F3" s="55">
        <v>0</v>
      </c>
      <c r="G3" s="55">
        <v>11.25</v>
      </c>
      <c r="H3" s="56"/>
      <c r="I3" s="56"/>
      <c r="J3" s="56"/>
      <c r="K3" s="56"/>
      <c r="L3" s="56"/>
      <c r="M3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58">
        <f>IF(Tabelle58971114292527[[#This Row],[Vollbenutzungsstunden h/a]]&lt;&gt;"",Tabelle58971114292527[[#This Row],[Vollbenutzungsstunden h/a]]/8760,"")</f>
        <v>0.74233906089159873</v>
      </c>
      <c r="O3" s="57">
        <f>Tabelle58971114292527[[#This Row],[Durchschnittsauslastung]]*Tabelle58971114292527[[#This Row],[installierte Leistung MW]]</f>
        <v>1284.2465753424658</v>
      </c>
      <c r="P3" s="56">
        <v>1730</v>
      </c>
      <c r="Q3" s="1" t="s">
        <v>990</v>
      </c>
      <c r="R3" s="55">
        <v>5</v>
      </c>
      <c r="S3" s="55">
        <v>5</v>
      </c>
      <c r="T3" s="55">
        <v>5</v>
      </c>
    </row>
    <row r="4" spans="1:20" x14ac:dyDescent="0.2">
      <c r="A4" s="55" t="s">
        <v>76</v>
      </c>
      <c r="B4" s="1" t="s">
        <v>128</v>
      </c>
      <c r="C4" s="55">
        <v>2011</v>
      </c>
      <c r="D4" s="55">
        <v>0</v>
      </c>
      <c r="E4" s="55">
        <v>1</v>
      </c>
      <c r="F4" s="55">
        <v>0</v>
      </c>
      <c r="G4" s="55">
        <v>5.04</v>
      </c>
      <c r="H4" s="56"/>
      <c r="I4" s="56"/>
      <c r="J4" s="56"/>
      <c r="K4" s="56"/>
      <c r="L4" s="56"/>
      <c r="M4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58">
        <f>IF(Tabelle58971114292527[[#This Row],[Vollbenutzungsstunden h/a]]&lt;&gt;"",Tabelle58971114292527[[#This Row],[Vollbenutzungsstunden h/a]]/8760,"")</f>
        <v>0.69318369367882493</v>
      </c>
      <c r="O4" s="57">
        <f>Tabelle58971114292527[[#This Row],[Durchschnittsauslastung]]*Tabelle58971114292527[[#This Row],[installierte Leistung MW]]</f>
        <v>575.34246575342468</v>
      </c>
      <c r="P4" s="56">
        <v>830</v>
      </c>
      <c r="Q4" s="1" t="s">
        <v>989</v>
      </c>
      <c r="R4" s="55">
        <v>5</v>
      </c>
      <c r="S4" s="55">
        <v>5</v>
      </c>
      <c r="T4" s="55">
        <v>5</v>
      </c>
    </row>
    <row r="5" spans="1:20" x14ac:dyDescent="0.2">
      <c r="A5" s="55" t="s">
        <v>53</v>
      </c>
      <c r="B5" s="1" t="s">
        <v>128</v>
      </c>
      <c r="C5" s="55">
        <v>2011</v>
      </c>
      <c r="D5" s="55">
        <v>1</v>
      </c>
      <c r="E5" s="55">
        <v>1</v>
      </c>
      <c r="F5" s="55">
        <v>0</v>
      </c>
      <c r="G5" s="55">
        <v>6.27</v>
      </c>
      <c r="H5" s="56"/>
      <c r="I5" s="56"/>
      <c r="J5" s="56"/>
      <c r="K5" s="56"/>
      <c r="L5" s="56"/>
      <c r="M5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58">
        <f>IF(Tabelle58971114292527[[#This Row],[Vollbenutzungsstunden h/a]]&lt;&gt;"",Tabelle58971114292527[[#This Row],[Vollbenutzungsstunden h/a]]/8760,"")</f>
        <v>0.99410197869101991</v>
      </c>
      <c r="O5" s="57">
        <f>Tabelle58971114292527[[#This Row],[Durchschnittsauslastung]]*Tabelle58971114292527[[#This Row],[installierte Leistung MW]]</f>
        <v>715.75342465753431</v>
      </c>
      <c r="P5" s="56">
        <v>720</v>
      </c>
      <c r="Q5" s="1" t="s">
        <v>988</v>
      </c>
      <c r="R5" s="55">
        <v>5</v>
      </c>
      <c r="S5" s="55">
        <v>5</v>
      </c>
      <c r="T5" s="55">
        <v>5</v>
      </c>
    </row>
    <row r="6" spans="1:20" x14ac:dyDescent="0.2">
      <c r="A6" s="55" t="s">
        <v>946</v>
      </c>
      <c r="B6" s="1" t="s">
        <v>128</v>
      </c>
      <c r="C6" s="55">
        <v>2011</v>
      </c>
      <c r="D6" s="55">
        <v>1</v>
      </c>
      <c r="E6" s="55">
        <v>1</v>
      </c>
      <c r="F6" s="55">
        <v>0</v>
      </c>
      <c r="G6" s="55">
        <v>2.4300000000000002</v>
      </c>
      <c r="H6" s="56"/>
      <c r="I6" s="56"/>
      <c r="J6" s="56"/>
      <c r="K6" s="56"/>
      <c r="L6" s="56"/>
      <c r="M6" s="88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58">
        <f>IF(Tabelle58971114292527[[#This Row],[Vollbenutzungsstunden h/a]]&lt;&gt;"",Tabelle58971114292527[[#This Row],[Vollbenutzungsstunden h/a]]/8760,"")</f>
        <v>0.86686643835616439</v>
      </c>
      <c r="O6" s="57">
        <f>Tabelle58971114292527[[#This Row],[Durchschnittsauslastung]]*Tabelle58971114292527[[#This Row],[installierte Leistung MW]]</f>
        <v>277.39726027397262</v>
      </c>
      <c r="P6" s="56">
        <v>320</v>
      </c>
      <c r="Q6" s="1" t="s">
        <v>991</v>
      </c>
      <c r="R6" s="55">
        <v>5</v>
      </c>
      <c r="S6" s="55">
        <v>5</v>
      </c>
      <c r="T6" s="55">
        <v>5</v>
      </c>
    </row>
    <row r="7" spans="1:20" x14ac:dyDescent="0.2">
      <c r="A7" s="1" t="s">
        <v>999</v>
      </c>
      <c r="B7" s="1" t="s">
        <v>128</v>
      </c>
      <c r="C7" s="55">
        <v>2011</v>
      </c>
      <c r="D7" s="55">
        <v>1</v>
      </c>
      <c r="E7" s="55">
        <v>0</v>
      </c>
      <c r="F7" s="55">
        <v>0</v>
      </c>
      <c r="G7" s="55"/>
      <c r="H7" s="56">
        <v>1180</v>
      </c>
      <c r="I7" s="56"/>
      <c r="J7" s="56">
        <v>4920</v>
      </c>
      <c r="K7" s="56">
        <v>230</v>
      </c>
      <c r="L7" s="56">
        <v>1860</v>
      </c>
      <c r="M7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58" t="str">
        <f>IF(Tabelle58971114292527[[#This Row],[Vollbenutzungsstunden h/a]]&lt;&gt;"",Tabelle58971114292527[[#This Row],[Vollbenutzungsstunden h/a]]/8760,"")</f>
        <v/>
      </c>
      <c r="O7" s="57"/>
      <c r="P7" s="56"/>
      <c r="Q7" s="55"/>
      <c r="R7" s="55"/>
      <c r="S7" s="55"/>
      <c r="T7" s="55"/>
    </row>
    <row r="8" spans="1:20" x14ac:dyDescent="0.2">
      <c r="A8" s="55" t="s">
        <v>1000</v>
      </c>
      <c r="B8" s="1" t="s">
        <v>128</v>
      </c>
      <c r="C8" s="55">
        <v>2011</v>
      </c>
      <c r="D8" s="55">
        <v>0</v>
      </c>
      <c r="E8" s="55">
        <v>1</v>
      </c>
      <c r="F8" s="55">
        <v>0</v>
      </c>
      <c r="G8" s="55"/>
      <c r="H8" s="56"/>
      <c r="I8" s="56">
        <v>1490</v>
      </c>
      <c r="J8" s="56">
        <v>6750</v>
      </c>
      <c r="K8" s="56"/>
      <c r="L8" s="56"/>
      <c r="M8" s="88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58" t="str">
        <f>IF(Tabelle58971114292527[[#This Row],[Vollbenutzungsstunden h/a]]&lt;&gt;"",Tabelle58971114292527[[#This Row],[Vollbenutzungsstunden h/a]]/8760,"")</f>
        <v/>
      </c>
      <c r="O8" s="57"/>
      <c r="P8" s="56"/>
      <c r="Q8" s="55"/>
      <c r="R8" s="55"/>
      <c r="S8" s="55"/>
      <c r="T8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0" t="s">
        <v>141</v>
      </c>
      <c r="C7" s="30">
        <v>2015</v>
      </c>
      <c r="D7" s="30"/>
      <c r="E7" s="30"/>
      <c r="F7" s="31">
        <v>625.83000000000004</v>
      </c>
      <c r="G7" s="31"/>
      <c r="H7" s="31">
        <v>1251.25</v>
      </c>
      <c r="I7" s="31"/>
      <c r="J7" s="31"/>
      <c r="K7" s="31"/>
      <c r="L7" s="31"/>
      <c r="M7" s="31"/>
      <c r="N7" s="32"/>
      <c r="O7" s="33"/>
      <c r="P7" s="33"/>
      <c r="Q7" s="33"/>
      <c r="R7" s="32"/>
      <c r="S7" s="31"/>
      <c r="T7" s="33"/>
      <c r="U7" s="31"/>
      <c r="V7" s="30"/>
      <c r="W7" s="30"/>
      <c r="X7" s="30"/>
      <c r="Y7" s="30"/>
      <c r="Z7" s="30"/>
      <c r="AA7" s="30"/>
      <c r="AB7" s="30"/>
      <c r="AC7" s="30">
        <v>2</v>
      </c>
      <c r="AD7" s="30">
        <v>24</v>
      </c>
      <c r="AE7" s="30">
        <f>AVERAGE(Tabelle5897111424[[#This Row],[Verschiebedauer min. (h)]:[Verschiebedauer max (h)]])</f>
        <v>13</v>
      </c>
      <c r="AF7" s="30"/>
      <c r="AG7" s="30"/>
      <c r="AH7" s="30"/>
      <c r="AI7" s="30"/>
      <c r="AJ7" s="31"/>
      <c r="AK7" s="31"/>
      <c r="AL7" s="31"/>
      <c r="AM7" s="34"/>
      <c r="AN7" s="34"/>
      <c r="AO7" s="34"/>
      <c r="AP7" s="34"/>
      <c r="AQ7" s="34"/>
      <c r="AR7" s="30"/>
      <c r="AS7" s="30"/>
      <c r="AT7" s="30"/>
      <c r="AU7" s="30"/>
      <c r="AV7" s="35"/>
      <c r="AW7" s="30"/>
      <c r="AX7" s="35"/>
      <c r="AY7" s="35"/>
      <c r="AZ7" s="35"/>
      <c r="BA7" s="35"/>
      <c r="BB7" s="30"/>
      <c r="BC7" s="35"/>
      <c r="BD7" s="35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</row>
    <row r="8" spans="1:67" x14ac:dyDescent="0.2">
      <c r="A8" s="1" t="s">
        <v>132</v>
      </c>
      <c r="B8" s="30" t="s">
        <v>141</v>
      </c>
      <c r="C8" s="30">
        <v>2015</v>
      </c>
      <c r="D8" s="30"/>
      <c r="E8" s="30"/>
      <c r="F8" s="31">
        <v>312.916</v>
      </c>
      <c r="G8" s="31"/>
      <c r="H8" s="31">
        <v>1575</v>
      </c>
      <c r="I8" s="31"/>
      <c r="J8" s="31"/>
      <c r="K8" s="31"/>
      <c r="L8" s="31"/>
      <c r="M8" s="31"/>
      <c r="N8" s="32"/>
      <c r="O8" s="33"/>
      <c r="P8" s="33"/>
      <c r="Q8" s="33"/>
      <c r="R8" s="32"/>
      <c r="S8" s="31"/>
      <c r="T8" s="33"/>
      <c r="U8" s="31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1"/>
      <c r="AK8" s="31"/>
      <c r="AL8" s="31"/>
      <c r="AM8" s="34"/>
      <c r="AN8" s="34"/>
      <c r="AO8" s="34"/>
      <c r="AP8" s="34"/>
      <c r="AQ8" s="34"/>
      <c r="AR8" s="30"/>
      <c r="AS8" s="30"/>
      <c r="AT8" s="30"/>
      <c r="AU8" s="30"/>
      <c r="AV8" s="35"/>
      <c r="AW8" s="30"/>
      <c r="AX8" s="35"/>
      <c r="AY8" s="35"/>
      <c r="AZ8" s="35"/>
      <c r="BA8" s="35"/>
      <c r="BB8" s="30"/>
      <c r="BC8" s="35"/>
      <c r="BD8" s="35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</row>
    <row r="9" spans="1:67" x14ac:dyDescent="0.2">
      <c r="A9" s="30" t="s">
        <v>133</v>
      </c>
      <c r="B9" s="30" t="s">
        <v>141</v>
      </c>
      <c r="C9" s="30">
        <v>2015</v>
      </c>
      <c r="D9" s="30"/>
      <c r="E9" s="30"/>
      <c r="F9" s="31">
        <v>625.83000000000004</v>
      </c>
      <c r="G9" s="31"/>
      <c r="H9" s="31">
        <v>1033.3</v>
      </c>
      <c r="I9" s="31"/>
      <c r="J9" s="31"/>
      <c r="K9" s="31"/>
      <c r="L9" s="31"/>
      <c r="M9" s="31"/>
      <c r="N9" s="32"/>
      <c r="O9" s="33"/>
      <c r="P9" s="33"/>
      <c r="Q9" s="33"/>
      <c r="R9" s="32"/>
      <c r="S9" s="31"/>
      <c r="T9" s="33"/>
      <c r="U9" s="31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1"/>
      <c r="AK9" s="31"/>
      <c r="AL9" s="31"/>
      <c r="AM9" s="34"/>
      <c r="AN9" s="34"/>
      <c r="AO9" s="34"/>
      <c r="AP9" s="34"/>
      <c r="AQ9" s="34"/>
      <c r="AR9" s="30"/>
      <c r="AS9" s="30"/>
      <c r="AT9" s="30"/>
      <c r="AU9" s="30"/>
      <c r="AV9" s="35"/>
      <c r="AW9" s="30"/>
      <c r="AX9" s="35"/>
      <c r="AY9" s="35"/>
      <c r="AZ9" s="35"/>
      <c r="BA9" s="35"/>
      <c r="BB9" s="30"/>
      <c r="BC9" s="35"/>
      <c r="BD9" s="35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0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1001</v>
      </c>
      <c r="K1" s="2" t="s">
        <v>1110</v>
      </c>
      <c r="L1" s="2" t="s">
        <v>155</v>
      </c>
      <c r="M1" s="2" t="s">
        <v>157</v>
      </c>
      <c r="N1" s="2" t="s">
        <v>1002</v>
      </c>
      <c r="O1" s="2" t="s">
        <v>1111</v>
      </c>
      <c r="P1" s="2" t="s">
        <v>55</v>
      </c>
      <c r="Q1" s="2" t="s">
        <v>54</v>
      </c>
      <c r="R1" s="2" t="s">
        <v>1127</v>
      </c>
      <c r="S1" s="2" t="s">
        <v>1128</v>
      </c>
      <c r="T1" s="2" t="s">
        <v>1003</v>
      </c>
      <c r="U1" s="2" t="s">
        <v>1005</v>
      </c>
      <c r="V1" s="2" t="s">
        <v>1004</v>
      </c>
      <c r="W1" s="2" t="s">
        <v>1006</v>
      </c>
      <c r="X1" s="2" t="s">
        <v>1007</v>
      </c>
      <c r="Y1" s="2" t="s">
        <v>1008</v>
      </c>
      <c r="Z1" s="2" t="s">
        <v>1009</v>
      </c>
      <c r="AA1" s="2" t="s">
        <v>1010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1136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946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166.82142857142858</v>
      </c>
      <c r="AH2" s="8">
        <f>500*Umrechnungsfaktoren!$B$15/Umrechnungsfaktoren!$B$8</f>
        <v>545.1680672268908</v>
      </c>
      <c r="AJ2" s="1" t="s">
        <v>1181</v>
      </c>
      <c r="AK2" s="1" t="s">
        <v>1181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5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1181</v>
      </c>
      <c r="AK3" s="1" t="s">
        <v>1181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1181</v>
      </c>
      <c r="AK4" s="1" t="s">
        <v>1181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58"/>
      <c r="U5" s="58"/>
      <c r="V5" s="20">
        <v>370</v>
      </c>
      <c r="W5" s="20"/>
      <c r="X5" s="19"/>
      <c r="Y5" s="19"/>
      <c r="Z5" s="19"/>
      <c r="AA5" s="19"/>
      <c r="AG5" s="8"/>
      <c r="AH5" s="8"/>
      <c r="AJ5" s="1" t="s">
        <v>1181</v>
      </c>
      <c r="AK5" s="1" t="s">
        <v>1181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58">
        <f>Tabelle5897111426[[#This Row],[Durchschnittliche Leistung MW Literatur]]/Tabelle5897111426[[#This Row],[Maximalleistung MW Literatur]]</f>
        <v>0.660377358490566</v>
      </c>
      <c r="U6" s="58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1181</v>
      </c>
      <c r="AK6" s="1" t="s">
        <v>1181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1109</v>
      </c>
      <c r="AJ7" s="1" t="s">
        <v>1181</v>
      </c>
      <c r="AK7" s="1" t="s">
        <v>1181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926.78571428571433</v>
      </c>
      <c r="AH8" s="8">
        <f>1300*Umrechnungsfaktoren!$B$15/Umrechnungsfaktoren!$B$8</f>
        <v>1417.4369747899161</v>
      </c>
      <c r="AJ8" s="1" t="s">
        <v>1181</v>
      </c>
      <c r="AK8" s="1" t="s">
        <v>1181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1181</v>
      </c>
      <c r="AK9" s="1" t="s">
        <v>1181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1181</v>
      </c>
      <c r="AK10" s="1" t="s">
        <v>1181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1181</v>
      </c>
      <c r="AK11" s="1" t="s">
        <v>1181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58">
        <f>Tabelle5897111426[[#This Row],[Durchschnittliche Leistung MW Literatur]]/Tabelle5897111426[[#This Row],[Maximalleistung MW Literatur]]</f>
        <v>0.45</v>
      </c>
      <c r="U12" s="58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1181</v>
      </c>
      <c r="AK12" s="1" t="s">
        <v>1181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58"/>
      <c r="U13" s="58"/>
      <c r="V13" s="20"/>
      <c r="W13" s="20"/>
      <c r="X13" s="19"/>
      <c r="Y13" s="19"/>
      <c r="Z13" s="19"/>
      <c r="AA13" s="19"/>
      <c r="AG13" s="8"/>
      <c r="AH13" s="8"/>
      <c r="AJ13" s="1" t="s">
        <v>1181</v>
      </c>
      <c r="AK13" s="1" t="s">
        <v>1181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1181</v>
      </c>
      <c r="AK14" s="1" t="s">
        <v>1181</v>
      </c>
      <c r="AL14" s="13"/>
      <c r="AN14" s="13"/>
      <c r="AO14" s="13"/>
      <c r="AP14" s="13"/>
      <c r="AQ14" s="13"/>
      <c r="AS14" s="13"/>
    </row>
    <row r="15" spans="1:51" x14ac:dyDescent="0.2">
      <c r="A15" s="55" t="s">
        <v>376</v>
      </c>
      <c r="B15" s="55" t="s">
        <v>129</v>
      </c>
      <c r="C15" s="55">
        <v>2011</v>
      </c>
      <c r="D15" s="1">
        <v>1</v>
      </c>
      <c r="E15" s="1">
        <v>0</v>
      </c>
      <c r="F15" s="1">
        <v>0</v>
      </c>
      <c r="G15" s="55"/>
      <c r="H15" s="56"/>
      <c r="I15" s="56"/>
      <c r="J15" s="56"/>
      <c r="K15" s="56">
        <v>58</v>
      </c>
      <c r="L15" s="56"/>
      <c r="M15" s="56"/>
      <c r="N15" s="56"/>
      <c r="O15" s="56">
        <v>62</v>
      </c>
      <c r="P15" s="56"/>
      <c r="Q15" s="57"/>
      <c r="R15" s="58">
        <v>0.25</v>
      </c>
      <c r="S15" s="58">
        <v>0.27</v>
      </c>
      <c r="T15" s="58">
        <f>Tabelle5897111426[[#This Row],[Durchschnittliche Leistung MW Literatur]]/Tabelle5897111426[[#This Row],[Maximalleistung MW Literatur]]</f>
        <v>0.5</v>
      </c>
      <c r="U15" s="58">
        <f>Tabelle5897111426[[#This Row],[Durchschnittliche Leistung MW Hochrechnung]]/Tabelle5897111426[[#This Row],[Maximalleistung MW Hochrechnung]]</f>
        <v>0.5670995670995671</v>
      </c>
      <c r="V15" s="57">
        <v>167</v>
      </c>
      <c r="W15" s="57">
        <v>131</v>
      </c>
      <c r="X15" s="56">
        <f>Tabelle5897111426[[#This Row],[Durchschnittliche Leistung MW Literatur]]*2</f>
        <v>334</v>
      </c>
      <c r="Y15" s="56">
        <v>231</v>
      </c>
      <c r="Z15" s="56">
        <f>Tabelle5897111426[[#This Row],[Maximalleistung MW Literatur]]</f>
        <v>334</v>
      </c>
      <c r="AA15" s="56">
        <f>Tabelle5897111426[[#This Row],[Maximalleistung MW Hochrechnung]]</f>
        <v>231</v>
      </c>
      <c r="AB15" s="55"/>
      <c r="AC15" s="55"/>
      <c r="AD15" s="55" t="s">
        <v>815</v>
      </c>
      <c r="AE15" s="55"/>
      <c r="AF15" s="55"/>
      <c r="AG15" s="61">
        <f>690*Umrechnungsfaktoren!$B$15/Umrechnungsfaktoren!$B$8</f>
        <v>752.33193277310932</v>
      </c>
      <c r="AH15" s="61">
        <f>3150*Umrechnungsfaktoren!$B$15/Umrechnungsfaktoren!$B$8</f>
        <v>3434.5588235294117</v>
      </c>
      <c r="AI15" s="1" t="s">
        <v>1108</v>
      </c>
      <c r="AJ15" s="1" t="s">
        <v>1181</v>
      </c>
      <c r="AK15" s="1" t="s">
        <v>1181</v>
      </c>
      <c r="AL15" s="62">
        <v>67</v>
      </c>
      <c r="AM15" s="55">
        <v>67</v>
      </c>
      <c r="AN15" s="62"/>
      <c r="AO15" s="62">
        <v>67</v>
      </c>
      <c r="AP15" s="62">
        <v>10</v>
      </c>
      <c r="AQ15" s="13" t="s">
        <v>1011</v>
      </c>
      <c r="AR15" s="13" t="s">
        <v>1011</v>
      </c>
      <c r="AS15" s="55">
        <v>10</v>
      </c>
      <c r="AT15" s="55"/>
      <c r="AU15" s="55"/>
      <c r="AV15" s="55">
        <v>10</v>
      </c>
      <c r="AW15" s="55"/>
      <c r="AX15" s="55">
        <v>125</v>
      </c>
      <c r="AY15" s="55">
        <v>9</v>
      </c>
    </row>
    <row r="16" spans="1:51" x14ac:dyDescent="0.2">
      <c r="A16" s="55" t="s">
        <v>295</v>
      </c>
      <c r="B16" s="55" t="s">
        <v>129</v>
      </c>
      <c r="C16" s="55">
        <v>2011</v>
      </c>
      <c r="D16" s="1">
        <v>1</v>
      </c>
      <c r="E16" s="1">
        <v>0</v>
      </c>
      <c r="F16" s="1">
        <v>0</v>
      </c>
      <c r="G16" s="55"/>
      <c r="H16" s="56">
        <v>20</v>
      </c>
      <c r="I16" s="56"/>
      <c r="J16" s="56">
        <v>30</v>
      </c>
      <c r="K16" s="56">
        <v>22</v>
      </c>
      <c r="L16" s="56">
        <v>20</v>
      </c>
      <c r="M16" s="56"/>
      <c r="N16" s="56">
        <v>30</v>
      </c>
      <c r="O16" s="56">
        <v>17</v>
      </c>
      <c r="P16" s="56"/>
      <c r="Q16" s="57"/>
      <c r="R16" s="58">
        <v>0.21</v>
      </c>
      <c r="S16" s="58">
        <v>0.25</v>
      </c>
      <c r="T16" s="58"/>
      <c r="U16" s="58">
        <f>Tabelle5897111426[[#This Row],[Durchschnittliche Leistung MW Hochrechnung]]/Tabelle5897111426[[#This Row],[Maximalleistung MW Hochrechnung]]</f>
        <v>0.32941176470588235</v>
      </c>
      <c r="V16" s="57"/>
      <c r="W16" s="57">
        <v>28</v>
      </c>
      <c r="X16" s="56"/>
      <c r="Y16" s="56">
        <v>85</v>
      </c>
      <c r="Z16" s="56"/>
      <c r="AA16" s="56">
        <v>85</v>
      </c>
      <c r="AB16" s="55"/>
      <c r="AC16" s="55">
        <v>48</v>
      </c>
      <c r="AD16" s="63" t="s">
        <v>820</v>
      </c>
      <c r="AE16" s="55">
        <v>3</v>
      </c>
      <c r="AF16" s="101">
        <f>Tabelle5897111426[[#This Row],[max. Abrufhäufigkeit pro Woche]]*52.1428571428571</f>
        <v>156.42857142857144</v>
      </c>
      <c r="AG16" s="61"/>
      <c r="AH16" s="61"/>
      <c r="AI16" s="55"/>
      <c r="AJ16" s="1" t="s">
        <v>1181</v>
      </c>
      <c r="AK16" s="1" t="s">
        <v>1181</v>
      </c>
      <c r="AL16" s="13" t="s">
        <v>1012</v>
      </c>
      <c r="AM16" s="13" t="s">
        <v>1012</v>
      </c>
      <c r="AN16" s="62"/>
      <c r="AO16" s="62">
        <v>77</v>
      </c>
      <c r="AP16" s="62"/>
      <c r="AQ16" s="62">
        <v>77</v>
      </c>
      <c r="AR16" s="62">
        <v>77</v>
      </c>
      <c r="AS16" s="62"/>
      <c r="AT16" s="55" t="s">
        <v>819</v>
      </c>
      <c r="AU16" s="55">
        <v>68</v>
      </c>
      <c r="AV16" s="55">
        <v>68</v>
      </c>
      <c r="AW16" s="55">
        <v>70</v>
      </c>
      <c r="AX16" s="55"/>
      <c r="AY16" s="55"/>
    </row>
    <row r="17" spans="1:51" x14ac:dyDescent="0.2">
      <c r="A17" s="55" t="s">
        <v>1134</v>
      </c>
      <c r="B17" s="55" t="s">
        <v>129</v>
      </c>
      <c r="C17" s="55">
        <v>2011</v>
      </c>
      <c r="D17" s="1">
        <v>1</v>
      </c>
      <c r="E17" s="1">
        <v>0</v>
      </c>
      <c r="F17" s="1">
        <v>0</v>
      </c>
      <c r="G17" s="55"/>
      <c r="H17" s="56"/>
      <c r="I17" s="56"/>
      <c r="J17" s="56"/>
      <c r="K17" s="56">
        <v>81</v>
      </c>
      <c r="L17" s="56"/>
      <c r="M17" s="56"/>
      <c r="N17" s="56"/>
      <c r="O17" s="56">
        <v>99</v>
      </c>
      <c r="P17" s="56"/>
      <c r="Q17" s="57"/>
      <c r="R17" s="58">
        <v>0.3</v>
      </c>
      <c r="S17" s="58">
        <v>0.37</v>
      </c>
      <c r="T17" s="58"/>
      <c r="U17" s="58">
        <f>Tabelle5897111426[[#This Row],[Durchschnittliche Leistung MW Hochrechnung]]/Tabelle5897111426[[#This Row],[Maximalleistung MW Hochrechnung]]</f>
        <v>0.47601476014760147</v>
      </c>
      <c r="V17" s="57"/>
      <c r="W17" s="57">
        <v>129</v>
      </c>
      <c r="X17" s="56">
        <v>169</v>
      </c>
      <c r="Y17" s="56">
        <v>271</v>
      </c>
      <c r="Z17" s="56">
        <f>Tabelle5897111426[[#This Row],[Maximalleistung MW Literatur]]</f>
        <v>169</v>
      </c>
      <c r="AA17" s="56">
        <f>Tabelle5897111426[[#This Row],[Maximalleistung MW Hochrechnung]]</f>
        <v>271</v>
      </c>
      <c r="AB17" s="55">
        <v>3</v>
      </c>
      <c r="AC17" s="55"/>
      <c r="AD17" s="55" t="s">
        <v>821</v>
      </c>
      <c r="AE17" s="55"/>
      <c r="AF17" s="55"/>
      <c r="AG17" s="61">
        <f>300*Umrechnungsfaktoren!$B$15/Umrechnungsfaktoren!$B$8</f>
        <v>327.10084033613447</v>
      </c>
      <c r="AH17" s="61">
        <f>600*Umrechnungsfaktoren!$B$15/Umrechnungsfaktoren!$B$8</f>
        <v>654.20168067226894</v>
      </c>
      <c r="AI17" s="55"/>
      <c r="AJ17" s="1" t="s">
        <v>1181</v>
      </c>
      <c r="AK17" s="1" t="s">
        <v>1181</v>
      </c>
      <c r="AL17" s="62">
        <v>88</v>
      </c>
      <c r="AM17" s="55">
        <v>88</v>
      </c>
      <c r="AN17" s="62"/>
      <c r="AO17" s="62">
        <v>88</v>
      </c>
      <c r="AP17" s="62"/>
      <c r="AQ17" s="62">
        <v>88</v>
      </c>
      <c r="AR17" s="1" t="s">
        <v>1013</v>
      </c>
      <c r="AS17" s="55">
        <v>20</v>
      </c>
      <c r="AT17" s="55">
        <v>19</v>
      </c>
      <c r="AU17" s="55"/>
      <c r="AV17" s="55">
        <v>78</v>
      </c>
      <c r="AW17" s="55"/>
      <c r="AX17" s="55">
        <v>125</v>
      </c>
      <c r="AY17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E2" activePane="bottomRight" state="frozen"/>
      <selection pane="topRight" activeCell="D1" sqref="D1"/>
      <selection pane="bottomLeft" activeCell="A2" sqref="A2"/>
      <selection pane="bottomRight" activeCell="AL1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840</v>
      </c>
      <c r="K1" s="2" t="s">
        <v>920</v>
      </c>
      <c r="L1" s="2" t="s">
        <v>892</v>
      </c>
      <c r="M1" s="2" t="s">
        <v>49</v>
      </c>
      <c r="N1" s="2" t="s">
        <v>148</v>
      </c>
      <c r="O1" s="2" t="s">
        <v>1147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1125</v>
      </c>
      <c r="U1" s="2" t="s">
        <v>234</v>
      </c>
      <c r="V1" s="2" t="s">
        <v>1112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1148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1097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875</v>
      </c>
      <c r="AX1" s="2" t="s">
        <v>1</v>
      </c>
      <c r="AY1" s="2" t="s">
        <v>2</v>
      </c>
      <c r="AZ1" s="2" t="s">
        <v>393</v>
      </c>
      <c r="BA1" s="2" t="s">
        <v>1136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98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39"/>
      <c r="X2" s="39"/>
      <c r="Y2" s="39">
        <v>1</v>
      </c>
      <c r="Z2" s="99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99"/>
      <c r="AL2" s="1">
        <v>40</v>
      </c>
      <c r="AM2" s="19">
        <v>0</v>
      </c>
      <c r="AN2" s="97"/>
      <c r="AO2" s="8">
        <f>1*10^3*Umrechnungsfaktoren!$B$15/Umrechnungsfaktoren!$B$11</f>
        <v>1043.2160804020102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1113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98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39"/>
      <c r="X3" s="39"/>
      <c r="Y3" s="39">
        <v>1</v>
      </c>
      <c r="Z3" s="99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99"/>
      <c r="AL3" s="1">
        <v>40</v>
      </c>
      <c r="AM3" s="19">
        <v>0</v>
      </c>
      <c r="AN3" s="97"/>
      <c r="AO3" s="8">
        <f>1*10^3*Umrechnungsfaktoren!$B$15/Umrechnungsfaktoren!$B$11</f>
        <v>1043.2160804020102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98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39"/>
      <c r="X4" s="39"/>
      <c r="Y4" s="39">
        <v>1</v>
      </c>
      <c r="Z4" s="99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99"/>
      <c r="AL4" s="1">
        <v>40</v>
      </c>
      <c r="AM4" s="19">
        <v>0</v>
      </c>
      <c r="AN4" s="97"/>
      <c r="AO4" s="8">
        <f>1*10^3*Umrechnungsfaktoren!$B$15/Umrechnungsfaktoren!$B$11</f>
        <v>1043.2160804020102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98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39"/>
      <c r="X5" s="39"/>
      <c r="Y5" s="39">
        <v>1</v>
      </c>
      <c r="Z5" s="99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99"/>
      <c r="AL5" s="1">
        <v>40</v>
      </c>
      <c r="AM5" s="19">
        <v>0</v>
      </c>
      <c r="AN5" s="97"/>
      <c r="AO5" s="8">
        <f>1*10^3*Umrechnungsfaktoren!$B$15/Umrechnungsfaktoren!$B$11</f>
        <v>1043.2160804020102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98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39"/>
      <c r="X6" s="39"/>
      <c r="Y6" s="39">
        <v>1</v>
      </c>
      <c r="Z6" s="99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99"/>
      <c r="AL6" s="1">
        <v>40</v>
      </c>
      <c r="AM6" s="19">
        <v>0</v>
      </c>
      <c r="AN6" s="97"/>
      <c r="AO6" s="8">
        <f>1*10^3*Umrechnungsfaktoren!$B$15/Umrechnungsfaktoren!$B$11</f>
        <v>1043.2160804020102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1113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98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39"/>
      <c r="X7" s="39"/>
      <c r="Y7" s="39">
        <v>1</v>
      </c>
      <c r="Z7" s="99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99"/>
      <c r="AL7" s="1">
        <v>40</v>
      </c>
      <c r="AM7" s="19">
        <v>0</v>
      </c>
      <c r="AN7" s="97"/>
      <c r="AO7" s="8">
        <f>1*10^3*Umrechnungsfaktoren!$B$15/Umrechnungsfaktoren!$B$11</f>
        <v>1043.2160804020102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98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39"/>
      <c r="X8" s="39"/>
      <c r="Y8" s="39">
        <v>1</v>
      </c>
      <c r="Z8" s="99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99"/>
      <c r="AL8" s="1">
        <v>40</v>
      </c>
      <c r="AM8" s="19">
        <v>0</v>
      </c>
      <c r="AN8" s="97"/>
      <c r="AO8" s="8">
        <f>1*10^3*Umrechnungsfaktoren!$B$15/Umrechnungsfaktoren!$B$11</f>
        <v>1043.2160804020102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98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39"/>
      <c r="X9" s="39"/>
      <c r="Y9" s="39">
        <v>1</v>
      </c>
      <c r="Z9" s="99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99"/>
      <c r="AL9" s="1">
        <v>40</v>
      </c>
      <c r="AM9" s="19">
        <v>0</v>
      </c>
      <c r="AN9" s="97"/>
      <c r="AO9" s="8">
        <f>1*10^3*Umrechnungsfaktoren!$B$15/Umrechnungsfaktoren!$B$11</f>
        <v>1043.2160804020102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98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39"/>
      <c r="X10" s="39"/>
      <c r="Y10" s="39">
        <v>1</v>
      </c>
      <c r="Z10" s="99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99"/>
      <c r="AL10" s="1">
        <v>40</v>
      </c>
      <c r="AM10" s="19">
        <v>0</v>
      </c>
      <c r="AN10" s="97"/>
      <c r="AO10" s="8">
        <f>1*10^3*Umrechnungsfaktoren!$B$15/Umrechnungsfaktoren!$B$11</f>
        <v>1043.2160804020102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1113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98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39"/>
      <c r="X11" s="39"/>
      <c r="Y11" s="39">
        <v>1</v>
      </c>
      <c r="Z11" s="99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99"/>
      <c r="AL11" s="1">
        <v>40</v>
      </c>
      <c r="AM11" s="19">
        <v>0</v>
      </c>
      <c r="AN11" s="97"/>
      <c r="AO11" s="8">
        <f>1*10^3*Umrechnungsfaktoren!$B$15/Umrechnungsfaktoren!$B$11</f>
        <v>1043.2160804020102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98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39"/>
      <c r="X12" s="39"/>
      <c r="Y12" s="39">
        <v>1</v>
      </c>
      <c r="Z12" s="99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99"/>
      <c r="AL12" s="1">
        <v>40</v>
      </c>
      <c r="AM12" s="19">
        <v>0</v>
      </c>
      <c r="AN12" s="97"/>
      <c r="AO12" s="8">
        <f>1*10^3*Umrechnungsfaktoren!$B$15/Umrechnungsfaktoren!$B$11</f>
        <v>1043.2160804020102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98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39"/>
      <c r="X13" s="39"/>
      <c r="Y13" s="39">
        <v>1</v>
      </c>
      <c r="Z13" s="99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99"/>
      <c r="AL13" s="1">
        <v>40</v>
      </c>
      <c r="AM13" s="19">
        <v>0</v>
      </c>
      <c r="AN13" s="97"/>
      <c r="AO13" s="8">
        <f>1*10^3*Umrechnungsfaktoren!$B$15/Umrechnungsfaktoren!$B$11</f>
        <v>1043.2160804020102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98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39"/>
      <c r="X14" s="39"/>
      <c r="Y14" s="39">
        <v>1</v>
      </c>
      <c r="Z14" s="99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99"/>
      <c r="AL14" s="1">
        <v>40</v>
      </c>
      <c r="AM14" s="19">
        <v>0</v>
      </c>
      <c r="AN14" s="97"/>
      <c r="AO14" s="8">
        <f>1*10^3*Umrechnungsfaktoren!$B$15/Umrechnungsfaktoren!$B$11</f>
        <v>1043.2160804020102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1113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98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39"/>
      <c r="X15" s="39"/>
      <c r="Y15" s="39">
        <v>1</v>
      </c>
      <c r="Z15" s="99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99"/>
      <c r="AL15" s="1">
        <v>40</v>
      </c>
      <c r="AM15" s="19">
        <v>0</v>
      </c>
      <c r="AN15" s="97"/>
      <c r="AO15" s="8">
        <f>1*10^3*Umrechnungsfaktoren!$B$15/Umrechnungsfaktoren!$B$11</f>
        <v>1043.2160804020102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98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39"/>
      <c r="X16" s="39"/>
      <c r="Y16" s="39">
        <v>1</v>
      </c>
      <c r="Z16" s="99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99"/>
      <c r="AL16" s="1">
        <v>40</v>
      </c>
      <c r="AM16" s="19">
        <v>0</v>
      </c>
      <c r="AN16" s="97"/>
      <c r="AO16" s="8">
        <f>1*10^3*Umrechnungsfaktoren!$B$15/Umrechnungsfaktoren!$B$11</f>
        <v>1043.2160804020102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98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39"/>
      <c r="X17" s="39"/>
      <c r="Y17" s="39">
        <v>1</v>
      </c>
      <c r="Z17" s="99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99"/>
      <c r="AL17" s="1">
        <v>40</v>
      </c>
      <c r="AM17" s="19">
        <v>0</v>
      </c>
      <c r="AN17" s="97"/>
      <c r="AO17" s="8">
        <f>1*10^3*Umrechnungsfaktoren!$B$15/Umrechnungsfaktoren!$B$11</f>
        <v>1043.2160804020102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39"/>
      <c r="X18" s="39"/>
      <c r="Y18" s="39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155.70000000000002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1113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39"/>
      <c r="X19" s="39"/>
      <c r="Y19" s="39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155.70000000000002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39"/>
      <c r="X20" s="39"/>
      <c r="Y20" s="39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155.70000000000002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39"/>
      <c r="X21" s="39"/>
      <c r="Y21" s="39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155.70000000000002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39"/>
      <c r="X22" s="39"/>
      <c r="Y22" s="39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155.70000000000002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1113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39"/>
      <c r="X23" s="39"/>
      <c r="Y23" s="39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155.70000000000002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39"/>
      <c r="X24" s="39"/>
      <c r="Y24" s="39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155.70000000000002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39"/>
      <c r="X25" s="39"/>
      <c r="Y25" s="39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155.70000000000002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39"/>
      <c r="X26" s="39"/>
      <c r="Y26" s="39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155.70000000000002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1113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39"/>
      <c r="X27" s="39"/>
      <c r="Y27" s="39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155.70000000000002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39"/>
      <c r="X28" s="39"/>
      <c r="Y28" s="39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155.70000000000002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39"/>
      <c r="X29" s="39"/>
      <c r="Y29" s="39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155.70000000000002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98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39"/>
      <c r="X30" s="39"/>
      <c r="Y30" s="39">
        <v>1</v>
      </c>
      <c r="Z30" s="99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99"/>
      <c r="AL30" s="1">
        <v>40</v>
      </c>
      <c r="AM30" s="19">
        <v>0</v>
      </c>
      <c r="AN30" s="8"/>
      <c r="AO30" s="8">
        <f>1*10^3*Umrechnungsfaktoren!$B$15/Umrechnungsfaktoren!$B$11</f>
        <v>1043.2160804020102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1113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98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39"/>
      <c r="X31" s="39"/>
      <c r="Y31" s="39">
        <v>1</v>
      </c>
      <c r="Z31" s="99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99"/>
      <c r="AL31" s="1">
        <v>40</v>
      </c>
      <c r="AM31" s="19">
        <v>0</v>
      </c>
      <c r="AN31" s="8"/>
      <c r="AO31" s="8">
        <f>1*10^3*Umrechnungsfaktoren!$B$15/Umrechnungsfaktoren!$B$11</f>
        <v>1043.2160804020102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98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39"/>
      <c r="X32" s="39"/>
      <c r="Y32" s="39">
        <v>1</v>
      </c>
      <c r="Z32" s="99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99"/>
      <c r="AL32" s="1">
        <v>40</v>
      </c>
      <c r="AM32" s="19">
        <v>0</v>
      </c>
      <c r="AN32" s="8"/>
      <c r="AO32" s="8">
        <f>1*10^3*Umrechnungsfaktoren!$B$15/Umrechnungsfaktoren!$B$11</f>
        <v>1043.2160804020102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98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39"/>
      <c r="X33" s="39"/>
      <c r="Y33" s="39">
        <v>1</v>
      </c>
      <c r="Z33" s="99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99"/>
      <c r="AL33" s="1">
        <v>40</v>
      </c>
      <c r="AM33" s="19">
        <v>0</v>
      </c>
      <c r="AN33" s="8"/>
      <c r="AO33" s="8">
        <f>1*10^3*Umrechnungsfaktoren!$B$15/Umrechnungsfaktoren!$B$11</f>
        <v>1043.2160804020102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946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39"/>
      <c r="X34" s="39"/>
      <c r="Y34" s="39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155.70000000000002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1113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946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39"/>
      <c r="X35" s="39"/>
      <c r="Y35" s="39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155.70000000000002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946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39"/>
      <c r="X36" s="39"/>
      <c r="Y36" s="39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155.70000000000002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946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39"/>
      <c r="X37" s="39"/>
      <c r="Y37" s="39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155.70000000000002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39"/>
      <c r="X38" s="39"/>
      <c r="Y38" s="39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155.70000000000002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1113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39"/>
      <c r="X39" s="39"/>
      <c r="Y39" s="39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155.70000000000002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39"/>
      <c r="X40" s="39"/>
      <c r="Y40" s="39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155.70000000000002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39"/>
      <c r="X41" s="39"/>
      <c r="Y41" s="39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155.70000000000002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39"/>
      <c r="X42" s="39"/>
      <c r="Y42" s="39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155.70000000000002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1113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39"/>
      <c r="X43" s="39"/>
      <c r="Y43" s="39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155.70000000000002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39"/>
      <c r="X44" s="39"/>
      <c r="Y44" s="39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155.70000000000002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39"/>
      <c r="X45" s="39"/>
      <c r="Y45" s="39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155.70000000000002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0">
        <v>0.95499999999999996</v>
      </c>
      <c r="X46" s="40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52.160804020100507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0">
        <v>0.95499999999999996</v>
      </c>
      <c r="X47" s="40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52.160804020100507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0">
        <v>0.95499999999999996</v>
      </c>
      <c r="X48" s="40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52.160804020100507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0">
        <v>0.95499999999999996</v>
      </c>
      <c r="X49" s="40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52.160804020100507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39">
        <v>0.97</v>
      </c>
      <c r="X50" s="39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39">
        <v>0.97</v>
      </c>
      <c r="X51" s="39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39">
        <v>0.97</v>
      </c>
      <c r="X52" s="39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39">
        <v>0.97</v>
      </c>
      <c r="X53" s="39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39">
        <v>0.97</v>
      </c>
      <c r="X54" s="39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39">
        <v>0.97</v>
      </c>
      <c r="X55" s="39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39">
        <v>0.97</v>
      </c>
      <c r="X56" s="39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39">
        <v>0.97</v>
      </c>
      <c r="X57" s="39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1134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0">
        <v>0.95499999999999996</v>
      </c>
      <c r="X58" s="40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20.864321608040203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1134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0">
        <v>0.95499999999999996</v>
      </c>
      <c r="X59" s="40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20.864321608040203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1134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0">
        <v>0.95499999999999996</v>
      </c>
      <c r="X60" s="40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20.864321608040203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1134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0">
        <v>0.95499999999999996</v>
      </c>
      <c r="X61" s="40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20.864321608040203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0">
        <v>0.95499999999999996</v>
      </c>
      <c r="X62" s="40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20.864321608040203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0">
        <v>0.95499999999999996</v>
      </c>
      <c r="X63" s="40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20.864321608040203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0">
        <v>0.95499999999999996</v>
      </c>
      <c r="X64" s="40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20.864321608040203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0">
        <v>0.95499999999999996</v>
      </c>
      <c r="X65" s="40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20.864321608040203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39"/>
      <c r="X66" s="39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39"/>
      <c r="X67" s="39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39"/>
      <c r="X68" s="39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39"/>
      <c r="X69" s="39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0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39"/>
      <c r="X70" s="39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0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39"/>
      <c r="X71" s="39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0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39"/>
      <c r="X72" s="39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0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39"/>
      <c r="X73" s="39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0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0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0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0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0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0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0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0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0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0">
        <v>0.95499999999999996</v>
      </c>
      <c r="X82" s="40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20.864321608040203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0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0">
        <v>0.95499999999999996</v>
      </c>
      <c r="X83" s="40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20.864321608040203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0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0">
        <v>0.95499999999999996</v>
      </c>
      <c r="X84" s="40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20.864321608040203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0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0">
        <v>0.95499999999999996</v>
      </c>
      <c r="X85" s="40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20.864321608040203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0">
        <v>0.95499999999999996</v>
      </c>
      <c r="X86" s="40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20.864321608040203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0">
        <v>0.95499999999999996</v>
      </c>
      <c r="X87" s="40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20.864321608040203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0">
        <v>0.95499999999999996</v>
      </c>
      <c r="X88" s="40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20.864321608040203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0">
        <v>0.95499999999999996</v>
      </c>
      <c r="X89" s="40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20.864321608040203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0" t="s">
        <v>364</v>
      </c>
      <c r="B90" s="30" t="s">
        <v>141</v>
      </c>
      <c r="C90" s="1" t="s">
        <v>498</v>
      </c>
      <c r="D90" s="1">
        <v>2010</v>
      </c>
      <c r="E90" s="30">
        <v>1</v>
      </c>
      <c r="F90" s="30">
        <v>0</v>
      </c>
      <c r="G90" s="1">
        <v>0</v>
      </c>
      <c r="H90" s="1">
        <v>0</v>
      </c>
      <c r="I90" s="1">
        <v>1</v>
      </c>
      <c r="J90" s="1">
        <v>0.36118499999999992</v>
      </c>
      <c r="M90" s="31"/>
      <c r="N90" s="31">
        <v>32</v>
      </c>
      <c r="O90" s="31"/>
      <c r="P90" s="31">
        <v>985</v>
      </c>
      <c r="Q90" s="9"/>
      <c r="R90" s="33"/>
      <c r="S90" s="33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0"/>
      <c r="AC90" s="1">
        <v>1</v>
      </c>
      <c r="AD90" s="30"/>
      <c r="AE90" s="30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1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4"/>
      <c r="AQ90" s="34">
        <f>0.03*Tabelle58971115[[#This Row],[Investitionsausgaben €_2018/kW]]</f>
        <v>7.7850000000000001</v>
      </c>
      <c r="AR90" s="45">
        <v>0.09</v>
      </c>
      <c r="AS90" s="30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5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0"/>
    </row>
    <row r="91" spans="1:65" hidden="1" x14ac:dyDescent="0.2">
      <c r="A91" s="30" t="s">
        <v>364</v>
      </c>
      <c r="B91" s="30" t="s">
        <v>141</v>
      </c>
      <c r="C91" s="1" t="s">
        <v>498</v>
      </c>
      <c r="D91" s="1">
        <v>2020</v>
      </c>
      <c r="E91" s="30">
        <v>1</v>
      </c>
      <c r="F91" s="30">
        <v>0</v>
      </c>
      <c r="G91" s="1">
        <v>0</v>
      </c>
      <c r="H91" s="1">
        <v>0</v>
      </c>
      <c r="I91" s="1">
        <v>1</v>
      </c>
      <c r="J91" s="1">
        <v>0.70016519999999993</v>
      </c>
      <c r="M91" s="31">
        <v>18</v>
      </c>
      <c r="N91" s="31">
        <v>18</v>
      </c>
      <c r="O91" s="31"/>
      <c r="P91" s="31">
        <v>2160</v>
      </c>
      <c r="Q91" s="9"/>
      <c r="R91" s="33">
        <v>0.25</v>
      </c>
      <c r="S91" s="33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0"/>
      <c r="AC91" s="1">
        <v>1</v>
      </c>
      <c r="AD91" s="30"/>
      <c r="AE91" s="30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1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4"/>
      <c r="AQ91" s="34">
        <f>0.03*Tabelle58971115[[#This Row],[Investitionsausgaben €_2018/kW]]</f>
        <v>7.7850000000000001</v>
      </c>
      <c r="AR91" s="45">
        <v>0.09</v>
      </c>
      <c r="AS91" s="30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5"/>
      <c r="BA91" s="13" t="s">
        <v>472</v>
      </c>
      <c r="BB91" s="35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0"/>
    </row>
    <row r="92" spans="1:65" hidden="1" x14ac:dyDescent="0.2">
      <c r="A92" s="30" t="s">
        <v>364</v>
      </c>
      <c r="B92" s="30" t="s">
        <v>141</v>
      </c>
      <c r="C92" s="1" t="s">
        <v>498</v>
      </c>
      <c r="D92" s="1">
        <v>2030</v>
      </c>
      <c r="E92" s="30">
        <v>1</v>
      </c>
      <c r="F92" s="30">
        <v>0</v>
      </c>
      <c r="G92" s="1">
        <v>0</v>
      </c>
      <c r="H92" s="1">
        <v>0</v>
      </c>
      <c r="I92" s="1">
        <v>1</v>
      </c>
      <c r="J92" s="1">
        <v>1.00116</v>
      </c>
      <c r="M92" s="31"/>
      <c r="N92" s="31">
        <v>33</v>
      </c>
      <c r="O92" s="31"/>
      <c r="P92" s="31">
        <v>3102</v>
      </c>
      <c r="Q92" s="9"/>
      <c r="R92" s="33">
        <v>0.25</v>
      </c>
      <c r="S92" s="33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0"/>
      <c r="AC92" s="1">
        <v>1</v>
      </c>
      <c r="AD92" s="30"/>
      <c r="AE92" s="30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1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4"/>
      <c r="AQ92" s="34">
        <f>0.03*Tabelle58971115[[#This Row],[Investitionsausgaben €_2018/kW]]</f>
        <v>7.7850000000000001</v>
      </c>
      <c r="AR92" s="45">
        <v>0.09</v>
      </c>
      <c r="AS92" s="30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5"/>
      <c r="BA92" s="13" t="s">
        <v>472</v>
      </c>
      <c r="BB92" s="35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0"/>
    </row>
    <row r="93" spans="1:65" hidden="1" x14ac:dyDescent="0.2">
      <c r="A93" s="30" t="s">
        <v>364</v>
      </c>
      <c r="B93" s="30" t="s">
        <v>141</v>
      </c>
      <c r="C93" s="1" t="s">
        <v>498</v>
      </c>
      <c r="D93" s="1">
        <v>2050</v>
      </c>
      <c r="E93" s="30">
        <v>1</v>
      </c>
      <c r="F93" s="30">
        <v>0</v>
      </c>
      <c r="G93" s="1">
        <v>0</v>
      </c>
      <c r="H93" s="1">
        <v>0</v>
      </c>
      <c r="I93" s="1">
        <v>1</v>
      </c>
      <c r="J93" s="1">
        <v>1.4360192000000003</v>
      </c>
      <c r="M93" s="31"/>
      <c r="N93" s="31">
        <v>66</v>
      </c>
      <c r="O93" s="31"/>
      <c r="P93" s="31">
        <v>4201</v>
      </c>
      <c r="Q93" s="9"/>
      <c r="R93" s="33">
        <v>0.25</v>
      </c>
      <c r="S93" s="33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0"/>
      <c r="AC93" s="1">
        <v>1</v>
      </c>
      <c r="AD93" s="30"/>
      <c r="AE93" s="30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1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4"/>
      <c r="AQ93" s="34">
        <f>0.03*Tabelle58971115[[#This Row],[Investitionsausgaben €_2018/kW]]</f>
        <v>7.7850000000000001</v>
      </c>
      <c r="AR93" s="45">
        <v>0.09</v>
      </c>
      <c r="AS93" s="30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5"/>
      <c r="BA93" s="13" t="s">
        <v>472</v>
      </c>
      <c r="BB93" s="35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0"/>
    </row>
    <row r="94" spans="1:65" x14ac:dyDescent="0.2">
      <c r="A94" s="30" t="s">
        <v>391</v>
      </c>
      <c r="B94" s="30" t="s">
        <v>141</v>
      </c>
      <c r="C94" s="1" t="s">
        <v>498</v>
      </c>
      <c r="D94" s="1">
        <v>2010</v>
      </c>
      <c r="E94" s="30">
        <v>1</v>
      </c>
      <c r="F94" s="30">
        <v>0</v>
      </c>
      <c r="G94" s="1">
        <v>0</v>
      </c>
      <c r="H94" s="1">
        <v>0</v>
      </c>
      <c r="I94" s="1">
        <v>1</v>
      </c>
      <c r="J94" s="1">
        <v>25.213299999999997</v>
      </c>
      <c r="M94" s="31"/>
      <c r="N94" s="31">
        <v>2885</v>
      </c>
      <c r="O94" s="31"/>
      <c r="P94" s="31">
        <v>3614</v>
      </c>
      <c r="Q94" s="9"/>
      <c r="R94" s="33"/>
      <c r="S94" s="33"/>
      <c r="T94" s="33"/>
      <c r="U9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3"/>
      <c r="W94" s="9"/>
      <c r="X94" s="9"/>
      <c r="Y94" s="9">
        <v>0.97</v>
      </c>
      <c r="Z94" s="1">
        <v>1</v>
      </c>
      <c r="AB94" s="30"/>
      <c r="AC94" s="1">
        <v>1</v>
      </c>
      <c r="AD94" s="30"/>
      <c r="AE94" s="30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1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4"/>
      <c r="AQ94" s="34">
        <f>0.03*Tabelle58971115[[#This Row],[Investitionsausgaben €_2018/kW]]</f>
        <v>7.7850000000000001</v>
      </c>
      <c r="AR94" s="45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5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0"/>
    </row>
    <row r="95" spans="1:65" hidden="1" x14ac:dyDescent="0.2">
      <c r="A95" s="30" t="s">
        <v>391</v>
      </c>
      <c r="B95" s="30" t="s">
        <v>141</v>
      </c>
      <c r="C95" s="1" t="s">
        <v>498</v>
      </c>
      <c r="D95" s="1">
        <v>2020</v>
      </c>
      <c r="E95" s="30">
        <v>1</v>
      </c>
      <c r="F95" s="30">
        <v>0</v>
      </c>
      <c r="G95" s="1">
        <v>0</v>
      </c>
      <c r="H95" s="1">
        <v>0</v>
      </c>
      <c r="I95" s="1">
        <v>1</v>
      </c>
      <c r="J95" s="1">
        <v>18.373237499999998</v>
      </c>
      <c r="M95" s="31"/>
      <c r="N95" s="31">
        <v>1681</v>
      </c>
      <c r="O95" s="31"/>
      <c r="P95" s="31">
        <v>4524</v>
      </c>
      <c r="Q95" s="9"/>
      <c r="R95" s="33">
        <v>0.8</v>
      </c>
      <c r="S95" s="33">
        <v>1</v>
      </c>
      <c r="T95" s="33"/>
      <c r="U9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3"/>
      <c r="W95" s="9"/>
      <c r="X95" s="9"/>
      <c r="Y95" s="9">
        <v>0.97</v>
      </c>
      <c r="Z95" s="1">
        <v>1</v>
      </c>
      <c r="AB95" s="30"/>
      <c r="AC95" s="1">
        <v>1</v>
      </c>
      <c r="AD95" s="30"/>
      <c r="AE95" s="30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1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4"/>
      <c r="AQ95" s="34">
        <f>0.03*Tabelle58971115[[#This Row],[Investitionsausgaben €_2018/kW]]</f>
        <v>7.7850000000000001</v>
      </c>
      <c r="AR95" s="45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5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0"/>
    </row>
    <row r="96" spans="1:65" hidden="1" x14ac:dyDescent="0.2">
      <c r="A96" s="30" t="s">
        <v>391</v>
      </c>
      <c r="B96" s="30" t="s">
        <v>141</v>
      </c>
      <c r="C96" s="1" t="s">
        <v>498</v>
      </c>
      <c r="D96" s="1">
        <v>2030</v>
      </c>
      <c r="E96" s="30">
        <v>1</v>
      </c>
      <c r="F96" s="30">
        <v>0</v>
      </c>
      <c r="G96" s="1">
        <v>0</v>
      </c>
      <c r="H96" s="1">
        <v>0</v>
      </c>
      <c r="I96" s="1">
        <v>1</v>
      </c>
      <c r="J96" s="1">
        <v>13.014050000000001</v>
      </c>
      <c r="M96" s="31"/>
      <c r="N96" s="31">
        <v>1190</v>
      </c>
      <c r="O96" s="31"/>
      <c r="P96" s="31">
        <v>5213</v>
      </c>
      <c r="Q96" s="9"/>
      <c r="R96" s="33">
        <v>0.8</v>
      </c>
      <c r="S96" s="33">
        <v>1</v>
      </c>
      <c r="T96" s="33"/>
      <c r="U9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3"/>
      <c r="W96" s="9"/>
      <c r="X96" s="9"/>
      <c r="Y96" s="9">
        <v>0.97</v>
      </c>
      <c r="Z96" s="1">
        <v>1</v>
      </c>
      <c r="AB96" s="30"/>
      <c r="AC96" s="1">
        <v>1</v>
      </c>
      <c r="AD96" s="30"/>
      <c r="AE96" s="30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1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4"/>
      <c r="AQ96" s="34">
        <f>0.03*Tabelle58971115[[#This Row],[Investitionsausgaben €_2018/kW]]</f>
        <v>7.7850000000000001</v>
      </c>
      <c r="AR96" s="45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5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0"/>
    </row>
    <row r="97" spans="1:65" hidden="1" x14ac:dyDescent="0.2">
      <c r="A97" s="30" t="s">
        <v>391</v>
      </c>
      <c r="B97" s="30" t="s">
        <v>141</v>
      </c>
      <c r="C97" s="1" t="s">
        <v>498</v>
      </c>
      <c r="D97" s="1">
        <v>2050</v>
      </c>
      <c r="E97" s="30">
        <v>1</v>
      </c>
      <c r="F97" s="30">
        <v>0</v>
      </c>
      <c r="G97" s="1">
        <v>0</v>
      </c>
      <c r="H97" s="1">
        <v>0</v>
      </c>
      <c r="I97" s="1">
        <v>1</v>
      </c>
      <c r="J97" s="1">
        <v>7.1424000000000003</v>
      </c>
      <c r="M97" s="31"/>
      <c r="N97" s="31">
        <v>652</v>
      </c>
      <c r="O97" s="31"/>
      <c r="P97" s="31">
        <v>5612</v>
      </c>
      <c r="Q97" s="9"/>
      <c r="R97" s="33">
        <v>0.8</v>
      </c>
      <c r="S97" s="33">
        <v>1</v>
      </c>
      <c r="T97" s="33"/>
      <c r="U9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3"/>
      <c r="W97" s="9"/>
      <c r="X97" s="9"/>
      <c r="Y97" s="9">
        <v>0.97</v>
      </c>
      <c r="Z97" s="1">
        <v>1</v>
      </c>
      <c r="AB97" s="30"/>
      <c r="AC97" s="1">
        <v>1</v>
      </c>
      <c r="AD97" s="30"/>
      <c r="AE97" s="30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1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4"/>
      <c r="AQ97" s="34">
        <f>0.03*Tabelle58971115[[#This Row],[Investitionsausgaben €_2018/kW]]</f>
        <v>7.7850000000000001</v>
      </c>
      <c r="AR97" s="45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5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0"/>
    </row>
    <row r="98" spans="1:65" x14ac:dyDescent="0.2">
      <c r="A98" s="30" t="s">
        <v>131</v>
      </c>
      <c r="B98" s="30" t="s">
        <v>141</v>
      </c>
      <c r="C98" s="30" t="str">
        <f>VLOOKUP(Tabelle58971115[[#This Row],[Prozess]],Tabelle22333[],3,FALSE)</f>
        <v>WashingEq_Res</v>
      </c>
      <c r="D98" s="1">
        <v>2010</v>
      </c>
      <c r="E98" s="30">
        <v>1</v>
      </c>
      <c r="F98" s="30">
        <v>0</v>
      </c>
      <c r="G98" s="1">
        <v>0</v>
      </c>
      <c r="H98" s="1">
        <v>1</v>
      </c>
      <c r="I98" s="1">
        <v>1</v>
      </c>
      <c r="J98" s="1">
        <v>7.4959319999999989</v>
      </c>
      <c r="M98" s="31"/>
      <c r="N98" s="31">
        <v>854</v>
      </c>
      <c r="O98" s="31"/>
      <c r="P98" s="31">
        <v>24770</v>
      </c>
      <c r="Q98" s="9"/>
      <c r="R98" s="33"/>
      <c r="S98" s="33"/>
      <c r="T98" s="33"/>
      <c r="U9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3"/>
      <c r="W98" s="44"/>
      <c r="X98" s="44"/>
      <c r="Y98" s="33">
        <v>1</v>
      </c>
      <c r="Z98" s="30">
        <v>12</v>
      </c>
      <c r="AA98" s="30"/>
      <c r="AB98" s="30">
        <v>1</v>
      </c>
      <c r="AC98" s="30">
        <v>12</v>
      </c>
      <c r="AD98" s="30">
        <v>4</v>
      </c>
      <c r="AE98" s="30">
        <v>12</v>
      </c>
      <c r="AF98" s="30">
        <v>6</v>
      </c>
      <c r="AG98" s="30">
        <v>0</v>
      </c>
      <c r="AH98" s="1" t="s">
        <v>371</v>
      </c>
      <c r="AI98" s="1" t="s">
        <v>276</v>
      </c>
      <c r="AK98" s="1">
        <v>1095</v>
      </c>
      <c r="AM98" s="31">
        <f>30*Umrechnungsfaktoren!$B$15/Umrechnungsfaktoren!$B$12</f>
        <v>31.14</v>
      </c>
      <c r="AN98" s="34">
        <f>0.05*10^3*Umrechnungsfaktoren!$B$15/Umrechnungsfaktoren!$B$12</f>
        <v>51.900000000000006</v>
      </c>
      <c r="AO98" s="34"/>
      <c r="AP98" s="34"/>
      <c r="AQ98" s="34">
        <f>0.03*Tabelle58971115[[#This Row],[variable Kosten €_2018/MWh]]</f>
        <v>1.5570000000000002</v>
      </c>
      <c r="AR98" s="45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5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0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0"/>
    </row>
    <row r="99" spans="1:65" hidden="1" x14ac:dyDescent="0.2">
      <c r="A99" s="30" t="s">
        <v>131</v>
      </c>
      <c r="B99" s="30" t="s">
        <v>141</v>
      </c>
      <c r="C99" s="30" t="str">
        <f>VLOOKUP(Tabelle58971115[[#This Row],[Prozess]],Tabelle22333[],3,FALSE)</f>
        <v>WashingEq_Res</v>
      </c>
      <c r="D99" s="1">
        <v>2020</v>
      </c>
      <c r="E99" s="30">
        <v>1</v>
      </c>
      <c r="F99" s="30">
        <v>0</v>
      </c>
      <c r="G99" s="1">
        <v>0</v>
      </c>
      <c r="H99" s="1">
        <v>1</v>
      </c>
      <c r="I99" s="1">
        <v>1</v>
      </c>
      <c r="J99" s="1">
        <v>5.7953714499999993</v>
      </c>
      <c r="M99" s="31"/>
      <c r="N99" s="31">
        <v>86</v>
      </c>
      <c r="O99" s="31"/>
      <c r="P99" s="31">
        <v>1533</v>
      </c>
      <c r="Q99" s="9"/>
      <c r="R99" s="33">
        <v>0.13</v>
      </c>
      <c r="S99" s="33">
        <v>0.08</v>
      </c>
      <c r="T99" s="33"/>
      <c r="U9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3"/>
      <c r="W99" s="44"/>
      <c r="X99" s="44"/>
      <c r="Y99" s="33">
        <v>1</v>
      </c>
      <c r="Z99" s="30">
        <v>12</v>
      </c>
      <c r="AA99" s="30"/>
      <c r="AB99" s="30"/>
      <c r="AC99" s="30">
        <v>12</v>
      </c>
      <c r="AD99" s="30">
        <v>4</v>
      </c>
      <c r="AE99" s="30">
        <v>12</v>
      </c>
      <c r="AF99" s="30">
        <v>6</v>
      </c>
      <c r="AG99" s="30">
        <v>0</v>
      </c>
      <c r="AH99" s="1" t="s">
        <v>371</v>
      </c>
      <c r="AI99" s="1" t="s">
        <v>276</v>
      </c>
      <c r="AK99" s="1">
        <v>1095</v>
      </c>
      <c r="AM99" s="31">
        <f>30*Umrechnungsfaktoren!$B$15/Umrechnungsfaktoren!$B$12</f>
        <v>31.14</v>
      </c>
      <c r="AN99" s="34">
        <f>0.05*10^3*Umrechnungsfaktoren!$B$15/Umrechnungsfaktoren!$B$12</f>
        <v>51.900000000000006</v>
      </c>
      <c r="AO99" s="34"/>
      <c r="AP99" s="34"/>
      <c r="AQ99" s="34">
        <f>0.03*Tabelle58971115[[#This Row],[variable Kosten €_2018/MWh]]</f>
        <v>1.5570000000000002</v>
      </c>
      <c r="AR99" s="45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5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0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0"/>
    </row>
    <row r="100" spans="1:65" hidden="1" x14ac:dyDescent="0.2">
      <c r="A100" s="30" t="s">
        <v>131</v>
      </c>
      <c r="B100" s="30" t="s">
        <v>141</v>
      </c>
      <c r="C100" s="30" t="str">
        <f>VLOOKUP(Tabelle58971115[[#This Row],[Prozess]],Tabelle22333[],3,FALSE)</f>
        <v>WashingEq_Res</v>
      </c>
      <c r="D100" s="1">
        <v>2030</v>
      </c>
      <c r="E100" s="30">
        <v>1</v>
      </c>
      <c r="F100" s="30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1"/>
      <c r="N100" s="31">
        <v>75</v>
      </c>
      <c r="O100" s="31"/>
      <c r="P100" s="31">
        <v>1456</v>
      </c>
      <c r="Q100" s="9"/>
      <c r="R100" s="33">
        <v>0.15</v>
      </c>
      <c r="S100" s="33">
        <v>0.1</v>
      </c>
      <c r="T100" s="33"/>
      <c r="U100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3"/>
      <c r="W100" s="44"/>
      <c r="X100" s="44"/>
      <c r="Y100" s="33">
        <v>1</v>
      </c>
      <c r="Z100" s="30">
        <v>12</v>
      </c>
      <c r="AA100" s="30"/>
      <c r="AB100" s="30"/>
      <c r="AC100" s="30">
        <v>12</v>
      </c>
      <c r="AD100" s="30">
        <v>4</v>
      </c>
      <c r="AE100" s="30">
        <v>12</v>
      </c>
      <c r="AF100" s="30">
        <v>6</v>
      </c>
      <c r="AG100" s="30">
        <v>0</v>
      </c>
      <c r="AH100" s="1" t="s">
        <v>371</v>
      </c>
      <c r="AI100" s="1" t="s">
        <v>276</v>
      </c>
      <c r="AK100" s="1">
        <v>1095</v>
      </c>
      <c r="AM100" s="31">
        <f>30*Umrechnungsfaktoren!$B$15/Umrechnungsfaktoren!$B$12</f>
        <v>31.14</v>
      </c>
      <c r="AN100" s="34">
        <f>0.05*10^3*Umrechnungsfaktoren!$B$15/Umrechnungsfaktoren!$B$12</f>
        <v>51.900000000000006</v>
      </c>
      <c r="AO100" s="34"/>
      <c r="AP100" s="34"/>
      <c r="AQ100" s="34">
        <f>0.03*Tabelle58971115[[#This Row],[variable Kosten €_2018/MWh]]</f>
        <v>1.5570000000000002</v>
      </c>
      <c r="AR100" s="45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5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0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0"/>
    </row>
    <row r="101" spans="1:65" hidden="1" x14ac:dyDescent="0.2">
      <c r="A101" s="30" t="s">
        <v>131</v>
      </c>
      <c r="B101" s="30" t="s">
        <v>141</v>
      </c>
      <c r="C101" s="30" t="str">
        <f>VLOOKUP(Tabelle58971115[[#This Row],[Prozess]],Tabelle22333[],3,FALSE)</f>
        <v>WashingEq_Res</v>
      </c>
      <c r="D101" s="1">
        <v>2050</v>
      </c>
      <c r="E101" s="30">
        <v>1</v>
      </c>
      <c r="F101" s="30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1"/>
      <c r="N101" s="31">
        <v>77</v>
      </c>
      <c r="O101" s="31"/>
      <c r="P101" s="31">
        <v>1674</v>
      </c>
      <c r="Q101" s="9"/>
      <c r="R101" s="33">
        <v>0.2</v>
      </c>
      <c r="S101" s="33">
        <v>0.15</v>
      </c>
      <c r="T101" s="33"/>
      <c r="U101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3"/>
      <c r="W101" s="44"/>
      <c r="X101" s="44"/>
      <c r="Y101" s="33">
        <v>1</v>
      </c>
      <c r="Z101" s="30">
        <v>12</v>
      </c>
      <c r="AA101" s="30"/>
      <c r="AB101" s="30"/>
      <c r="AC101" s="30">
        <v>12</v>
      </c>
      <c r="AD101" s="30">
        <v>4</v>
      </c>
      <c r="AE101" s="30">
        <v>12</v>
      </c>
      <c r="AF101" s="30">
        <v>6</v>
      </c>
      <c r="AG101" s="30">
        <v>0</v>
      </c>
      <c r="AH101" s="1" t="s">
        <v>371</v>
      </c>
      <c r="AI101" s="1" t="s">
        <v>276</v>
      </c>
      <c r="AK101" s="1">
        <v>1095</v>
      </c>
      <c r="AM101" s="31">
        <f>30*Umrechnungsfaktoren!$B$15/Umrechnungsfaktoren!$B$12</f>
        <v>31.14</v>
      </c>
      <c r="AN101" s="34">
        <f>0.05*10^3*Umrechnungsfaktoren!$B$15/Umrechnungsfaktoren!$B$12</f>
        <v>51.900000000000006</v>
      </c>
      <c r="AO101" s="34"/>
      <c r="AP101" s="34"/>
      <c r="AQ101" s="34">
        <f>0.03*Tabelle58971115[[#This Row],[variable Kosten €_2018/MWh]]</f>
        <v>1.5570000000000002</v>
      </c>
      <c r="AR101" s="45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5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0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0"/>
    </row>
    <row r="102" spans="1:65" x14ac:dyDescent="0.2">
      <c r="A102" s="30" t="s">
        <v>132</v>
      </c>
      <c r="B102" s="30" t="s">
        <v>141</v>
      </c>
      <c r="C102" s="30" t="str">
        <f>VLOOKUP(Tabelle58971115[[#This Row],[Prozess]],Tabelle22333[],3,FALSE)</f>
        <v>WashingEq_Res</v>
      </c>
      <c r="D102" s="1">
        <v>2010</v>
      </c>
      <c r="E102" s="30">
        <v>1</v>
      </c>
      <c r="F102" s="30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1"/>
      <c r="N102" s="31">
        <v>543</v>
      </c>
      <c r="O102" s="31"/>
      <c r="P102" s="31">
        <v>22743</v>
      </c>
      <c r="Q102" s="9"/>
      <c r="R102" s="33"/>
      <c r="S102" s="33"/>
      <c r="T102" s="33"/>
      <c r="U102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3"/>
      <c r="W102" s="44"/>
      <c r="X102" s="44"/>
      <c r="Y102" s="33">
        <v>1</v>
      </c>
      <c r="Z102" s="30">
        <v>12</v>
      </c>
      <c r="AA102" s="30"/>
      <c r="AB102" s="30"/>
      <c r="AC102" s="30">
        <v>12</v>
      </c>
      <c r="AD102" s="30">
        <v>4</v>
      </c>
      <c r="AE102" s="30">
        <v>12</v>
      </c>
      <c r="AF102" s="30">
        <v>6</v>
      </c>
      <c r="AG102" s="30">
        <v>0</v>
      </c>
      <c r="AH102" s="1" t="s">
        <v>371</v>
      </c>
      <c r="AI102" s="1" t="s">
        <v>276</v>
      </c>
      <c r="AK102" s="1">
        <v>1095</v>
      </c>
      <c r="AM102" s="31">
        <f>30*Umrechnungsfaktoren!$B$15/Umrechnungsfaktoren!$B$12</f>
        <v>31.14</v>
      </c>
      <c r="AN102" s="34">
        <f>0.05*10^3*Umrechnungsfaktoren!$B$15/Umrechnungsfaktoren!$B$12</f>
        <v>51.900000000000006</v>
      </c>
      <c r="AO102" s="34"/>
      <c r="AP102" s="34"/>
      <c r="AQ102" s="34">
        <f>0.03*Tabelle58971115[[#This Row],[variable Kosten €_2018/MWh]]</f>
        <v>1.5570000000000002</v>
      </c>
      <c r="AR102" s="45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5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0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0"/>
    </row>
    <row r="103" spans="1:65" hidden="1" x14ac:dyDescent="0.2">
      <c r="A103" s="30" t="s">
        <v>132</v>
      </c>
      <c r="B103" s="30" t="s">
        <v>141</v>
      </c>
      <c r="C103" s="30" t="str">
        <f>VLOOKUP(Tabelle58971115[[#This Row],[Prozess]],Tabelle22333[],3,FALSE)</f>
        <v>WashingEq_Res</v>
      </c>
      <c r="D103" s="1">
        <v>2020</v>
      </c>
      <c r="E103" s="30">
        <v>1</v>
      </c>
      <c r="F103" s="30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1"/>
      <c r="N103" s="31">
        <v>124</v>
      </c>
      <c r="O103" s="31"/>
      <c r="P103" s="31">
        <v>1658</v>
      </c>
      <c r="Q103" s="9"/>
      <c r="R103" s="33">
        <v>0.25</v>
      </c>
      <c r="S103" s="33">
        <v>0.08</v>
      </c>
      <c r="T103" s="33"/>
      <c r="U103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3"/>
      <c r="W103" s="44"/>
      <c r="X103" s="44"/>
      <c r="Y103" s="33">
        <v>1</v>
      </c>
      <c r="Z103" s="30">
        <v>12</v>
      </c>
      <c r="AA103" s="30"/>
      <c r="AB103" s="30"/>
      <c r="AC103" s="30">
        <v>12</v>
      </c>
      <c r="AD103" s="30">
        <v>4</v>
      </c>
      <c r="AE103" s="30">
        <v>12</v>
      </c>
      <c r="AF103" s="30">
        <v>6</v>
      </c>
      <c r="AG103" s="30">
        <v>0</v>
      </c>
      <c r="AH103" s="1" t="s">
        <v>371</v>
      </c>
      <c r="AI103" s="1" t="s">
        <v>276</v>
      </c>
      <c r="AK103" s="1">
        <v>1095</v>
      </c>
      <c r="AM103" s="31">
        <f>30*Umrechnungsfaktoren!$B$15/Umrechnungsfaktoren!$B$12</f>
        <v>31.14</v>
      </c>
      <c r="AN103" s="34">
        <f>0.05*10^3*Umrechnungsfaktoren!$B$15/Umrechnungsfaktoren!$B$12</f>
        <v>51.900000000000006</v>
      </c>
      <c r="AO103" s="34"/>
      <c r="AP103" s="34"/>
      <c r="AQ103" s="34">
        <f>0.03*Tabelle58971115[[#This Row],[variable Kosten €_2018/MWh]]</f>
        <v>1.5570000000000002</v>
      </c>
      <c r="AR103" s="45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5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0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0"/>
    </row>
    <row r="104" spans="1:65" hidden="1" x14ac:dyDescent="0.2">
      <c r="A104" s="30" t="s">
        <v>132</v>
      </c>
      <c r="B104" s="30" t="s">
        <v>141</v>
      </c>
      <c r="C104" s="30" t="str">
        <f>VLOOKUP(Tabelle58971115[[#This Row],[Prozess]],Tabelle22333[],3,FALSE)</f>
        <v>WashingEq_Res</v>
      </c>
      <c r="D104" s="1">
        <v>2030</v>
      </c>
      <c r="E104" s="30">
        <v>1</v>
      </c>
      <c r="F104" s="30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1"/>
      <c r="N104" s="31">
        <v>135</v>
      </c>
      <c r="O104" s="31"/>
      <c r="P104" s="31">
        <v>1880</v>
      </c>
      <c r="Q104" s="9"/>
      <c r="R104" s="33">
        <v>0.3</v>
      </c>
      <c r="S104" s="33">
        <v>0.1</v>
      </c>
      <c r="T104" s="33"/>
      <c r="U104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3"/>
      <c r="W104" s="44"/>
      <c r="X104" s="44"/>
      <c r="Y104" s="33">
        <v>1</v>
      </c>
      <c r="Z104" s="30">
        <v>12</v>
      </c>
      <c r="AA104" s="30"/>
      <c r="AB104" s="30"/>
      <c r="AC104" s="30">
        <v>12</v>
      </c>
      <c r="AD104" s="30">
        <v>4</v>
      </c>
      <c r="AE104" s="30">
        <v>12</v>
      </c>
      <c r="AF104" s="30">
        <v>6</v>
      </c>
      <c r="AG104" s="30">
        <v>0</v>
      </c>
      <c r="AH104" s="1" t="s">
        <v>371</v>
      </c>
      <c r="AI104" s="1" t="s">
        <v>276</v>
      </c>
      <c r="AK104" s="1">
        <v>1095</v>
      </c>
      <c r="AM104" s="31">
        <f>30*Umrechnungsfaktoren!$B$15/Umrechnungsfaktoren!$B$12</f>
        <v>31.14</v>
      </c>
      <c r="AN104" s="34">
        <f>0.05*10^3*Umrechnungsfaktoren!$B$15/Umrechnungsfaktoren!$B$12</f>
        <v>51.900000000000006</v>
      </c>
      <c r="AO104" s="34"/>
      <c r="AP104" s="34"/>
      <c r="AQ104" s="34">
        <f>0.03*Tabelle58971115[[#This Row],[variable Kosten €_2018/MWh]]</f>
        <v>1.5570000000000002</v>
      </c>
      <c r="AR104" s="45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5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0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0"/>
    </row>
    <row r="105" spans="1:65" hidden="1" x14ac:dyDescent="0.2">
      <c r="A105" s="30" t="s">
        <v>132</v>
      </c>
      <c r="B105" s="30" t="s">
        <v>141</v>
      </c>
      <c r="C105" s="30" t="str">
        <f>VLOOKUP(Tabelle58971115[[#This Row],[Prozess]],Tabelle22333[],3,FALSE)</f>
        <v>WashingEq_Res</v>
      </c>
      <c r="D105" s="1">
        <v>2050</v>
      </c>
      <c r="E105" s="30">
        <v>1</v>
      </c>
      <c r="F105" s="30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1"/>
      <c r="N105" s="31">
        <v>130</v>
      </c>
      <c r="O105" s="31"/>
      <c r="P105" s="31">
        <v>2034</v>
      </c>
      <c r="Q105" s="9"/>
      <c r="R105" s="33">
        <v>0.4</v>
      </c>
      <c r="S105" s="33">
        <v>0.15</v>
      </c>
      <c r="T105" s="33"/>
      <c r="U105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3"/>
      <c r="W105" s="44"/>
      <c r="X105" s="44"/>
      <c r="Y105" s="33">
        <v>1</v>
      </c>
      <c r="Z105" s="30">
        <v>12</v>
      </c>
      <c r="AA105" s="30"/>
      <c r="AB105" s="30"/>
      <c r="AC105" s="30">
        <v>12</v>
      </c>
      <c r="AD105" s="30">
        <v>4</v>
      </c>
      <c r="AE105" s="30">
        <v>12</v>
      </c>
      <c r="AF105" s="30">
        <v>6</v>
      </c>
      <c r="AG105" s="30">
        <v>0</v>
      </c>
      <c r="AH105" s="1" t="s">
        <v>371</v>
      </c>
      <c r="AI105" s="1" t="s">
        <v>276</v>
      </c>
      <c r="AK105" s="1">
        <v>1095</v>
      </c>
      <c r="AM105" s="31">
        <f>30*Umrechnungsfaktoren!$B$15/Umrechnungsfaktoren!$B$12</f>
        <v>31.14</v>
      </c>
      <c r="AN105" s="34">
        <f>0.05*10^3*Umrechnungsfaktoren!$B$15/Umrechnungsfaktoren!$B$12</f>
        <v>51.900000000000006</v>
      </c>
      <c r="AO105" s="34"/>
      <c r="AP105" s="34"/>
      <c r="AQ105" s="34">
        <f>0.03*Tabelle58971115[[#This Row],[variable Kosten €_2018/MWh]]</f>
        <v>1.5570000000000002</v>
      </c>
      <c r="AR105" s="45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5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0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0"/>
    </row>
    <row r="106" spans="1:65" x14ac:dyDescent="0.2">
      <c r="A106" s="30" t="s">
        <v>285</v>
      </c>
      <c r="B106" s="30" t="s">
        <v>141</v>
      </c>
      <c r="C106" s="30" t="str">
        <f>VLOOKUP(Tabelle58971115[[#This Row],[Prozess]],Tabelle22333[],3,FALSE)</f>
        <v>WashingEq_Res</v>
      </c>
      <c r="D106" s="1">
        <v>2010</v>
      </c>
      <c r="E106" s="30">
        <v>1</v>
      </c>
      <c r="F106" s="30">
        <v>0</v>
      </c>
      <c r="G106" s="1">
        <v>0</v>
      </c>
      <c r="H106" s="1">
        <v>1</v>
      </c>
      <c r="I106" s="1">
        <v>1</v>
      </c>
      <c r="J106" s="1">
        <v>6.87744</v>
      </c>
      <c r="M106" s="31"/>
      <c r="N106" s="31">
        <v>791</v>
      </c>
      <c r="O106" s="31"/>
      <c r="P106" s="31">
        <v>15863</v>
      </c>
      <c r="Q106" s="9"/>
      <c r="R106" s="33">
        <v>0.25</v>
      </c>
      <c r="S106" s="33">
        <v>0.08</v>
      </c>
      <c r="T106" s="33"/>
      <c r="U106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3"/>
      <c r="W106" s="44"/>
      <c r="X106" s="44"/>
      <c r="Y106" s="33">
        <v>1</v>
      </c>
      <c r="Z106" s="30">
        <v>12</v>
      </c>
      <c r="AA106" s="30"/>
      <c r="AB106" s="30"/>
      <c r="AC106" s="30">
        <v>12</v>
      </c>
      <c r="AD106" s="30">
        <v>4</v>
      </c>
      <c r="AE106" s="30">
        <v>12</v>
      </c>
      <c r="AF106" s="30">
        <v>6</v>
      </c>
      <c r="AG106" s="30">
        <v>0</v>
      </c>
      <c r="AH106" s="1" t="s">
        <v>371</v>
      </c>
      <c r="AI106" s="1" t="s">
        <v>276</v>
      </c>
      <c r="AK106" s="1">
        <v>1095</v>
      </c>
      <c r="AM106" s="31">
        <f>30*Umrechnungsfaktoren!$B$15/Umrechnungsfaktoren!$B$12</f>
        <v>31.14</v>
      </c>
      <c r="AN106" s="34">
        <f>0.05*10^3*Umrechnungsfaktoren!$B$15/Umrechnungsfaktoren!$B$12</f>
        <v>51.900000000000006</v>
      </c>
      <c r="AO106" s="34"/>
      <c r="AP106" s="34"/>
      <c r="AQ106" s="34">
        <f>0.03*Tabelle58971115[[#This Row],[variable Kosten €_2018/MWh]]</f>
        <v>1.5570000000000002</v>
      </c>
      <c r="AR106" s="45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5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0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0"/>
    </row>
    <row r="107" spans="1:65" hidden="1" x14ac:dyDescent="0.2">
      <c r="A107" s="30" t="s">
        <v>285</v>
      </c>
      <c r="B107" s="30" t="s">
        <v>141</v>
      </c>
      <c r="C107" s="30" t="str">
        <f>VLOOKUP(Tabelle58971115[[#This Row],[Prozess]],Tabelle22333[],3,FALSE)</f>
        <v>WashingEq_Res</v>
      </c>
      <c r="D107" s="1">
        <v>2020</v>
      </c>
      <c r="E107" s="30">
        <v>1</v>
      </c>
      <c r="F107" s="30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1"/>
      <c r="N107" s="31">
        <v>162</v>
      </c>
      <c r="O107" s="31"/>
      <c r="P107" s="31">
        <v>1038</v>
      </c>
      <c r="Q107" s="9"/>
      <c r="R107" s="33"/>
      <c r="S107" s="33"/>
      <c r="T107" s="33"/>
      <c r="U107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3"/>
      <c r="W107" s="44"/>
      <c r="X107" s="44"/>
      <c r="Y107" s="33">
        <v>1</v>
      </c>
      <c r="Z107" s="30">
        <v>12</v>
      </c>
      <c r="AA107" s="30"/>
      <c r="AB107" s="30"/>
      <c r="AC107" s="30">
        <v>12</v>
      </c>
      <c r="AD107" s="30">
        <v>4</v>
      </c>
      <c r="AE107" s="30">
        <v>12</v>
      </c>
      <c r="AF107" s="30">
        <v>6</v>
      </c>
      <c r="AG107" s="30">
        <v>0</v>
      </c>
      <c r="AH107" s="1" t="s">
        <v>371</v>
      </c>
      <c r="AI107" s="1" t="s">
        <v>276</v>
      </c>
      <c r="AK107" s="1">
        <v>1095</v>
      </c>
      <c r="AM107" s="31">
        <f>30*Umrechnungsfaktoren!$B$15/Umrechnungsfaktoren!$B$12</f>
        <v>31.14</v>
      </c>
      <c r="AN107" s="34">
        <f>0.05*10^3*Umrechnungsfaktoren!$B$15/Umrechnungsfaktoren!$B$12</f>
        <v>51.900000000000006</v>
      </c>
      <c r="AO107" s="34"/>
      <c r="AP107" s="34"/>
      <c r="AQ107" s="34">
        <f>0.03*Tabelle58971115[[#This Row],[variable Kosten €_2018/MWh]]</f>
        <v>1.5570000000000002</v>
      </c>
      <c r="AR107" s="45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5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0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0"/>
    </row>
    <row r="108" spans="1:65" hidden="1" x14ac:dyDescent="0.2">
      <c r="A108" s="30" t="s">
        <v>285</v>
      </c>
      <c r="B108" s="30" t="s">
        <v>141</v>
      </c>
      <c r="C108" s="30" t="str">
        <f>VLOOKUP(Tabelle58971115[[#This Row],[Prozess]],Tabelle22333[],3,FALSE)</f>
        <v>WashingEq_Res</v>
      </c>
      <c r="D108" s="1">
        <v>2030</v>
      </c>
      <c r="E108" s="30">
        <v>1</v>
      </c>
      <c r="F108" s="30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1"/>
      <c r="N108" s="31">
        <v>164</v>
      </c>
      <c r="O108" s="31"/>
      <c r="P108" s="31">
        <v>1094</v>
      </c>
      <c r="Q108" s="9"/>
      <c r="R108" s="33">
        <v>0.3</v>
      </c>
      <c r="S108" s="33">
        <v>0.1</v>
      </c>
      <c r="T108" s="33"/>
      <c r="U108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3"/>
      <c r="W108" s="44"/>
      <c r="X108" s="44"/>
      <c r="Y108" s="33">
        <v>1</v>
      </c>
      <c r="Z108" s="30">
        <v>12</v>
      </c>
      <c r="AA108" s="30"/>
      <c r="AB108" s="30"/>
      <c r="AC108" s="30">
        <v>12</v>
      </c>
      <c r="AD108" s="30">
        <v>4</v>
      </c>
      <c r="AE108" s="30">
        <v>12</v>
      </c>
      <c r="AF108" s="30">
        <v>6</v>
      </c>
      <c r="AG108" s="30">
        <v>0</v>
      </c>
      <c r="AH108" s="1" t="s">
        <v>371</v>
      </c>
      <c r="AI108" s="1" t="s">
        <v>276</v>
      </c>
      <c r="AK108" s="1">
        <v>1095</v>
      </c>
      <c r="AM108" s="31">
        <f>30*Umrechnungsfaktoren!$B$15/Umrechnungsfaktoren!$B$12</f>
        <v>31.14</v>
      </c>
      <c r="AN108" s="34">
        <f>0.05*10^3*Umrechnungsfaktoren!$B$15/Umrechnungsfaktoren!$B$12</f>
        <v>51.900000000000006</v>
      </c>
      <c r="AO108" s="34"/>
      <c r="AP108" s="34"/>
      <c r="AQ108" s="34">
        <f>0.03*Tabelle58971115[[#This Row],[variable Kosten €_2018/MWh]]</f>
        <v>1.5570000000000002</v>
      </c>
      <c r="AR108" s="45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5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0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0"/>
    </row>
    <row r="109" spans="1:65" hidden="1" x14ac:dyDescent="0.2">
      <c r="A109" s="30" t="s">
        <v>285</v>
      </c>
      <c r="B109" s="30" t="s">
        <v>141</v>
      </c>
      <c r="C109" s="30" t="str">
        <f>VLOOKUP(Tabelle58971115[[#This Row],[Prozess]],Tabelle22333[],3,FALSE)</f>
        <v>WashingEq_Res</v>
      </c>
      <c r="D109" s="1">
        <v>2050</v>
      </c>
      <c r="E109" s="30">
        <v>1</v>
      </c>
      <c r="F109" s="30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1"/>
      <c r="N109" s="31">
        <v>170</v>
      </c>
      <c r="O109" s="31"/>
      <c r="P109" s="31">
        <v>1276</v>
      </c>
      <c r="Q109" s="9"/>
      <c r="R109" s="33">
        <v>0.4</v>
      </c>
      <c r="S109" s="33">
        <v>0.15</v>
      </c>
      <c r="T109" s="33"/>
      <c r="U109" s="33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3"/>
      <c r="W109" s="44"/>
      <c r="X109" s="44"/>
      <c r="Y109" s="33">
        <v>1</v>
      </c>
      <c r="Z109" s="30">
        <v>12</v>
      </c>
      <c r="AA109" s="30"/>
      <c r="AB109" s="30"/>
      <c r="AC109" s="30">
        <v>12</v>
      </c>
      <c r="AD109" s="30">
        <v>4</v>
      </c>
      <c r="AE109" s="30">
        <v>12</v>
      </c>
      <c r="AF109" s="30">
        <v>6</v>
      </c>
      <c r="AG109" s="30">
        <v>0</v>
      </c>
      <c r="AH109" s="1" t="s">
        <v>371</v>
      </c>
      <c r="AI109" s="1" t="s">
        <v>276</v>
      </c>
      <c r="AK109" s="1">
        <v>1095</v>
      </c>
      <c r="AM109" s="31">
        <f>30*Umrechnungsfaktoren!$B$15/Umrechnungsfaktoren!$B$12</f>
        <v>31.14</v>
      </c>
      <c r="AN109" s="34">
        <f>0.05*10^3*Umrechnungsfaktoren!$B$15/Umrechnungsfaktoren!$B$12</f>
        <v>51.900000000000006</v>
      </c>
      <c r="AO109" s="34"/>
      <c r="AP109" s="34"/>
      <c r="AQ109" s="34">
        <f>0.03*Tabelle58971115[[#This Row],[variable Kosten €_2018/MWh]]</f>
        <v>1.5570000000000002</v>
      </c>
      <c r="AR109" s="45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5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0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0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0">
        <v>1</v>
      </c>
      <c r="F110" s="30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1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4">
        <f>0.03*Tabelle58971115[[#This Row],[Investitionsausgaben €_2018/kW]]</f>
        <v>7.7850000000000001</v>
      </c>
      <c r="AR110" s="45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0">
        <v>1</v>
      </c>
      <c r="F111" s="30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1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4">
        <f>0.03*Tabelle58971115[[#This Row],[Investitionsausgaben €_2018/kW]]</f>
        <v>7.7850000000000001</v>
      </c>
      <c r="AR111" s="45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5"/>
      <c r="BB111" s="35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0">
        <v>1</v>
      </c>
      <c r="F112" s="30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1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4">
        <f>0.03*Tabelle58971115[[#This Row],[Investitionsausgaben €_2018/kW]]</f>
        <v>7.7850000000000001</v>
      </c>
      <c r="AR112" s="45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5"/>
      <c r="BB112" s="35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0">
        <v>1</v>
      </c>
      <c r="F113" s="30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1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4">
        <f>0.03*Tabelle58971115[[#This Row],[Investitionsausgaben €_2018/kW]]</f>
        <v>7.7850000000000001</v>
      </c>
      <c r="AR113" s="45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5"/>
      <c r="BB113" s="35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0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0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0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0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0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0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0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0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0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0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0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0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1014</v>
      </c>
      <c r="H1" s="2" t="s">
        <v>1015</v>
      </c>
      <c r="I1" s="2" t="s">
        <v>1016</v>
      </c>
      <c r="J1" s="2" t="s">
        <v>1017</v>
      </c>
      <c r="K1" s="2" t="s">
        <v>1018</v>
      </c>
      <c r="L1" s="2" t="s">
        <v>1019</v>
      </c>
      <c r="M1" s="2" t="s">
        <v>1020</v>
      </c>
      <c r="N1" s="2" t="s">
        <v>1021</v>
      </c>
      <c r="O1" s="2" t="s">
        <v>213</v>
      </c>
      <c r="P1" s="2" t="s">
        <v>214</v>
      </c>
      <c r="Q1" s="2" t="s">
        <v>1022</v>
      </c>
      <c r="R1" s="2" t="s">
        <v>1023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6</v>
      </c>
    </row>
    <row r="2" spans="1:25" x14ac:dyDescent="0.2">
      <c r="A2" s="55" t="s">
        <v>391</v>
      </c>
      <c r="B2" s="1" t="s">
        <v>141</v>
      </c>
      <c r="C2" s="55">
        <v>2020</v>
      </c>
      <c r="D2" s="55">
        <v>1</v>
      </c>
      <c r="E2" s="55">
        <v>0</v>
      </c>
      <c r="F2" s="55">
        <v>0</v>
      </c>
      <c r="G2" s="56">
        <v>400</v>
      </c>
      <c r="H2" s="56">
        <v>1000</v>
      </c>
      <c r="I2" s="56">
        <v>400</v>
      </c>
      <c r="J2" s="56">
        <v>1000</v>
      </c>
      <c r="K2" s="58">
        <v>0.08</v>
      </c>
      <c r="L2" s="58">
        <v>0.2</v>
      </c>
      <c r="M2" s="56">
        <f>Tabelle589711142925[[#This Row],[Potenzial pos. max MW Referenz]]/Tabelle589711142925[[#This Row],[flexibilisierbarer Anteil Referenz]]</f>
        <v>5000</v>
      </c>
      <c r="N2" s="56">
        <f>Tabelle589711142925[[#This Row],[Potenzial pos. max MW optimistisch (Szenario 2)]]/Tabelle589711142925[[#This Row],[flexibilisierbarer Anteil optimistisch (Szenario 2)]]</f>
        <v>5000</v>
      </c>
      <c r="O2" s="55"/>
      <c r="P2" s="55"/>
      <c r="Q2" s="55">
        <v>1</v>
      </c>
      <c r="R2" s="55">
        <v>2</v>
      </c>
      <c r="S2" s="13" t="s">
        <v>996</v>
      </c>
      <c r="T2" s="13" t="s">
        <v>996</v>
      </c>
      <c r="U2" s="13" t="s">
        <v>1024</v>
      </c>
      <c r="V2" s="13" t="s">
        <v>1024</v>
      </c>
      <c r="W2" s="62">
        <v>89</v>
      </c>
      <c r="X2" s="13" t="s">
        <v>1024</v>
      </c>
      <c r="Y2" s="13" t="s">
        <v>1024</v>
      </c>
    </row>
    <row r="3" spans="1:25" x14ac:dyDescent="0.2">
      <c r="A3" s="55" t="s">
        <v>391</v>
      </c>
      <c r="B3" s="1" t="s">
        <v>141</v>
      </c>
      <c r="C3" s="55">
        <v>2030</v>
      </c>
      <c r="D3" s="55">
        <v>1</v>
      </c>
      <c r="E3" s="55">
        <v>0</v>
      </c>
      <c r="F3" s="55">
        <v>0</v>
      </c>
      <c r="G3" s="56">
        <v>3100</v>
      </c>
      <c r="H3" s="56">
        <v>3700</v>
      </c>
      <c r="I3" s="56">
        <v>3100</v>
      </c>
      <c r="J3" s="56">
        <v>3700</v>
      </c>
      <c r="K3" s="58">
        <v>0.23</v>
      </c>
      <c r="L3" s="58">
        <v>0.6</v>
      </c>
      <c r="M3" s="56">
        <f>Tabelle589711142925[[#This Row],[Potenzial pos. max MW Referenz]]/Tabelle589711142925[[#This Row],[flexibilisierbarer Anteil Referenz]]</f>
        <v>13478.260869565216</v>
      </c>
      <c r="N3" s="56">
        <f>Tabelle589711142925[[#This Row],[Potenzial pos. max MW optimistisch (Szenario 2)]]/Tabelle589711142925[[#This Row],[flexibilisierbarer Anteil optimistisch (Szenario 2)]]</f>
        <v>6166.666666666667</v>
      </c>
      <c r="O3" s="55"/>
      <c r="P3" s="55"/>
      <c r="Q3" s="55">
        <v>1</v>
      </c>
      <c r="R3" s="55">
        <v>2</v>
      </c>
      <c r="S3" s="13" t="s">
        <v>996</v>
      </c>
      <c r="T3" s="13" t="s">
        <v>996</v>
      </c>
      <c r="U3" s="13" t="s">
        <v>1024</v>
      </c>
      <c r="V3" s="13" t="s">
        <v>1024</v>
      </c>
      <c r="W3" s="62">
        <v>89</v>
      </c>
      <c r="X3" s="13" t="s">
        <v>1024</v>
      </c>
      <c r="Y3" s="13" t="s">
        <v>1024</v>
      </c>
    </row>
    <row r="4" spans="1:25" x14ac:dyDescent="0.2">
      <c r="A4" s="55" t="s">
        <v>391</v>
      </c>
      <c r="B4" s="1" t="s">
        <v>129</v>
      </c>
      <c r="C4" s="55">
        <v>2020</v>
      </c>
      <c r="D4" s="55">
        <v>1</v>
      </c>
      <c r="E4" s="55">
        <v>0</v>
      </c>
      <c r="F4" s="55">
        <v>0</v>
      </c>
      <c r="G4" s="56">
        <v>300</v>
      </c>
      <c r="H4" s="56">
        <v>700</v>
      </c>
      <c r="I4" s="56">
        <v>300</v>
      </c>
      <c r="J4" s="56">
        <v>700</v>
      </c>
      <c r="K4" s="58">
        <v>0.08</v>
      </c>
      <c r="L4" s="58">
        <v>0.2</v>
      </c>
      <c r="M4" s="56">
        <f>Tabelle589711142925[[#This Row],[Potenzial pos. max MW Referenz]]/Tabelle589711142925[[#This Row],[flexibilisierbarer Anteil Referenz]]</f>
        <v>3750</v>
      </c>
      <c r="N4" s="56">
        <f>Tabelle589711142925[[#This Row],[Potenzial pos. max MW optimistisch (Szenario 2)]]/Tabelle589711142925[[#This Row],[flexibilisierbarer Anteil optimistisch (Szenario 2)]]</f>
        <v>3500</v>
      </c>
      <c r="O4" s="55"/>
      <c r="P4" s="55"/>
      <c r="Q4" s="55">
        <v>2</v>
      </c>
      <c r="R4" s="55">
        <v>2</v>
      </c>
      <c r="S4" s="13" t="s">
        <v>996</v>
      </c>
      <c r="T4" s="13" t="s">
        <v>996</v>
      </c>
      <c r="U4" s="13" t="s">
        <v>1024</v>
      </c>
      <c r="V4" s="13" t="s">
        <v>1024</v>
      </c>
      <c r="W4" s="62">
        <v>89</v>
      </c>
      <c r="X4" s="13" t="s">
        <v>1024</v>
      </c>
      <c r="Y4" s="13" t="s">
        <v>1024</v>
      </c>
    </row>
    <row r="5" spans="1:25" x14ac:dyDescent="0.2">
      <c r="A5" s="55" t="s">
        <v>391</v>
      </c>
      <c r="B5" s="1" t="s">
        <v>129</v>
      </c>
      <c r="C5" s="55">
        <v>2030</v>
      </c>
      <c r="D5" s="55">
        <v>1</v>
      </c>
      <c r="E5" s="55">
        <v>0</v>
      </c>
      <c r="F5" s="55">
        <v>0</v>
      </c>
      <c r="G5" s="56">
        <v>800</v>
      </c>
      <c r="H5" s="56">
        <v>2100</v>
      </c>
      <c r="I5" s="56">
        <v>800</v>
      </c>
      <c r="J5" s="56">
        <v>2100</v>
      </c>
      <c r="K5" s="58">
        <v>0.23</v>
      </c>
      <c r="L5" s="58">
        <v>0.6</v>
      </c>
      <c r="M5" s="56">
        <f>Tabelle589711142925[[#This Row],[Potenzial pos. max MW Referenz]]/Tabelle589711142925[[#This Row],[flexibilisierbarer Anteil Referenz]]</f>
        <v>3478.260869565217</v>
      </c>
      <c r="N5" s="56">
        <f>Tabelle589711142925[[#This Row],[Potenzial pos. max MW optimistisch (Szenario 2)]]/Tabelle589711142925[[#This Row],[flexibilisierbarer Anteil optimistisch (Szenario 2)]]</f>
        <v>3500</v>
      </c>
      <c r="O5" s="55"/>
      <c r="P5" s="55"/>
      <c r="Q5" s="55">
        <v>2</v>
      </c>
      <c r="R5" s="55">
        <v>2</v>
      </c>
      <c r="S5" s="13" t="s">
        <v>996</v>
      </c>
      <c r="T5" s="13" t="s">
        <v>996</v>
      </c>
      <c r="U5" s="13" t="s">
        <v>1024</v>
      </c>
      <c r="V5" s="13" t="s">
        <v>1024</v>
      </c>
      <c r="W5" s="62">
        <v>89</v>
      </c>
      <c r="X5" s="13" t="s">
        <v>1024</v>
      </c>
      <c r="Y5" s="13" t="s">
        <v>1024</v>
      </c>
    </row>
    <row r="6" spans="1:25" x14ac:dyDescent="0.2">
      <c r="A6" s="55" t="s">
        <v>131</v>
      </c>
      <c r="B6" s="1" t="s">
        <v>141</v>
      </c>
      <c r="C6" s="55">
        <v>2020</v>
      </c>
      <c r="D6" s="55">
        <v>1</v>
      </c>
      <c r="E6" s="55">
        <v>0</v>
      </c>
      <c r="F6" s="55">
        <v>0</v>
      </c>
      <c r="G6" s="56">
        <v>1000</v>
      </c>
      <c r="H6" s="56">
        <v>1800</v>
      </c>
      <c r="I6" s="56">
        <v>1000</v>
      </c>
      <c r="J6" s="56">
        <v>1800</v>
      </c>
      <c r="K6" s="58">
        <v>0.08</v>
      </c>
      <c r="L6" s="58">
        <v>0.2</v>
      </c>
      <c r="M6" s="56">
        <f>Tabelle589711142925[[#This Row],[Potenzial pos. max MW Referenz]]/Tabelle589711142925[[#This Row],[flexibilisierbarer Anteil Referenz]]</f>
        <v>12500</v>
      </c>
      <c r="N6" s="56">
        <f>Tabelle589711142925[[#This Row],[Potenzial pos. max MW optimistisch (Szenario 2)]]/Tabelle589711142925[[#This Row],[flexibilisierbarer Anteil optimistisch (Szenario 2)]]</f>
        <v>9000</v>
      </c>
      <c r="O6" s="55"/>
      <c r="P6" s="55"/>
      <c r="Q6" s="55">
        <v>1</v>
      </c>
      <c r="R6" s="55">
        <v>3</v>
      </c>
      <c r="S6" s="13" t="s">
        <v>996</v>
      </c>
      <c r="T6" s="13" t="s">
        <v>996</v>
      </c>
      <c r="U6" s="13" t="s">
        <v>1024</v>
      </c>
      <c r="V6" s="13" t="s">
        <v>1024</v>
      </c>
      <c r="W6" s="62">
        <v>89</v>
      </c>
      <c r="X6" s="13" t="s">
        <v>1024</v>
      </c>
      <c r="Y6" s="13" t="s">
        <v>1024</v>
      </c>
    </row>
    <row r="7" spans="1:25" x14ac:dyDescent="0.2">
      <c r="A7" s="55" t="s">
        <v>131</v>
      </c>
      <c r="B7" s="1" t="s">
        <v>141</v>
      </c>
      <c r="C7" s="55">
        <v>2030</v>
      </c>
      <c r="D7" s="55">
        <v>1</v>
      </c>
      <c r="E7" s="55">
        <v>0</v>
      </c>
      <c r="F7" s="55">
        <v>0</v>
      </c>
      <c r="G7" s="56">
        <v>3000</v>
      </c>
      <c r="H7" s="56">
        <v>5000</v>
      </c>
      <c r="I7" s="56">
        <v>3000</v>
      </c>
      <c r="J7" s="56">
        <v>5000</v>
      </c>
      <c r="K7" s="58">
        <v>0.68</v>
      </c>
      <c r="L7" s="58">
        <v>0.6</v>
      </c>
      <c r="M7" s="56">
        <f>Tabelle589711142925[[#This Row],[Potenzial pos. max MW Referenz]]/Tabelle589711142925[[#This Row],[flexibilisierbarer Anteil Referenz]]</f>
        <v>4411.7647058823522</v>
      </c>
      <c r="N7" s="56">
        <f>Tabelle589711142925[[#This Row],[Potenzial pos. max MW optimistisch (Szenario 2)]]/Tabelle589711142925[[#This Row],[flexibilisierbarer Anteil optimistisch (Szenario 2)]]</f>
        <v>8333.3333333333339</v>
      </c>
      <c r="O7" s="55"/>
      <c r="P7" s="55"/>
      <c r="Q7" s="55">
        <v>1</v>
      </c>
      <c r="R7" s="55">
        <v>3</v>
      </c>
      <c r="S7" s="13" t="s">
        <v>996</v>
      </c>
      <c r="T7" s="13" t="s">
        <v>996</v>
      </c>
      <c r="U7" s="13" t="s">
        <v>1024</v>
      </c>
      <c r="V7" s="13" t="s">
        <v>1024</v>
      </c>
      <c r="W7" s="62">
        <v>89</v>
      </c>
      <c r="X7" s="13" t="s">
        <v>1024</v>
      </c>
      <c r="Y7" s="13" t="s">
        <v>1024</v>
      </c>
    </row>
    <row r="8" spans="1:25" x14ac:dyDescent="0.2">
      <c r="A8" s="55" t="s">
        <v>132</v>
      </c>
      <c r="B8" s="1" t="s">
        <v>141</v>
      </c>
      <c r="C8" s="55">
        <v>2020</v>
      </c>
      <c r="D8" s="55">
        <v>1</v>
      </c>
      <c r="E8" s="55">
        <v>0</v>
      </c>
      <c r="F8" s="55">
        <v>0</v>
      </c>
      <c r="G8" s="56">
        <v>1100</v>
      </c>
      <c r="H8" s="56">
        <v>2000</v>
      </c>
      <c r="I8" s="56">
        <v>1100</v>
      </c>
      <c r="J8" s="56">
        <v>2000</v>
      </c>
      <c r="K8" s="58">
        <v>0.08</v>
      </c>
      <c r="L8" s="58">
        <v>0.28999999999999998</v>
      </c>
      <c r="M8" s="56">
        <f>Tabelle589711142925[[#This Row],[Potenzial pos. max MW Referenz]]/Tabelle589711142925[[#This Row],[flexibilisierbarer Anteil Referenz]]</f>
        <v>13750</v>
      </c>
      <c r="N8" s="56">
        <f>Tabelle589711142925[[#This Row],[Potenzial pos. max MW optimistisch (Szenario 2)]]/Tabelle589711142925[[#This Row],[flexibilisierbarer Anteil optimistisch (Szenario 2)]]</f>
        <v>6896.5517241379312</v>
      </c>
      <c r="O8" s="55"/>
      <c r="P8" s="55"/>
      <c r="Q8" s="55">
        <v>1</v>
      </c>
      <c r="R8" s="55">
        <v>3</v>
      </c>
      <c r="S8" s="13" t="s">
        <v>996</v>
      </c>
      <c r="T8" s="13" t="s">
        <v>996</v>
      </c>
      <c r="U8" s="13" t="s">
        <v>1024</v>
      </c>
      <c r="V8" s="13" t="s">
        <v>1024</v>
      </c>
      <c r="W8" s="62">
        <v>89</v>
      </c>
      <c r="X8" s="13" t="s">
        <v>1024</v>
      </c>
      <c r="Y8" s="13" t="s">
        <v>1024</v>
      </c>
    </row>
    <row r="9" spans="1:25" x14ac:dyDescent="0.2">
      <c r="A9" s="55" t="s">
        <v>132</v>
      </c>
      <c r="B9" s="1" t="s">
        <v>141</v>
      </c>
      <c r="C9" s="55">
        <v>2030</v>
      </c>
      <c r="D9" s="55">
        <v>1</v>
      </c>
      <c r="E9" s="55">
        <v>0</v>
      </c>
      <c r="F9" s="55">
        <v>0</v>
      </c>
      <c r="G9" s="56">
        <v>3300</v>
      </c>
      <c r="H9" s="56">
        <v>5400</v>
      </c>
      <c r="I9" s="56">
        <v>3300</v>
      </c>
      <c r="J9" s="56">
        <v>5400</v>
      </c>
      <c r="K9" s="58">
        <v>0.68</v>
      </c>
      <c r="L9" s="58">
        <v>0.69</v>
      </c>
      <c r="M9" s="56">
        <f>Tabelle589711142925[[#This Row],[Potenzial pos. max MW Referenz]]/Tabelle589711142925[[#This Row],[flexibilisierbarer Anteil Referenz]]</f>
        <v>4852.9411764705883</v>
      </c>
      <c r="N9" s="56">
        <f>Tabelle589711142925[[#This Row],[Potenzial pos. max MW optimistisch (Szenario 2)]]/Tabelle589711142925[[#This Row],[flexibilisierbarer Anteil optimistisch (Szenario 2)]]</f>
        <v>7826.0869565217399</v>
      </c>
      <c r="O9" s="55"/>
      <c r="P9" s="55"/>
      <c r="Q9" s="55">
        <v>1</v>
      </c>
      <c r="R9" s="55">
        <v>3</v>
      </c>
      <c r="S9" s="13" t="s">
        <v>996</v>
      </c>
      <c r="T9" s="13" t="s">
        <v>996</v>
      </c>
      <c r="U9" s="13" t="s">
        <v>1024</v>
      </c>
      <c r="V9" s="13" t="s">
        <v>1024</v>
      </c>
      <c r="W9" s="62">
        <v>89</v>
      </c>
      <c r="X9" s="13" t="s">
        <v>1024</v>
      </c>
      <c r="Y9" s="13" t="s">
        <v>1024</v>
      </c>
    </row>
    <row r="10" spans="1:25" x14ac:dyDescent="0.2">
      <c r="A10" s="55" t="s">
        <v>285</v>
      </c>
      <c r="B10" s="1" t="s">
        <v>141</v>
      </c>
      <c r="C10" s="55">
        <v>2020</v>
      </c>
      <c r="D10" s="55">
        <v>1</v>
      </c>
      <c r="E10" s="55">
        <v>0</v>
      </c>
      <c r="F10" s="55">
        <v>0</v>
      </c>
      <c r="G10" s="56">
        <v>2000</v>
      </c>
      <c r="H10" s="56">
        <v>3500</v>
      </c>
      <c r="I10" s="56">
        <v>2000</v>
      </c>
      <c r="J10" s="56">
        <v>3500</v>
      </c>
      <c r="K10" s="58">
        <v>0.08</v>
      </c>
      <c r="L10" s="58">
        <v>0.2</v>
      </c>
      <c r="M10" s="56">
        <f>Tabelle589711142925[[#This Row],[Potenzial pos. max MW Referenz]]/Tabelle589711142925[[#This Row],[flexibilisierbarer Anteil Referenz]]</f>
        <v>25000</v>
      </c>
      <c r="N10" s="56">
        <f>Tabelle589711142925[[#This Row],[Potenzial pos. max MW optimistisch (Szenario 2)]]/Tabelle589711142925[[#This Row],[flexibilisierbarer Anteil optimistisch (Szenario 2)]]</f>
        <v>17500</v>
      </c>
      <c r="O10" s="55"/>
      <c r="P10" s="55"/>
      <c r="Q10" s="55">
        <v>6</v>
      </c>
      <c r="R10" s="55">
        <v>12</v>
      </c>
      <c r="S10" s="13" t="s">
        <v>996</v>
      </c>
      <c r="T10" s="13" t="s">
        <v>996</v>
      </c>
      <c r="U10" s="13" t="s">
        <v>1024</v>
      </c>
      <c r="V10" s="13" t="s">
        <v>1024</v>
      </c>
      <c r="W10" s="62">
        <v>89</v>
      </c>
      <c r="X10" s="13" t="s">
        <v>1024</v>
      </c>
      <c r="Y10" s="13" t="s">
        <v>1024</v>
      </c>
    </row>
    <row r="11" spans="1:25" x14ac:dyDescent="0.2">
      <c r="A11" s="55" t="s">
        <v>285</v>
      </c>
      <c r="B11" s="1" t="s">
        <v>141</v>
      </c>
      <c r="C11" s="55">
        <v>2030</v>
      </c>
      <c r="D11" s="55">
        <v>1</v>
      </c>
      <c r="E11" s="55">
        <v>0</v>
      </c>
      <c r="F11" s="55">
        <v>0</v>
      </c>
      <c r="G11" s="56">
        <v>5900</v>
      </c>
      <c r="H11" s="56">
        <v>9600</v>
      </c>
      <c r="I11" s="56">
        <v>5900</v>
      </c>
      <c r="J11" s="56">
        <v>9600</v>
      </c>
      <c r="K11" s="58">
        <v>0.68</v>
      </c>
      <c r="L11" s="58">
        <v>0.6</v>
      </c>
      <c r="M11" s="56">
        <f>Tabelle589711142925[[#This Row],[Potenzial pos. max MW Referenz]]/Tabelle589711142925[[#This Row],[flexibilisierbarer Anteil Referenz]]</f>
        <v>8676.4705882352937</v>
      </c>
      <c r="N11" s="56">
        <f>Tabelle589711142925[[#This Row],[Potenzial pos. max MW optimistisch (Szenario 2)]]/Tabelle589711142925[[#This Row],[flexibilisierbarer Anteil optimistisch (Szenario 2)]]</f>
        <v>16000</v>
      </c>
      <c r="O11" s="55"/>
      <c r="P11" s="55"/>
      <c r="Q11" s="55">
        <v>6</v>
      </c>
      <c r="R11" s="55">
        <v>12</v>
      </c>
      <c r="S11" s="13" t="s">
        <v>996</v>
      </c>
      <c r="T11" s="13" t="s">
        <v>996</v>
      </c>
      <c r="U11" s="13" t="s">
        <v>1024</v>
      </c>
      <c r="V11" s="13" t="s">
        <v>1024</v>
      </c>
      <c r="W11" s="62">
        <v>89</v>
      </c>
      <c r="X11" s="13" t="s">
        <v>1024</v>
      </c>
      <c r="Y11" s="13" t="s">
        <v>1024</v>
      </c>
    </row>
    <row r="12" spans="1:25" x14ac:dyDescent="0.2">
      <c r="A12" s="55" t="s">
        <v>140</v>
      </c>
      <c r="B12" s="1" t="s">
        <v>141</v>
      </c>
      <c r="C12" s="55">
        <v>2020</v>
      </c>
      <c r="D12" s="55">
        <v>1</v>
      </c>
      <c r="E12" s="55">
        <v>0</v>
      </c>
      <c r="F12" s="55">
        <v>0</v>
      </c>
      <c r="G12" s="56">
        <v>14600</v>
      </c>
      <c r="H12" s="56">
        <v>9700</v>
      </c>
      <c r="I12" s="56">
        <v>14600</v>
      </c>
      <c r="J12" s="56">
        <v>9700</v>
      </c>
      <c r="K12" s="58">
        <v>1</v>
      </c>
      <c r="L12" s="58">
        <v>1</v>
      </c>
      <c r="M12" s="56">
        <f>Tabelle589711142925[[#This Row],[Potenzial pos. max MW Referenz]]/Tabelle589711142925[[#This Row],[flexibilisierbarer Anteil Referenz]]</f>
        <v>14600</v>
      </c>
      <c r="N12" s="56">
        <f>Tabelle589711142925[[#This Row],[Potenzial pos. max MW optimistisch (Szenario 2)]]/Tabelle589711142925[[#This Row],[flexibilisierbarer Anteil optimistisch (Szenario 2)]]</f>
        <v>9700</v>
      </c>
      <c r="O12" s="55"/>
      <c r="P12" s="55"/>
      <c r="Q12" s="55">
        <v>18</v>
      </c>
      <c r="R12" s="55">
        <v>18</v>
      </c>
      <c r="S12" s="13" t="s">
        <v>996</v>
      </c>
      <c r="T12" s="13" t="s">
        <v>996</v>
      </c>
      <c r="U12" s="13" t="s">
        <v>1024</v>
      </c>
      <c r="V12" s="13" t="s">
        <v>1024</v>
      </c>
      <c r="W12" s="62">
        <v>89</v>
      </c>
      <c r="X12" s="13" t="s">
        <v>1024</v>
      </c>
      <c r="Y12" s="13" t="s">
        <v>1024</v>
      </c>
    </row>
    <row r="13" spans="1:25" x14ac:dyDescent="0.2">
      <c r="A13" s="55" t="s">
        <v>140</v>
      </c>
      <c r="B13" s="1" t="s">
        <v>141</v>
      </c>
      <c r="C13" s="55">
        <v>2030</v>
      </c>
      <c r="D13" s="55">
        <v>1</v>
      </c>
      <c r="E13" s="55">
        <v>0</v>
      </c>
      <c r="F13" s="55">
        <v>0</v>
      </c>
      <c r="G13" s="56">
        <v>9200</v>
      </c>
      <c r="H13" s="56">
        <v>6000</v>
      </c>
      <c r="I13" s="56">
        <v>9200</v>
      </c>
      <c r="J13" s="56">
        <v>6000</v>
      </c>
      <c r="K13" s="58">
        <v>1</v>
      </c>
      <c r="L13" s="58">
        <v>1</v>
      </c>
      <c r="M13" s="56">
        <f>Tabelle589711142925[[#This Row],[Potenzial pos. max MW Referenz]]/Tabelle589711142925[[#This Row],[flexibilisierbarer Anteil Referenz]]</f>
        <v>9200</v>
      </c>
      <c r="N13" s="56">
        <f>Tabelle589711142925[[#This Row],[Potenzial pos. max MW optimistisch (Szenario 2)]]/Tabelle589711142925[[#This Row],[flexibilisierbarer Anteil optimistisch (Szenario 2)]]</f>
        <v>6000</v>
      </c>
      <c r="O13" s="55"/>
      <c r="P13" s="55"/>
      <c r="Q13" s="55">
        <v>18</v>
      </c>
      <c r="R13" s="55">
        <v>18</v>
      </c>
      <c r="S13" s="13" t="s">
        <v>996</v>
      </c>
      <c r="T13" s="13" t="s">
        <v>996</v>
      </c>
      <c r="U13" s="13" t="s">
        <v>1024</v>
      </c>
      <c r="V13" s="13" t="s">
        <v>1024</v>
      </c>
      <c r="W13" s="62">
        <v>89</v>
      </c>
      <c r="X13" s="13" t="s">
        <v>1024</v>
      </c>
      <c r="Y13" s="13" t="s">
        <v>1024</v>
      </c>
    </row>
    <row r="14" spans="1:25" x14ac:dyDescent="0.2">
      <c r="A14" s="55" t="s">
        <v>136</v>
      </c>
      <c r="B14" s="1" t="s">
        <v>141</v>
      </c>
      <c r="C14" s="55">
        <v>2020</v>
      </c>
      <c r="D14" s="55">
        <v>1</v>
      </c>
      <c r="E14" s="55">
        <v>0</v>
      </c>
      <c r="F14" s="55">
        <v>0</v>
      </c>
      <c r="G14" s="56">
        <v>5700</v>
      </c>
      <c r="H14" s="56">
        <v>4300</v>
      </c>
      <c r="I14" s="56">
        <v>5700</v>
      </c>
      <c r="J14" s="56">
        <v>4300</v>
      </c>
      <c r="K14" s="58">
        <v>1</v>
      </c>
      <c r="L14" s="58">
        <v>1</v>
      </c>
      <c r="M14" s="56">
        <f>Tabelle589711142925[[#This Row],[Potenzial pos. max MW Referenz]]/Tabelle589711142925[[#This Row],[flexibilisierbarer Anteil Referenz]]</f>
        <v>5700</v>
      </c>
      <c r="N14" s="56">
        <f>Tabelle589711142925[[#This Row],[Potenzial pos. max MW optimistisch (Szenario 2)]]/Tabelle589711142925[[#This Row],[flexibilisierbarer Anteil optimistisch (Szenario 2)]]</f>
        <v>4300</v>
      </c>
      <c r="O14" s="55"/>
      <c r="P14" s="55"/>
      <c r="Q14" s="55">
        <v>1</v>
      </c>
      <c r="R14" s="55">
        <v>4</v>
      </c>
      <c r="S14" s="13" t="s">
        <v>996</v>
      </c>
      <c r="T14" s="13" t="s">
        <v>996</v>
      </c>
      <c r="U14" s="13" t="s">
        <v>1024</v>
      </c>
      <c r="V14" s="13" t="s">
        <v>1024</v>
      </c>
      <c r="W14" s="62">
        <v>89</v>
      </c>
      <c r="X14" s="13" t="s">
        <v>1024</v>
      </c>
      <c r="Y14" s="13" t="s">
        <v>1024</v>
      </c>
    </row>
    <row r="15" spans="1:25" x14ac:dyDescent="0.2">
      <c r="A15" s="55" t="s">
        <v>136</v>
      </c>
      <c r="B15" s="1" t="s">
        <v>141</v>
      </c>
      <c r="C15" s="55">
        <v>2030</v>
      </c>
      <c r="D15" s="55">
        <v>1</v>
      </c>
      <c r="E15" s="55">
        <v>0</v>
      </c>
      <c r="F15" s="55">
        <v>0</v>
      </c>
      <c r="G15" s="56">
        <v>8000</v>
      </c>
      <c r="H15" s="56">
        <v>4600</v>
      </c>
      <c r="I15" s="56">
        <v>8000</v>
      </c>
      <c r="J15" s="56">
        <v>4600</v>
      </c>
      <c r="K15" s="58">
        <v>1</v>
      </c>
      <c r="L15" s="58">
        <v>1</v>
      </c>
      <c r="M15" s="56">
        <f>Tabelle589711142925[[#This Row],[Potenzial pos. max MW Referenz]]/Tabelle589711142925[[#This Row],[flexibilisierbarer Anteil Referenz]]</f>
        <v>8000</v>
      </c>
      <c r="N15" s="56">
        <f>Tabelle589711142925[[#This Row],[Potenzial pos. max MW optimistisch (Szenario 2)]]/Tabelle589711142925[[#This Row],[flexibilisierbarer Anteil optimistisch (Szenario 2)]]</f>
        <v>4600</v>
      </c>
      <c r="O15" s="55"/>
      <c r="P15" s="55"/>
      <c r="Q15" s="55">
        <v>1</v>
      </c>
      <c r="R15" s="55">
        <v>4</v>
      </c>
      <c r="S15" s="13" t="s">
        <v>996</v>
      </c>
      <c r="T15" s="13" t="s">
        <v>996</v>
      </c>
      <c r="U15" s="13" t="s">
        <v>1024</v>
      </c>
      <c r="V15" s="13" t="s">
        <v>1024</v>
      </c>
      <c r="W15" s="62">
        <v>89</v>
      </c>
      <c r="X15" s="13" t="s">
        <v>1024</v>
      </c>
      <c r="Y15" s="13" t="s">
        <v>1024</v>
      </c>
    </row>
    <row r="16" spans="1:25" x14ac:dyDescent="0.2">
      <c r="A16" s="55" t="s">
        <v>137</v>
      </c>
      <c r="B16" s="1" t="s">
        <v>141</v>
      </c>
      <c r="C16" s="55">
        <v>2020</v>
      </c>
      <c r="D16" s="55">
        <v>1</v>
      </c>
      <c r="E16" s="55">
        <v>0</v>
      </c>
      <c r="F16" s="55">
        <v>0</v>
      </c>
      <c r="G16" s="56">
        <v>8800</v>
      </c>
      <c r="H16" s="56">
        <v>5400</v>
      </c>
      <c r="I16" s="56">
        <v>8800</v>
      </c>
      <c r="J16" s="56">
        <v>5400</v>
      </c>
      <c r="K16" s="58">
        <v>1</v>
      </c>
      <c r="L16" s="58">
        <v>1</v>
      </c>
      <c r="M16" s="56">
        <f>Tabelle589711142925[[#This Row],[Potenzial pos. max MW Referenz]]/Tabelle589711142925[[#This Row],[flexibilisierbarer Anteil Referenz]]</f>
        <v>8800</v>
      </c>
      <c r="N16" s="56">
        <f>Tabelle589711142925[[#This Row],[Potenzial pos. max MW optimistisch (Szenario 2)]]/Tabelle589711142925[[#This Row],[flexibilisierbarer Anteil optimistisch (Szenario 2)]]</f>
        <v>5400</v>
      </c>
      <c r="O16" s="55"/>
      <c r="P16" s="55"/>
      <c r="Q16" s="55">
        <v>18</v>
      </c>
      <c r="R16" s="55">
        <v>18</v>
      </c>
      <c r="S16" s="13" t="s">
        <v>996</v>
      </c>
      <c r="T16" s="13" t="s">
        <v>996</v>
      </c>
      <c r="U16" s="13" t="s">
        <v>1024</v>
      </c>
      <c r="V16" s="13" t="s">
        <v>1024</v>
      </c>
      <c r="W16" s="62">
        <v>89</v>
      </c>
      <c r="X16" s="13" t="s">
        <v>1024</v>
      </c>
      <c r="Y16" s="13" t="s">
        <v>1024</v>
      </c>
    </row>
    <row r="17" spans="1:25" x14ac:dyDescent="0.2">
      <c r="A17" s="55" t="s">
        <v>137</v>
      </c>
      <c r="B17" s="1" t="s">
        <v>141</v>
      </c>
      <c r="C17" s="55">
        <v>2030</v>
      </c>
      <c r="D17" s="55">
        <v>1</v>
      </c>
      <c r="E17" s="55">
        <v>0</v>
      </c>
      <c r="F17" s="55">
        <v>0</v>
      </c>
      <c r="G17" s="56">
        <v>6300</v>
      </c>
      <c r="H17" s="56">
        <v>3200</v>
      </c>
      <c r="I17" s="56">
        <v>6300</v>
      </c>
      <c r="J17" s="56">
        <v>3200</v>
      </c>
      <c r="K17" s="58">
        <v>1</v>
      </c>
      <c r="L17" s="58">
        <v>1</v>
      </c>
      <c r="M17" s="56">
        <f>Tabelle589711142925[[#This Row],[Potenzial pos. max MW Referenz]]/Tabelle589711142925[[#This Row],[flexibilisierbarer Anteil Referenz]]</f>
        <v>6300</v>
      </c>
      <c r="N17" s="56">
        <f>Tabelle589711142925[[#This Row],[Potenzial pos. max MW optimistisch (Szenario 2)]]/Tabelle589711142925[[#This Row],[flexibilisierbarer Anteil optimistisch (Szenario 2)]]</f>
        <v>3200</v>
      </c>
      <c r="O17" s="55"/>
      <c r="P17" s="55"/>
      <c r="Q17" s="55">
        <v>18</v>
      </c>
      <c r="R17" s="55">
        <v>18</v>
      </c>
      <c r="S17" s="13" t="s">
        <v>996</v>
      </c>
      <c r="T17" s="13" t="s">
        <v>996</v>
      </c>
      <c r="U17" s="13" t="s">
        <v>1024</v>
      </c>
      <c r="V17" s="13" t="s">
        <v>1024</v>
      </c>
      <c r="W17" s="62">
        <v>89</v>
      </c>
      <c r="X17" s="13" t="s">
        <v>1024</v>
      </c>
      <c r="Y17" s="13" t="s">
        <v>1024</v>
      </c>
    </row>
    <row r="18" spans="1:25" x14ac:dyDescent="0.2">
      <c r="A18" s="55" t="s">
        <v>836</v>
      </c>
      <c r="B18" s="1" t="s">
        <v>141</v>
      </c>
      <c r="C18" s="55">
        <v>2020</v>
      </c>
      <c r="D18" s="55">
        <v>1</v>
      </c>
      <c r="E18" s="55">
        <v>0</v>
      </c>
      <c r="F18" s="55">
        <v>0</v>
      </c>
      <c r="G18" s="56">
        <v>1900</v>
      </c>
      <c r="H18" s="56">
        <v>4800</v>
      </c>
      <c r="I18" s="56">
        <v>1900</v>
      </c>
      <c r="J18" s="56">
        <v>4800</v>
      </c>
      <c r="K18" s="58">
        <v>0.4</v>
      </c>
      <c r="L18" s="58">
        <v>1</v>
      </c>
      <c r="M18" s="56">
        <f>Tabelle589711142925[[#This Row],[Potenzial pos. max MW Referenz]]/Tabelle589711142925[[#This Row],[flexibilisierbarer Anteil Referenz]]</f>
        <v>4750</v>
      </c>
      <c r="N18" s="56">
        <f>Tabelle589711142925[[#This Row],[Potenzial pos. max MW optimistisch (Szenario 2)]]/Tabelle589711142925[[#This Row],[flexibilisierbarer Anteil optimistisch (Szenario 2)]]</f>
        <v>4800</v>
      </c>
      <c r="O18" s="55">
        <v>5</v>
      </c>
      <c r="P18" s="55">
        <v>12</v>
      </c>
      <c r="Q18" s="55"/>
      <c r="R18" s="55">
        <v>8.5</v>
      </c>
      <c r="S18" s="13" t="s">
        <v>996</v>
      </c>
      <c r="T18" s="13" t="s">
        <v>996</v>
      </c>
      <c r="U18" s="13" t="s">
        <v>1024</v>
      </c>
      <c r="V18" s="13" t="s">
        <v>1024</v>
      </c>
      <c r="W18" s="62">
        <v>89</v>
      </c>
      <c r="X18" s="13" t="s">
        <v>1024</v>
      </c>
      <c r="Y18" s="13" t="s">
        <v>1024</v>
      </c>
    </row>
    <row r="19" spans="1:25" x14ac:dyDescent="0.2">
      <c r="A19" s="55" t="s">
        <v>836</v>
      </c>
      <c r="B19" s="1" t="s">
        <v>141</v>
      </c>
      <c r="C19" s="55">
        <v>2030</v>
      </c>
      <c r="D19" s="55">
        <v>1</v>
      </c>
      <c r="E19" s="55">
        <v>0</v>
      </c>
      <c r="F19" s="55">
        <v>0</v>
      </c>
      <c r="G19" s="56">
        <v>14900</v>
      </c>
      <c r="H19" s="56">
        <v>26100</v>
      </c>
      <c r="I19" s="56">
        <v>14900</v>
      </c>
      <c r="J19" s="56">
        <v>26100</v>
      </c>
      <c r="K19" s="58">
        <v>0.6</v>
      </c>
      <c r="L19" s="58">
        <v>1</v>
      </c>
      <c r="M19" s="56">
        <f>Tabelle589711142925[[#This Row],[Potenzial pos. max MW Referenz]]/Tabelle589711142925[[#This Row],[flexibilisierbarer Anteil Referenz]]</f>
        <v>24833.333333333336</v>
      </c>
      <c r="N19" s="56">
        <f>Tabelle589711142925[[#This Row],[Potenzial pos. max MW optimistisch (Szenario 2)]]/Tabelle589711142925[[#This Row],[flexibilisierbarer Anteil optimistisch (Szenario 2)]]</f>
        <v>26100</v>
      </c>
      <c r="O19" s="55">
        <v>5</v>
      </c>
      <c r="P19" s="55">
        <v>12</v>
      </c>
      <c r="Q19" s="55"/>
      <c r="R19" s="55">
        <v>8.5</v>
      </c>
      <c r="S19" s="13" t="s">
        <v>996</v>
      </c>
      <c r="T19" s="13" t="s">
        <v>996</v>
      </c>
      <c r="U19" s="13" t="s">
        <v>1024</v>
      </c>
      <c r="V19" s="13" t="s">
        <v>1024</v>
      </c>
      <c r="W19" s="62">
        <v>89</v>
      </c>
      <c r="X19" s="13" t="s">
        <v>1024</v>
      </c>
      <c r="Y19" s="13" t="s">
        <v>1024</v>
      </c>
    </row>
    <row r="20" spans="1:25" x14ac:dyDescent="0.2">
      <c r="A20" s="55" t="s">
        <v>364</v>
      </c>
      <c r="B20" s="1" t="s">
        <v>129</v>
      </c>
      <c r="C20" s="55">
        <v>2020</v>
      </c>
      <c r="D20" s="55">
        <v>1</v>
      </c>
      <c r="E20" s="55">
        <v>0</v>
      </c>
      <c r="F20" s="55">
        <v>0</v>
      </c>
      <c r="G20" s="56">
        <v>900</v>
      </c>
      <c r="H20" s="56">
        <v>3500</v>
      </c>
      <c r="I20" s="56">
        <v>900</v>
      </c>
      <c r="J20" s="56">
        <v>3500</v>
      </c>
      <c r="K20" s="58">
        <v>7.0000000000000007E-2</v>
      </c>
      <c r="L20" s="58">
        <v>0.3</v>
      </c>
      <c r="M20" s="56">
        <f>Tabelle589711142925[[#This Row],[Potenzial pos. max MW Referenz]]/Tabelle589711142925[[#This Row],[flexibilisierbarer Anteil Referenz]]</f>
        <v>12857.142857142855</v>
      </c>
      <c r="N20" s="56">
        <f>Tabelle589711142925[[#This Row],[Potenzial pos. max MW optimistisch (Szenario 2)]]/Tabelle589711142925[[#This Row],[flexibilisierbarer Anteil optimistisch (Szenario 2)]]</f>
        <v>11666.666666666668</v>
      </c>
      <c r="O20" s="55"/>
      <c r="P20" s="55"/>
      <c r="Q20" s="55">
        <v>1</v>
      </c>
      <c r="R20" s="55">
        <v>2</v>
      </c>
      <c r="S20" s="13" t="s">
        <v>996</v>
      </c>
      <c r="T20" s="13" t="s">
        <v>996</v>
      </c>
      <c r="U20" s="13" t="s">
        <v>1024</v>
      </c>
      <c r="V20" s="13" t="s">
        <v>1024</v>
      </c>
      <c r="W20" s="62">
        <v>89</v>
      </c>
      <c r="X20" s="13" t="s">
        <v>1024</v>
      </c>
      <c r="Y20" s="13" t="s">
        <v>1024</v>
      </c>
    </row>
    <row r="21" spans="1:25" x14ac:dyDescent="0.2">
      <c r="A21" s="55" t="s">
        <v>364</v>
      </c>
      <c r="B21" s="1" t="s">
        <v>129</v>
      </c>
      <c r="C21" s="55">
        <v>2030</v>
      </c>
      <c r="D21" s="55">
        <v>1</v>
      </c>
      <c r="E21" s="55">
        <v>0</v>
      </c>
      <c r="F21" s="55">
        <v>0</v>
      </c>
      <c r="G21" s="56">
        <v>2700</v>
      </c>
      <c r="H21" s="56">
        <v>9800</v>
      </c>
      <c r="I21" s="56">
        <v>2700</v>
      </c>
      <c r="J21" s="56">
        <v>9800</v>
      </c>
      <c r="K21" s="58">
        <v>0.2</v>
      </c>
      <c r="L21" s="58">
        <v>0.8</v>
      </c>
      <c r="M21" s="56">
        <f>Tabelle589711142925[[#This Row],[Potenzial pos. max MW Referenz]]/Tabelle589711142925[[#This Row],[flexibilisierbarer Anteil Referenz]]</f>
        <v>13500</v>
      </c>
      <c r="N21" s="56">
        <f>Tabelle589711142925[[#This Row],[Potenzial pos. max MW optimistisch (Szenario 2)]]/Tabelle589711142925[[#This Row],[flexibilisierbarer Anteil optimistisch (Szenario 2)]]</f>
        <v>12250</v>
      </c>
      <c r="O21" s="55"/>
      <c r="P21" s="55"/>
      <c r="Q21" s="55">
        <v>2</v>
      </c>
      <c r="R21" s="55">
        <v>4</v>
      </c>
      <c r="S21" s="13" t="s">
        <v>996</v>
      </c>
      <c r="T21" s="13" t="s">
        <v>996</v>
      </c>
      <c r="U21" s="13" t="s">
        <v>1024</v>
      </c>
      <c r="V21" s="13" t="s">
        <v>1024</v>
      </c>
      <c r="W21" s="62">
        <v>89</v>
      </c>
      <c r="X21" s="13" t="s">
        <v>1024</v>
      </c>
      <c r="Y21" s="13" t="s">
        <v>1024</v>
      </c>
    </row>
    <row r="22" spans="1:25" x14ac:dyDescent="0.2">
      <c r="A22" s="55" t="s">
        <v>827</v>
      </c>
      <c r="B22" s="1" t="s">
        <v>128</v>
      </c>
      <c r="C22" s="55">
        <v>2020</v>
      </c>
      <c r="D22" s="55">
        <v>1</v>
      </c>
      <c r="E22" s="55">
        <v>1</v>
      </c>
      <c r="F22" s="55">
        <v>0</v>
      </c>
      <c r="G22" s="56">
        <v>100</v>
      </c>
      <c r="H22" s="56">
        <v>1300</v>
      </c>
      <c r="I22" s="56">
        <v>100</v>
      </c>
      <c r="J22" s="56">
        <v>1300</v>
      </c>
      <c r="K22" s="58">
        <v>0.03</v>
      </c>
      <c r="L22" s="58">
        <v>0.25</v>
      </c>
      <c r="M22" s="56">
        <f>Tabelle589711142925[[#This Row],[Potenzial pos. max MW Referenz]]/Tabelle589711142925[[#This Row],[flexibilisierbarer Anteil Referenz]]</f>
        <v>3333.3333333333335</v>
      </c>
      <c r="N22" s="56">
        <f>Tabelle589711142925[[#This Row],[Potenzial pos. max MW optimistisch (Szenario 2)]]/Tabelle589711142925[[#This Row],[flexibilisierbarer Anteil optimistisch (Szenario 2)]]</f>
        <v>5200</v>
      </c>
      <c r="O22" s="55">
        <v>1</v>
      </c>
      <c r="P22" s="55">
        <v>4</v>
      </c>
      <c r="Q22" s="55"/>
      <c r="R22" s="55">
        <v>2.5</v>
      </c>
      <c r="S22" s="13" t="s">
        <v>996</v>
      </c>
      <c r="T22" s="13" t="s">
        <v>996</v>
      </c>
      <c r="U22" s="13" t="s">
        <v>1024</v>
      </c>
      <c r="V22" s="13" t="s">
        <v>1024</v>
      </c>
      <c r="W22" s="62">
        <v>89</v>
      </c>
      <c r="X22" s="13" t="s">
        <v>1024</v>
      </c>
      <c r="Y22" s="13" t="s">
        <v>1024</v>
      </c>
    </row>
    <row r="23" spans="1:25" x14ac:dyDescent="0.2">
      <c r="A23" s="55" t="s">
        <v>827</v>
      </c>
      <c r="B23" s="1" t="s">
        <v>128</v>
      </c>
      <c r="C23" s="55">
        <v>2030</v>
      </c>
      <c r="D23" s="55">
        <v>1</v>
      </c>
      <c r="E23" s="55">
        <v>1</v>
      </c>
      <c r="F23" s="55">
        <v>0</v>
      </c>
      <c r="G23" s="56">
        <v>500</v>
      </c>
      <c r="H23" s="56">
        <v>4500</v>
      </c>
      <c r="I23" s="56">
        <v>500</v>
      </c>
      <c r="J23" s="56">
        <v>4500</v>
      </c>
      <c r="K23" s="58">
        <v>0.1</v>
      </c>
      <c r="L23" s="58">
        <v>0.85</v>
      </c>
      <c r="M23" s="56">
        <f>Tabelle589711142925[[#This Row],[Potenzial pos. max MW Referenz]]/Tabelle589711142925[[#This Row],[flexibilisierbarer Anteil Referenz]]</f>
        <v>5000</v>
      </c>
      <c r="N23" s="56">
        <f>Tabelle589711142925[[#This Row],[Potenzial pos. max MW optimistisch (Szenario 2)]]/Tabelle589711142925[[#This Row],[flexibilisierbarer Anteil optimistisch (Szenario 2)]]</f>
        <v>5294.1176470588234</v>
      </c>
      <c r="O23" s="55">
        <v>1</v>
      </c>
      <c r="P23" s="55">
        <v>4</v>
      </c>
      <c r="Q23" s="55"/>
      <c r="R23" s="55">
        <v>2.5</v>
      </c>
      <c r="S23" s="13" t="s">
        <v>996</v>
      </c>
      <c r="T23" s="13" t="s">
        <v>996</v>
      </c>
      <c r="U23" s="13" t="s">
        <v>1024</v>
      </c>
      <c r="V23" s="13" t="s">
        <v>1024</v>
      </c>
      <c r="W23" s="62">
        <v>89</v>
      </c>
      <c r="X23" s="13" t="s">
        <v>1024</v>
      </c>
      <c r="Y23" s="13" t="s">
        <v>1024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5" t="s">
        <v>187</v>
      </c>
      <c r="B3" s="55" t="s">
        <v>128</v>
      </c>
      <c r="C3" s="1">
        <v>2013</v>
      </c>
      <c r="D3" s="1">
        <v>1</v>
      </c>
      <c r="E3" s="1">
        <v>0</v>
      </c>
      <c r="F3" s="1">
        <v>0</v>
      </c>
      <c r="G3" s="56">
        <v>730</v>
      </c>
      <c r="H3" s="56">
        <v>283</v>
      </c>
      <c r="I3" s="55">
        <v>2</v>
      </c>
      <c r="J3" s="55">
        <v>32</v>
      </c>
      <c r="K3" s="55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946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879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880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1129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1145</v>
      </c>
      <c r="S1" s="2" t="s">
        <v>1146</v>
      </c>
      <c r="T1" s="2" t="s">
        <v>158</v>
      </c>
      <c r="U1" s="2" t="s">
        <v>1148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1096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875</v>
      </c>
      <c r="AO1" s="2" t="s">
        <v>1</v>
      </c>
      <c r="AP1" s="2" t="s">
        <v>2</v>
      </c>
      <c r="AQ1" s="2" t="s">
        <v>1136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79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6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0.2035294117647059</v>
      </c>
      <c r="AD2" s="19">
        <f>0.9*Umrechnungsfaktoren!$B$15/Umrechnungsfaktoren!$B$14</f>
        <v>0.91588235294117659</v>
      </c>
      <c r="AE2" s="19">
        <f>0.5*Umrechnungsfaktoren!$B$15/Umrechnungsfaktoren!$B$14</f>
        <v>0.50882352941176479</v>
      </c>
      <c r="AF2" s="19">
        <f>7.2*Umrechnungsfaktoren!$B$15/Umrechnungsfaktoren!$B$14</f>
        <v>7.3270588235294127</v>
      </c>
      <c r="AG2" s="19">
        <f>7.2*Umrechnungsfaktoren!$B$15/Umrechnungsfaktoren!$B$14</f>
        <v>7.3270588235294127</v>
      </c>
      <c r="AH2" s="19">
        <f>164*Umrechnungsfaktoren!$B$15/Umrechnungsfaktoren!$B$14</f>
        <v>166.89411764705883</v>
      </c>
      <c r="AI2" s="19">
        <f>0.05*Umrechnungsfaktoren!$B$15/Umrechnungsfaktoren!$B$14</f>
        <v>5.0882352941176476E-2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79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6"/>
      <c r="N3" s="20"/>
      <c r="O3" s="1">
        <v>0.25</v>
      </c>
      <c r="U3" s="1">
        <v>1</v>
      </c>
      <c r="AC3" s="19">
        <f>0.2*Umrechnungsfaktoren!$B$15/Umrechnungsfaktoren!$B$14</f>
        <v>0.2035294117647059</v>
      </c>
      <c r="AD3" s="19">
        <f>0.9*Umrechnungsfaktoren!$B$15/Umrechnungsfaktoren!$B$14</f>
        <v>0.91588235294117659</v>
      </c>
      <c r="AE3" s="19">
        <f>0.5*Umrechnungsfaktoren!$B$15/Umrechnungsfaktoren!$B$14</f>
        <v>0.50882352941176479</v>
      </c>
      <c r="AF3" s="19">
        <f>7.2*Umrechnungsfaktoren!$B$15/Umrechnungsfaktoren!$B$14</f>
        <v>7.3270588235294127</v>
      </c>
      <c r="AG3" s="19">
        <f>7.2*Umrechnungsfaktoren!$B$15/Umrechnungsfaktoren!$B$14</f>
        <v>7.3270588235294127</v>
      </c>
      <c r="AH3" s="19">
        <f>164*Umrechnungsfaktoren!$B$15/Umrechnungsfaktoren!$B$14</f>
        <v>166.89411764705883</v>
      </c>
      <c r="AI3" s="19">
        <f>0.05*Umrechnungsfaktoren!$B$15/Umrechnungsfaktoren!$B$14</f>
        <v>5.0882352941176476E-2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79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6"/>
      <c r="N4" s="20"/>
      <c r="O4" s="1">
        <v>0.25</v>
      </c>
      <c r="U4" s="1">
        <v>1</v>
      </c>
      <c r="AC4" s="19">
        <f>0.2*Umrechnungsfaktoren!$B$15/Umrechnungsfaktoren!$B$14</f>
        <v>0.2035294117647059</v>
      </c>
      <c r="AD4" s="19">
        <f>0.9*Umrechnungsfaktoren!$B$15/Umrechnungsfaktoren!$B$14</f>
        <v>0.91588235294117659</v>
      </c>
      <c r="AE4" s="19">
        <f>0.5*Umrechnungsfaktoren!$B$15/Umrechnungsfaktoren!$B$14</f>
        <v>0.50882352941176479</v>
      </c>
      <c r="AF4" s="19">
        <f>7.2*Umrechnungsfaktoren!$B$15/Umrechnungsfaktoren!$B$14</f>
        <v>7.3270588235294127</v>
      </c>
      <c r="AG4" s="19">
        <f>7.2*Umrechnungsfaktoren!$B$15/Umrechnungsfaktoren!$B$14</f>
        <v>7.3270588235294127</v>
      </c>
      <c r="AH4" s="19">
        <f>164*Umrechnungsfaktoren!$B$15/Umrechnungsfaktoren!$B$14</f>
        <v>166.89411764705883</v>
      </c>
      <c r="AI4" s="19">
        <f>0.05*Umrechnungsfaktoren!$B$15/Umrechnungsfaktoren!$B$14</f>
        <v>5.0882352941176476E-2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79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6"/>
      <c r="N5" s="20"/>
      <c r="O5" s="1">
        <v>0.25</v>
      </c>
      <c r="U5" s="1">
        <v>1</v>
      </c>
      <c r="AC5" s="19">
        <f>0.2*Umrechnungsfaktoren!$B$15/Umrechnungsfaktoren!$B$14</f>
        <v>0.2035294117647059</v>
      </c>
      <c r="AD5" s="19">
        <f>0.9*Umrechnungsfaktoren!$B$15/Umrechnungsfaktoren!$B$14</f>
        <v>0.91588235294117659</v>
      </c>
      <c r="AE5" s="19">
        <f>0.5*Umrechnungsfaktoren!$B$15/Umrechnungsfaktoren!$B$14</f>
        <v>0.50882352941176479</v>
      </c>
      <c r="AF5" s="19">
        <f>7.2*Umrechnungsfaktoren!$B$15/Umrechnungsfaktoren!$B$14</f>
        <v>7.3270588235294127</v>
      </c>
      <c r="AG5" s="19">
        <f>7.2*Umrechnungsfaktoren!$B$15/Umrechnungsfaktoren!$B$14</f>
        <v>7.3270588235294127</v>
      </c>
      <c r="AH5" s="19">
        <f>164*Umrechnungsfaktoren!$B$15/Umrechnungsfaktoren!$B$14</f>
        <v>166.89411764705883</v>
      </c>
      <c r="AI5" s="19">
        <f>0.05*Umrechnungsfaktoren!$B$15/Umrechnungsfaktoren!$B$14</f>
        <v>5.0882352941176476E-2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79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6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0.2035294117647059</v>
      </c>
      <c r="AD6" s="19">
        <f>0.9*Umrechnungsfaktoren!$B$15/Umrechnungsfaktoren!$B$14</f>
        <v>0.91588235294117659</v>
      </c>
      <c r="AE6" s="19">
        <f>0.5*Umrechnungsfaktoren!$B$15/Umrechnungsfaktoren!$B$14</f>
        <v>0.50882352941176479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5.0882352941176476E-2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79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6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0.2035294117647059</v>
      </c>
      <c r="AD7" s="19">
        <f>0.9*Umrechnungsfaktoren!$B$15/Umrechnungsfaktoren!$B$14</f>
        <v>0.91588235294117659</v>
      </c>
      <c r="AE7" s="19">
        <f>0.5*Umrechnungsfaktoren!$B$15/Umrechnungsfaktoren!$B$14</f>
        <v>0.50882352941176479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5.0882352941176476E-2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79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6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0.2035294117647059</v>
      </c>
      <c r="AD8" s="19">
        <f>0.9*Umrechnungsfaktoren!$B$15/Umrechnungsfaktoren!$B$14</f>
        <v>0.91588235294117659</v>
      </c>
      <c r="AE8" s="19">
        <f>0.5*Umrechnungsfaktoren!$B$15/Umrechnungsfaktoren!$B$14</f>
        <v>0.50882352941176479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5.0882352941176476E-2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79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6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0.2035294117647059</v>
      </c>
      <c r="AD9" s="19">
        <f>0.9*Umrechnungsfaktoren!$B$15/Umrechnungsfaktoren!$B$14</f>
        <v>0.91588235294117659</v>
      </c>
      <c r="AE9" s="19">
        <f>0.5*Umrechnungsfaktoren!$B$15/Umrechnungsfaktoren!$B$14</f>
        <v>0.50882352941176479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5.0882352941176476E-2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79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6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0.2035294117647059</v>
      </c>
      <c r="AD10" s="19">
        <f>0.9*Umrechnungsfaktoren!$B$15/Umrechnungsfaktoren!$B$14</f>
        <v>0.91588235294117659</v>
      </c>
      <c r="AE10" s="19">
        <f>0.5*Umrechnungsfaktoren!$B$15/Umrechnungsfaktoren!$B$14</f>
        <v>0.50882352941176479</v>
      </c>
      <c r="AF10" s="8"/>
      <c r="AG10" s="8"/>
      <c r="AH10" s="8"/>
      <c r="AI10" s="8">
        <f>0.05*Umrechnungsfaktoren!$B$15/Umrechnungsfaktoren!$B$14</f>
        <v>5.0882352941176476E-2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79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6"/>
      <c r="N11" s="20"/>
      <c r="O11" s="1">
        <v>0.25</v>
      </c>
      <c r="T11" s="1">
        <v>2</v>
      </c>
      <c r="AC11" s="19">
        <f>0.2*Umrechnungsfaktoren!$B$15/Umrechnungsfaktoren!$B$14</f>
        <v>0.2035294117647059</v>
      </c>
      <c r="AD11" s="19">
        <f>0.9*Umrechnungsfaktoren!$B$15/Umrechnungsfaktoren!$B$14</f>
        <v>0.91588235294117659</v>
      </c>
      <c r="AE11" s="19">
        <f>0.5*Umrechnungsfaktoren!$B$15/Umrechnungsfaktoren!$B$14</f>
        <v>0.50882352941176479</v>
      </c>
      <c r="AF11" s="8"/>
      <c r="AG11" s="8"/>
      <c r="AH11" s="8"/>
      <c r="AI11" s="8">
        <f>0.05*Umrechnungsfaktoren!$B$15/Umrechnungsfaktoren!$B$14</f>
        <v>5.0882352941176476E-2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79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6"/>
      <c r="N12" s="20"/>
      <c r="O12" s="1">
        <v>0.25</v>
      </c>
      <c r="T12" s="1">
        <v>2</v>
      </c>
      <c r="AC12" s="19">
        <f>0.2*Umrechnungsfaktoren!$B$15/Umrechnungsfaktoren!$B$14</f>
        <v>0.2035294117647059</v>
      </c>
      <c r="AD12" s="19">
        <f>0.9*Umrechnungsfaktoren!$B$15/Umrechnungsfaktoren!$B$14</f>
        <v>0.91588235294117659</v>
      </c>
      <c r="AE12" s="19">
        <f>0.5*Umrechnungsfaktoren!$B$15/Umrechnungsfaktoren!$B$14</f>
        <v>0.50882352941176479</v>
      </c>
      <c r="AF12" s="8"/>
      <c r="AG12" s="8"/>
      <c r="AH12" s="8"/>
      <c r="AI12" s="8">
        <f>0.05*Umrechnungsfaktoren!$B$15/Umrechnungsfaktoren!$B$14</f>
        <v>5.0882352941176476E-2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79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6"/>
      <c r="N13" s="20"/>
      <c r="O13" s="1">
        <v>0.25</v>
      </c>
      <c r="T13" s="1">
        <v>2</v>
      </c>
      <c r="AC13" s="19">
        <f>0.2*Umrechnungsfaktoren!$B$15/Umrechnungsfaktoren!$B$14</f>
        <v>0.2035294117647059</v>
      </c>
      <c r="AD13" s="19">
        <f>0.9*Umrechnungsfaktoren!$B$15/Umrechnungsfaktoren!$B$14</f>
        <v>0.91588235294117659</v>
      </c>
      <c r="AE13" s="19">
        <f>0.5*Umrechnungsfaktoren!$B$15/Umrechnungsfaktoren!$B$14</f>
        <v>0.50882352941176479</v>
      </c>
      <c r="AF13" s="8"/>
      <c r="AG13" s="8"/>
      <c r="AH13" s="8"/>
      <c r="AI13" s="8">
        <f>0.05*Umrechnungsfaktoren!$B$15/Umrechnungsfaktoren!$B$14</f>
        <v>5.0882352941176476E-2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79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6"/>
      <c r="N14" s="20"/>
      <c r="O14" s="1">
        <v>0.25</v>
      </c>
      <c r="AC14" s="19">
        <f>0.2*Umrechnungsfaktoren!$B$15/Umrechnungsfaktoren!$B$14</f>
        <v>0.2035294117647059</v>
      </c>
      <c r="AD14" s="19">
        <f>0.9*Umrechnungsfaktoren!$B$15/Umrechnungsfaktoren!$B$14</f>
        <v>0.91588235294117659</v>
      </c>
      <c r="AE14" s="19">
        <f>0.5*Umrechnungsfaktoren!$B$15/Umrechnungsfaktoren!$B$14</f>
        <v>0.50882352941176479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5.0882352941176476E-2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79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6"/>
      <c r="N15" s="20"/>
      <c r="O15" s="1">
        <v>0.25</v>
      </c>
      <c r="AC15" s="19">
        <f>0.2*Umrechnungsfaktoren!$B$15/Umrechnungsfaktoren!$B$14</f>
        <v>0.2035294117647059</v>
      </c>
      <c r="AD15" s="19">
        <f>0.9*Umrechnungsfaktoren!$B$15/Umrechnungsfaktoren!$B$14</f>
        <v>0.91588235294117659</v>
      </c>
      <c r="AE15" s="19">
        <f>0.5*Umrechnungsfaktoren!$B$15/Umrechnungsfaktoren!$B$14</f>
        <v>0.50882352941176479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5.0882352941176476E-2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79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6"/>
      <c r="N16" s="20"/>
      <c r="O16" s="1">
        <v>0.25</v>
      </c>
      <c r="AC16" s="19">
        <f>0.2*Umrechnungsfaktoren!$B$15/Umrechnungsfaktoren!$B$14</f>
        <v>0.2035294117647059</v>
      </c>
      <c r="AD16" s="19">
        <f>0.9*Umrechnungsfaktoren!$B$15/Umrechnungsfaktoren!$B$14</f>
        <v>0.91588235294117659</v>
      </c>
      <c r="AE16" s="19">
        <f>0.5*Umrechnungsfaktoren!$B$15/Umrechnungsfaktoren!$B$14</f>
        <v>0.50882352941176479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5.0882352941176476E-2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79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6"/>
      <c r="N17" s="20"/>
      <c r="O17" s="1">
        <v>0.25</v>
      </c>
      <c r="AC17" s="19">
        <f>0.2*Umrechnungsfaktoren!$B$15/Umrechnungsfaktoren!$B$14</f>
        <v>0.2035294117647059</v>
      </c>
      <c r="AD17" s="19">
        <f>0.9*Umrechnungsfaktoren!$B$15/Umrechnungsfaktoren!$B$14</f>
        <v>0.91588235294117659</v>
      </c>
      <c r="AE17" s="19">
        <f>0.5*Umrechnungsfaktoren!$B$15/Umrechnungsfaktoren!$B$14</f>
        <v>0.50882352941176479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5.0882352941176476E-2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79" t="s">
        <v>83</v>
      </c>
      <c r="B18" s="1" t="s">
        <v>128</v>
      </c>
      <c r="C18" s="1">
        <v>2012</v>
      </c>
      <c r="D18" s="21">
        <v>0</v>
      </c>
      <c r="E18" s="21">
        <v>1</v>
      </c>
      <c r="F18" s="1">
        <v>0</v>
      </c>
      <c r="G18" s="21">
        <v>5.3869999999999996</v>
      </c>
      <c r="H18" s="22">
        <v>957</v>
      </c>
      <c r="I18" s="22">
        <v>1114</v>
      </c>
      <c r="J18" s="19"/>
      <c r="K18" s="24">
        <v>1</v>
      </c>
      <c r="L18" s="24">
        <v>0</v>
      </c>
      <c r="M18" s="46">
        <v>6100</v>
      </c>
      <c r="N18" s="23">
        <v>957</v>
      </c>
      <c r="O18" s="1">
        <v>0.25</v>
      </c>
      <c r="P18" s="21"/>
      <c r="Q18" s="21"/>
      <c r="R18" s="21"/>
      <c r="S18" s="21"/>
      <c r="T18" s="21"/>
      <c r="U18" s="21">
        <v>1.5</v>
      </c>
      <c r="V18" s="21"/>
      <c r="W18" s="21"/>
      <c r="X18" s="21"/>
      <c r="Y18" s="21"/>
      <c r="Z18" s="21"/>
      <c r="AB18" s="21">
        <v>52</v>
      </c>
      <c r="AC18" s="22">
        <f>0.2*Umrechnungsfaktoren!$B$15/Umrechnungsfaktoren!$B$14</f>
        <v>0.2035294117647059</v>
      </c>
      <c r="AD18" s="22">
        <f>0.9*Umrechnungsfaktoren!$B$15/Umrechnungsfaktoren!$B$14</f>
        <v>0.91588235294117659</v>
      </c>
      <c r="AE18" s="22">
        <f>0.5*Umrechnungsfaktoren!$B$15/Umrechnungsfaktoren!$B$14</f>
        <v>0.50882352941176479</v>
      </c>
      <c r="AF18" s="25"/>
      <c r="AG18" s="25"/>
      <c r="AH18" s="8">
        <f>392*Umrechnungsfaktoren!$B$15/Umrechnungsfaktoren!$B$14</f>
        <v>398.91764705882355</v>
      </c>
      <c r="AI18" s="25">
        <f>0.05*Umrechnungsfaktoren!$B$15/Umrechnungsfaktoren!$B$14</f>
        <v>5.0882352941176476E-2</v>
      </c>
      <c r="AJ18" s="25"/>
      <c r="AK18" s="51">
        <v>0.97499999999999998</v>
      </c>
      <c r="AL18" s="51">
        <v>1</v>
      </c>
      <c r="AM18" s="21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1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79" t="s">
        <v>83</v>
      </c>
      <c r="B19" s="1" t="s">
        <v>128</v>
      </c>
      <c r="C19" s="1">
        <v>2020</v>
      </c>
      <c r="D19" s="21">
        <v>0</v>
      </c>
      <c r="E19" s="21">
        <v>1</v>
      </c>
      <c r="F19" s="1">
        <v>0</v>
      </c>
      <c r="G19" s="21"/>
      <c r="H19" s="22">
        <v>953</v>
      </c>
      <c r="I19" s="22">
        <v>1110</v>
      </c>
      <c r="J19" s="19"/>
      <c r="K19" s="24">
        <v>1</v>
      </c>
      <c r="L19" s="24">
        <v>0</v>
      </c>
      <c r="M19" s="46"/>
      <c r="N19" s="23"/>
      <c r="O19" s="1">
        <v>0.25</v>
      </c>
      <c r="P19" s="21"/>
      <c r="Q19" s="21"/>
      <c r="R19" s="21"/>
      <c r="S19" s="21"/>
      <c r="T19" s="21"/>
      <c r="U19" s="21">
        <v>1.5</v>
      </c>
      <c r="V19" s="21"/>
      <c r="W19" s="21"/>
      <c r="X19" s="21"/>
      <c r="Y19" s="21"/>
      <c r="Z19" s="21"/>
      <c r="AA19" s="21"/>
      <c r="AB19" s="21"/>
      <c r="AC19" s="22">
        <f>0.2*Umrechnungsfaktoren!$B$15/Umrechnungsfaktoren!$B$14</f>
        <v>0.2035294117647059</v>
      </c>
      <c r="AD19" s="22">
        <f>0.9*Umrechnungsfaktoren!$B$15/Umrechnungsfaktoren!$B$14</f>
        <v>0.91588235294117659</v>
      </c>
      <c r="AE19" s="22">
        <f>0.5*Umrechnungsfaktoren!$B$15/Umrechnungsfaktoren!$B$14</f>
        <v>0.50882352941176479</v>
      </c>
      <c r="AF19" s="25"/>
      <c r="AG19" s="25"/>
      <c r="AH19" s="8">
        <f>392*Umrechnungsfaktoren!$B$15/Umrechnungsfaktoren!$B$14</f>
        <v>398.91764705882355</v>
      </c>
      <c r="AI19" s="25">
        <f>0.05*Umrechnungsfaktoren!$B$15/Umrechnungsfaktoren!$B$14</f>
        <v>5.0882352941176476E-2</v>
      </c>
      <c r="AJ19" s="25"/>
      <c r="AK19" s="51">
        <v>0.97499999999999998</v>
      </c>
      <c r="AL19" s="51">
        <v>1</v>
      </c>
      <c r="AM19" s="21"/>
      <c r="AO19" s="13">
        <v>80</v>
      </c>
      <c r="AP19" s="13">
        <v>80</v>
      </c>
      <c r="AQ19" s="13"/>
      <c r="AR19" s="13"/>
      <c r="AS19" s="13"/>
      <c r="AU19" s="21"/>
    </row>
    <row r="20" spans="1:52" x14ac:dyDescent="0.2">
      <c r="A20" s="79" t="s">
        <v>83</v>
      </c>
      <c r="B20" s="1" t="s">
        <v>128</v>
      </c>
      <c r="C20" s="1">
        <v>2025</v>
      </c>
      <c r="D20" s="21">
        <v>0</v>
      </c>
      <c r="E20" s="21">
        <v>1</v>
      </c>
      <c r="F20" s="1">
        <v>0</v>
      </c>
      <c r="G20" s="21"/>
      <c r="H20" s="22">
        <v>983</v>
      </c>
      <c r="I20" s="22">
        <v>1145</v>
      </c>
      <c r="J20" s="19"/>
      <c r="K20" s="24">
        <v>1</v>
      </c>
      <c r="L20" s="24">
        <v>0</v>
      </c>
      <c r="M20" s="46"/>
      <c r="N20" s="23"/>
      <c r="O20" s="1">
        <v>0.25</v>
      </c>
      <c r="P20" s="21"/>
      <c r="Q20" s="21"/>
      <c r="R20" s="21"/>
      <c r="S20" s="21"/>
      <c r="T20" s="21"/>
      <c r="U20" s="21">
        <v>1.5</v>
      </c>
      <c r="V20" s="21"/>
      <c r="W20" s="21"/>
      <c r="X20" s="21"/>
      <c r="Y20" s="21"/>
      <c r="Z20" s="21"/>
      <c r="AA20" s="21"/>
      <c r="AB20" s="21"/>
      <c r="AC20" s="22">
        <f>0.2*Umrechnungsfaktoren!$B$15/Umrechnungsfaktoren!$B$14</f>
        <v>0.2035294117647059</v>
      </c>
      <c r="AD20" s="22">
        <f>0.9*Umrechnungsfaktoren!$B$15/Umrechnungsfaktoren!$B$14</f>
        <v>0.91588235294117659</v>
      </c>
      <c r="AE20" s="22">
        <f>0.5*Umrechnungsfaktoren!$B$15/Umrechnungsfaktoren!$B$14</f>
        <v>0.50882352941176479</v>
      </c>
      <c r="AF20" s="25"/>
      <c r="AG20" s="25"/>
      <c r="AH20" s="8">
        <f>392*Umrechnungsfaktoren!$B$15/Umrechnungsfaktoren!$B$14</f>
        <v>398.91764705882355</v>
      </c>
      <c r="AI20" s="25">
        <f>0.05*Umrechnungsfaktoren!$B$15/Umrechnungsfaktoren!$B$14</f>
        <v>5.0882352941176476E-2</v>
      </c>
      <c r="AJ20" s="25"/>
      <c r="AK20" s="51">
        <v>0.97499999999999998</v>
      </c>
      <c r="AL20" s="51">
        <v>1</v>
      </c>
      <c r="AM20" s="21"/>
      <c r="AO20" s="13">
        <v>80</v>
      </c>
      <c r="AP20" s="13">
        <v>80</v>
      </c>
      <c r="AQ20" s="13"/>
      <c r="AR20" s="13"/>
      <c r="AS20" s="13"/>
      <c r="AU20" s="21"/>
    </row>
    <row r="21" spans="1:52" x14ac:dyDescent="0.2">
      <c r="A21" s="79" t="s">
        <v>83</v>
      </c>
      <c r="B21" s="1" t="s">
        <v>128</v>
      </c>
      <c r="C21" s="1">
        <v>2030</v>
      </c>
      <c r="D21" s="21">
        <v>0</v>
      </c>
      <c r="E21" s="21">
        <v>1</v>
      </c>
      <c r="F21" s="1">
        <v>0</v>
      </c>
      <c r="G21" s="21"/>
      <c r="H21" s="22">
        <v>960</v>
      </c>
      <c r="I21" s="22">
        <v>1117</v>
      </c>
      <c r="J21" s="19"/>
      <c r="K21" s="24">
        <v>1</v>
      </c>
      <c r="L21" s="24">
        <v>0</v>
      </c>
      <c r="M21" s="46"/>
      <c r="N21" s="23"/>
      <c r="O21" s="1">
        <v>0.25</v>
      </c>
      <c r="P21" s="21"/>
      <c r="Q21" s="21"/>
      <c r="R21" s="21"/>
      <c r="S21" s="21"/>
      <c r="T21" s="21"/>
      <c r="U21" s="21">
        <v>1.5</v>
      </c>
      <c r="V21" s="21"/>
      <c r="W21" s="21"/>
      <c r="X21" s="21"/>
      <c r="Y21" s="21"/>
      <c r="Z21" s="21"/>
      <c r="AA21" s="21"/>
      <c r="AB21" s="21"/>
      <c r="AC21" s="22">
        <f>0.2*Umrechnungsfaktoren!$B$15/Umrechnungsfaktoren!$B$14</f>
        <v>0.2035294117647059</v>
      </c>
      <c r="AD21" s="22">
        <f>0.9*Umrechnungsfaktoren!$B$15/Umrechnungsfaktoren!$B$14</f>
        <v>0.91588235294117659</v>
      </c>
      <c r="AE21" s="22">
        <f>0.5*Umrechnungsfaktoren!$B$15/Umrechnungsfaktoren!$B$14</f>
        <v>0.50882352941176479</v>
      </c>
      <c r="AF21" s="25"/>
      <c r="AG21" s="25"/>
      <c r="AH21" s="8">
        <f>392*Umrechnungsfaktoren!$B$15/Umrechnungsfaktoren!$B$14</f>
        <v>398.91764705882355</v>
      </c>
      <c r="AI21" s="25">
        <f>0.05*Umrechnungsfaktoren!$B$15/Umrechnungsfaktoren!$B$14</f>
        <v>5.0882352941176476E-2</v>
      </c>
      <c r="AJ21" s="25"/>
      <c r="AK21" s="51">
        <v>0.97499999999999998</v>
      </c>
      <c r="AL21" s="51">
        <v>1</v>
      </c>
      <c r="AM21" s="21"/>
      <c r="AO21" s="13">
        <v>80</v>
      </c>
      <c r="AP21" s="13">
        <v>80</v>
      </c>
      <c r="AQ21" s="13"/>
      <c r="AR21" s="13"/>
      <c r="AS21" s="13"/>
      <c r="AU21" s="21"/>
    </row>
    <row r="22" spans="1:52" x14ac:dyDescent="0.2">
      <c r="A22" s="79" t="s">
        <v>946</v>
      </c>
      <c r="B22" s="1" t="s">
        <v>128</v>
      </c>
      <c r="C22" s="1">
        <v>2012</v>
      </c>
      <c r="D22" s="21">
        <v>1</v>
      </c>
      <c r="E22" s="21">
        <v>1</v>
      </c>
      <c r="F22" s="1">
        <v>0</v>
      </c>
      <c r="G22" s="21">
        <f>0.639+1.456</f>
        <v>2.0949999999999998</v>
      </c>
      <c r="H22" s="22">
        <f>116+265</f>
        <v>381</v>
      </c>
      <c r="I22" s="22">
        <v>921</v>
      </c>
      <c r="J22" s="22">
        <v>163</v>
      </c>
      <c r="K22" s="24">
        <v>1</v>
      </c>
      <c r="L22" s="24">
        <v>0.43</v>
      </c>
      <c r="M22" s="47">
        <v>5500</v>
      </c>
      <c r="N22" s="23">
        <f>116+265</f>
        <v>381</v>
      </c>
      <c r="O22" s="1">
        <v>0.25</v>
      </c>
      <c r="P22" s="21"/>
      <c r="Q22" s="21"/>
      <c r="R22" s="21"/>
      <c r="S22" s="21"/>
      <c r="T22" s="21">
        <v>3</v>
      </c>
      <c r="U22" s="21">
        <v>3</v>
      </c>
      <c r="V22" s="21"/>
      <c r="W22" s="21"/>
      <c r="X22" s="21"/>
      <c r="Y22" s="21"/>
      <c r="Z22" s="21"/>
      <c r="AA22" s="21">
        <v>52</v>
      </c>
      <c r="AB22" s="21">
        <v>52</v>
      </c>
      <c r="AC22" s="22">
        <f>0.2*Umrechnungsfaktoren!$B$15/Umrechnungsfaktoren!$B$14</f>
        <v>0.2035294117647059</v>
      </c>
      <c r="AD22" s="22">
        <f>0.9*Umrechnungsfaktoren!$B$15/Umrechnungsfaktoren!$B$14</f>
        <v>0.91588235294117659</v>
      </c>
      <c r="AE22" s="22">
        <f>0.5*Umrechnungsfaktoren!$B$15/Umrechnungsfaktoren!$B$14</f>
        <v>0.50882352941176479</v>
      </c>
      <c r="AF22" s="25"/>
      <c r="AG22" s="25"/>
      <c r="AH22" s="8">
        <f>317*Umrechnungsfaktoren!$B$15/Umrechnungsfaktoren!$B$14</f>
        <v>322.59411764705885</v>
      </c>
      <c r="AI22" s="25">
        <f>0.05*Umrechnungsfaktoren!$B$15/Umrechnungsfaktoren!$B$14</f>
        <v>5.0882352941176476E-2</v>
      </c>
      <c r="AJ22" s="25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1"/>
      <c r="AV22" s="1" t="s">
        <v>362</v>
      </c>
      <c r="AW22" s="1">
        <v>70</v>
      </c>
      <c r="AX22" s="1">
        <v>69</v>
      </c>
      <c r="AY22" s="1">
        <v>70</v>
      </c>
      <c r="AZ22" s="21"/>
    </row>
    <row r="23" spans="1:52" x14ac:dyDescent="0.2">
      <c r="A23" s="79" t="s">
        <v>946</v>
      </c>
      <c r="B23" s="1" t="s">
        <v>128</v>
      </c>
      <c r="C23" s="1">
        <v>2020</v>
      </c>
      <c r="D23" s="21">
        <v>1</v>
      </c>
      <c r="E23" s="21">
        <v>1</v>
      </c>
      <c r="F23" s="1">
        <v>0</v>
      </c>
      <c r="G23" s="21"/>
      <c r="H23" s="22">
        <v>379</v>
      </c>
      <c r="I23" s="22">
        <v>917</v>
      </c>
      <c r="J23" s="22">
        <v>162</v>
      </c>
      <c r="K23" s="24">
        <v>1</v>
      </c>
      <c r="L23" s="24">
        <v>0.43</v>
      </c>
      <c r="M23" s="47"/>
      <c r="N23" s="23"/>
      <c r="O23" s="1">
        <v>0.25</v>
      </c>
      <c r="P23" s="21"/>
      <c r="Q23" s="21"/>
      <c r="R23" s="21"/>
      <c r="S23" s="21"/>
      <c r="T23" s="21">
        <v>3</v>
      </c>
      <c r="U23" s="21">
        <v>3</v>
      </c>
      <c r="V23" s="21"/>
      <c r="W23" s="21"/>
      <c r="X23" s="21"/>
      <c r="Y23" s="21"/>
      <c r="Z23" s="21"/>
      <c r="AA23" s="21"/>
      <c r="AB23" s="21"/>
      <c r="AC23" s="22">
        <f>0.2*Umrechnungsfaktoren!$B$15/Umrechnungsfaktoren!$B$14</f>
        <v>0.2035294117647059</v>
      </c>
      <c r="AD23" s="22">
        <f>0.9*Umrechnungsfaktoren!$B$15/Umrechnungsfaktoren!$B$14</f>
        <v>0.91588235294117659</v>
      </c>
      <c r="AE23" s="22">
        <f>0.5*Umrechnungsfaktoren!$B$15/Umrechnungsfaktoren!$B$14</f>
        <v>0.50882352941176479</v>
      </c>
      <c r="AF23" s="25"/>
      <c r="AG23" s="25"/>
      <c r="AH23" s="8">
        <f>317*Umrechnungsfaktoren!$B$15/Umrechnungsfaktoren!$B$14</f>
        <v>322.59411764705885</v>
      </c>
      <c r="AI23" s="25">
        <f>0.05*Umrechnungsfaktoren!$B$15/Umrechnungsfaktoren!$B$14</f>
        <v>5.0882352941176476E-2</v>
      </c>
      <c r="AJ23" s="25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1"/>
      <c r="AZ23" s="21"/>
    </row>
    <row r="24" spans="1:52" x14ac:dyDescent="0.2">
      <c r="A24" s="79" t="s">
        <v>946</v>
      </c>
      <c r="B24" s="1" t="s">
        <v>128</v>
      </c>
      <c r="C24" s="1">
        <v>2025</v>
      </c>
      <c r="D24" s="21">
        <v>1</v>
      </c>
      <c r="E24" s="21">
        <v>1</v>
      </c>
      <c r="F24" s="1">
        <v>0</v>
      </c>
      <c r="G24" s="21"/>
      <c r="H24" s="22">
        <v>376</v>
      </c>
      <c r="I24" s="22">
        <v>911</v>
      </c>
      <c r="J24" s="22">
        <v>161</v>
      </c>
      <c r="K24" s="24">
        <v>1</v>
      </c>
      <c r="L24" s="24">
        <v>0.43</v>
      </c>
      <c r="M24" s="47"/>
      <c r="N24" s="23"/>
      <c r="O24" s="1">
        <v>0.25</v>
      </c>
      <c r="P24" s="21"/>
      <c r="Q24" s="21"/>
      <c r="R24" s="21"/>
      <c r="S24" s="21"/>
      <c r="T24" s="21">
        <v>3</v>
      </c>
      <c r="U24" s="21">
        <v>3</v>
      </c>
      <c r="V24" s="21"/>
      <c r="W24" s="21"/>
      <c r="X24" s="21"/>
      <c r="Y24" s="21"/>
      <c r="Z24" s="21"/>
      <c r="AA24" s="21"/>
      <c r="AB24" s="21"/>
      <c r="AC24" s="22">
        <f>0.2*Umrechnungsfaktoren!$B$15/Umrechnungsfaktoren!$B$14</f>
        <v>0.2035294117647059</v>
      </c>
      <c r="AD24" s="22">
        <f>0.9*Umrechnungsfaktoren!$B$15/Umrechnungsfaktoren!$B$14</f>
        <v>0.91588235294117659</v>
      </c>
      <c r="AE24" s="22">
        <f>0.5*Umrechnungsfaktoren!$B$15/Umrechnungsfaktoren!$B$14</f>
        <v>0.50882352941176479</v>
      </c>
      <c r="AF24" s="25"/>
      <c r="AG24" s="25"/>
      <c r="AH24" s="8">
        <f>317*Umrechnungsfaktoren!$B$15/Umrechnungsfaktoren!$B$14</f>
        <v>322.59411764705885</v>
      </c>
      <c r="AI24" s="25">
        <f>0.05*Umrechnungsfaktoren!$B$15/Umrechnungsfaktoren!$B$14</f>
        <v>5.0882352941176476E-2</v>
      </c>
      <c r="AJ24" s="25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1"/>
      <c r="AZ24" s="21"/>
    </row>
    <row r="25" spans="1:52" x14ac:dyDescent="0.2">
      <c r="A25" s="79" t="s">
        <v>946</v>
      </c>
      <c r="B25" s="1" t="s">
        <v>128</v>
      </c>
      <c r="C25" s="1">
        <v>2030</v>
      </c>
      <c r="D25" s="21">
        <v>1</v>
      </c>
      <c r="E25" s="21">
        <v>1</v>
      </c>
      <c r="F25" s="1">
        <v>0</v>
      </c>
      <c r="G25" s="21"/>
      <c r="H25" s="22">
        <v>373</v>
      </c>
      <c r="I25" s="22">
        <v>902</v>
      </c>
      <c r="J25" s="22">
        <v>160</v>
      </c>
      <c r="K25" s="24">
        <v>1</v>
      </c>
      <c r="L25" s="24">
        <v>0.43</v>
      </c>
      <c r="M25" s="47"/>
      <c r="N25" s="23"/>
      <c r="O25" s="1">
        <v>0.25</v>
      </c>
      <c r="P25" s="21"/>
      <c r="Q25" s="21"/>
      <c r="R25" s="21"/>
      <c r="S25" s="21"/>
      <c r="T25" s="21">
        <v>3</v>
      </c>
      <c r="U25" s="21">
        <v>3</v>
      </c>
      <c r="V25" s="21"/>
      <c r="W25" s="21"/>
      <c r="X25" s="21"/>
      <c r="Y25" s="21"/>
      <c r="Z25" s="21"/>
      <c r="AA25" s="21"/>
      <c r="AB25" s="21"/>
      <c r="AC25" s="22">
        <f>0.2*Umrechnungsfaktoren!$B$15/Umrechnungsfaktoren!$B$14</f>
        <v>0.2035294117647059</v>
      </c>
      <c r="AD25" s="22">
        <f>0.9*Umrechnungsfaktoren!$B$15/Umrechnungsfaktoren!$B$14</f>
        <v>0.91588235294117659</v>
      </c>
      <c r="AE25" s="22">
        <f>0.5*Umrechnungsfaktoren!$B$15/Umrechnungsfaktoren!$B$14</f>
        <v>0.50882352941176479</v>
      </c>
      <c r="AF25" s="25"/>
      <c r="AG25" s="25"/>
      <c r="AH25" s="8">
        <f>317*Umrechnungsfaktoren!$B$15/Umrechnungsfaktoren!$B$14</f>
        <v>322.59411764705885</v>
      </c>
      <c r="AI25" s="25">
        <f>0.05*Umrechnungsfaktoren!$B$15/Umrechnungsfaktoren!$B$14</f>
        <v>5.0882352941176476E-2</v>
      </c>
      <c r="AJ25" s="25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1"/>
      <c r="AZ25" s="21"/>
    </row>
    <row r="26" spans="1:52" x14ac:dyDescent="0.2">
      <c r="A26" s="79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6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79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6"/>
      <c r="N27" s="20"/>
      <c r="P27" s="100"/>
      <c r="Q27" s="100"/>
      <c r="R27" s="1">
        <f>2/60</f>
        <v>3.3333333333333333E-2</v>
      </c>
      <c r="S27" s="1">
        <v>2</v>
      </c>
      <c r="T27" s="99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79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6"/>
      <c r="N28" s="20"/>
      <c r="P28" s="100"/>
      <c r="Q28" s="100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79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6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37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79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6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79" t="s">
        <v>546</v>
      </c>
      <c r="B31" s="1" t="s">
        <v>128</v>
      </c>
      <c r="C31" s="1">
        <v>2012</v>
      </c>
      <c r="D31" s="21">
        <v>1</v>
      </c>
      <c r="E31" s="21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6"/>
      <c r="N31" s="20"/>
      <c r="AC31" s="19"/>
      <c r="AD31" s="19"/>
      <c r="AE31" s="22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3052.9411764705887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79" t="s">
        <v>546</v>
      </c>
      <c r="B32" s="1" t="s">
        <v>128</v>
      </c>
      <c r="C32" s="1">
        <v>2020</v>
      </c>
      <c r="D32" s="21">
        <v>1</v>
      </c>
      <c r="E32" s="21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6"/>
      <c r="N32" s="20"/>
      <c r="AC32" s="19"/>
      <c r="AD32" s="19"/>
      <c r="AE32" s="22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2595.0000000000005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79" t="s">
        <v>546</v>
      </c>
      <c r="B33" s="1" t="s">
        <v>128</v>
      </c>
      <c r="C33" s="1">
        <v>2025</v>
      </c>
      <c r="D33" s="21">
        <v>1</v>
      </c>
      <c r="E33" s="21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6"/>
      <c r="N33" s="20"/>
      <c r="AC33" s="19"/>
      <c r="AD33" s="19"/>
      <c r="AE33" s="22">
        <f>5.3*Umrechnungsfaktoren!$B$15/Umrechnungsfaktoren!$B$14</f>
        <v>5.3935294117647068</v>
      </c>
      <c r="AF33" s="19"/>
      <c r="AG33" s="19"/>
      <c r="AH33" s="8"/>
      <c r="AI33" s="19"/>
      <c r="AJ33" s="8">
        <f>2100*Umrechnungsfaktoren!$B$15/Umrechnungsfaktoren!$B$14</f>
        <v>2137.0588235294122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79" t="s">
        <v>546</v>
      </c>
      <c r="B34" s="1" t="s">
        <v>128</v>
      </c>
      <c r="C34" s="1">
        <v>2030</v>
      </c>
      <c r="D34" s="21">
        <v>1</v>
      </c>
      <c r="E34" s="21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6"/>
      <c r="N34" s="20"/>
      <c r="AC34" s="19"/>
      <c r="AD34" s="19"/>
      <c r="AE34" s="22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1679.1176470588236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871</v>
      </c>
      <c r="J1" s="2" t="s">
        <v>872</v>
      </c>
      <c r="K1" s="2" t="s">
        <v>50</v>
      </c>
      <c r="L1" s="2" t="s">
        <v>869</v>
      </c>
      <c r="M1" s="2" t="s">
        <v>870</v>
      </c>
      <c r="N1" s="2" t="s">
        <v>156</v>
      </c>
      <c r="O1" s="2" t="s">
        <v>866</v>
      </c>
      <c r="P1" s="2" t="s">
        <v>867</v>
      </c>
      <c r="Q1" s="2" t="s">
        <v>56</v>
      </c>
      <c r="R1" s="2" t="s">
        <v>868</v>
      </c>
      <c r="S1" s="2" t="s">
        <v>22</v>
      </c>
      <c r="T1" s="2" t="s">
        <v>875</v>
      </c>
      <c r="U1" s="2" t="s">
        <v>1</v>
      </c>
      <c r="V1" s="2" t="s">
        <v>2</v>
      </c>
      <c r="W1" s="2" t="s">
        <v>1136</v>
      </c>
      <c r="X1" s="2" t="s">
        <v>59</v>
      </c>
      <c r="Y1" s="2" t="s">
        <v>862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5" t="s">
        <v>279</v>
      </c>
      <c r="B3" s="55" t="s">
        <v>128</v>
      </c>
      <c r="C3" s="55">
        <v>2015</v>
      </c>
      <c r="D3" s="1">
        <v>1</v>
      </c>
      <c r="E3" s="1">
        <v>0</v>
      </c>
      <c r="F3" s="1">
        <v>0</v>
      </c>
      <c r="G3" s="55"/>
      <c r="H3" s="55"/>
      <c r="I3" s="56"/>
      <c r="J3" s="56"/>
      <c r="K3" s="56"/>
      <c r="L3" s="56"/>
      <c r="M3" s="56"/>
      <c r="N3" s="56"/>
      <c r="O3" s="58">
        <v>0.15</v>
      </c>
      <c r="P3" s="58">
        <v>0.63</v>
      </c>
      <c r="Q3" s="56">
        <v>80</v>
      </c>
      <c r="R3" s="56">
        <f>2.43*Umrechnungsfaktoren!$B$15/Umrechnungsfaktoren!$B$7</f>
        <v>2.7063733905579404</v>
      </c>
      <c r="S3" s="55"/>
      <c r="T3" s="55"/>
      <c r="U3" s="62"/>
      <c r="V3" s="55"/>
      <c r="W3" s="62">
        <v>59</v>
      </c>
      <c r="X3" s="55">
        <v>60</v>
      </c>
      <c r="Y3" s="55">
        <v>60</v>
      </c>
    </row>
    <row r="4" spans="1:25" x14ac:dyDescent="0.25">
      <c r="A4" s="55" t="s">
        <v>83</v>
      </c>
      <c r="B4" s="55" t="s">
        <v>128</v>
      </c>
      <c r="C4" s="55">
        <v>2015</v>
      </c>
      <c r="D4" s="1">
        <v>1</v>
      </c>
      <c r="E4" s="1">
        <v>0</v>
      </c>
      <c r="F4" s="1">
        <v>0</v>
      </c>
      <c r="G4" s="55"/>
      <c r="H4" s="55"/>
      <c r="I4" s="56"/>
      <c r="J4" s="56"/>
      <c r="K4" s="56"/>
      <c r="L4" s="56"/>
      <c r="M4" s="56"/>
      <c r="N4" s="56"/>
      <c r="O4" s="58">
        <v>0.05</v>
      </c>
      <c r="P4" s="58">
        <v>0.46</v>
      </c>
      <c r="Q4" s="56">
        <v>2120</v>
      </c>
      <c r="R4" s="56">
        <f>0.87*Umrechnungsfaktoren!$B$15/Umrechnungsfaktoren!$B$7</f>
        <v>0.96894849785407711</v>
      </c>
      <c r="S4" s="55"/>
      <c r="T4" s="55"/>
      <c r="U4" s="62"/>
      <c r="V4" s="55"/>
      <c r="W4" s="62">
        <v>59</v>
      </c>
      <c r="X4" s="55">
        <v>60</v>
      </c>
      <c r="Y4" s="55">
        <v>60</v>
      </c>
    </row>
    <row r="5" spans="1:25" x14ac:dyDescent="0.25">
      <c r="A5" s="55" t="s">
        <v>29</v>
      </c>
      <c r="B5" s="55" t="s">
        <v>128</v>
      </c>
      <c r="C5" s="55">
        <v>2015</v>
      </c>
      <c r="D5" s="1">
        <v>1</v>
      </c>
      <c r="E5" s="1">
        <v>0</v>
      </c>
      <c r="F5" s="1">
        <v>0</v>
      </c>
      <c r="G5" s="55"/>
      <c r="H5" s="55"/>
      <c r="I5" s="56"/>
      <c r="J5" s="56"/>
      <c r="K5" s="56"/>
      <c r="L5" s="56"/>
      <c r="M5" s="56"/>
      <c r="N5" s="56"/>
      <c r="O5" s="58">
        <v>0.14000000000000001</v>
      </c>
      <c r="P5" s="58">
        <v>0.49</v>
      </c>
      <c r="Q5" s="56">
        <v>1190</v>
      </c>
      <c r="R5" s="56">
        <f>1.39*Umrechnungsfaktoren!$B$15/Umrechnungsfaktoren!$B$7</f>
        <v>1.5480901287553646</v>
      </c>
      <c r="S5" s="55"/>
      <c r="T5" s="55"/>
      <c r="U5" s="62"/>
      <c r="V5" s="55"/>
      <c r="W5" s="62">
        <v>59</v>
      </c>
      <c r="X5" s="55">
        <v>60</v>
      </c>
      <c r="Y5" s="55">
        <v>60</v>
      </c>
    </row>
    <row r="6" spans="1:25" x14ac:dyDescent="0.25">
      <c r="A6" s="55" t="s">
        <v>76</v>
      </c>
      <c r="B6" s="55" t="s">
        <v>128</v>
      </c>
      <c r="C6" s="55">
        <v>2015</v>
      </c>
      <c r="D6" s="1">
        <v>1</v>
      </c>
      <c r="E6" s="1">
        <v>0</v>
      </c>
      <c r="F6" s="1">
        <v>0</v>
      </c>
      <c r="G6" s="55"/>
      <c r="H6" s="55"/>
      <c r="I6" s="56"/>
      <c r="J6" s="56"/>
      <c r="K6" s="56"/>
      <c r="L6" s="56"/>
      <c r="M6" s="56"/>
      <c r="N6" s="56"/>
      <c r="O6" s="58">
        <v>0.28000000000000003</v>
      </c>
      <c r="P6" s="58">
        <v>0.72</v>
      </c>
      <c r="Q6" s="56">
        <v>140</v>
      </c>
      <c r="R6" s="56">
        <f>6.95*Umrechnungsfaktoren!$B$15/Umrechnungsfaktoren!$B$7</f>
        <v>7.7404506437768239</v>
      </c>
      <c r="S6" s="55"/>
      <c r="T6" s="55"/>
      <c r="U6" s="62"/>
      <c r="V6" s="55"/>
      <c r="W6" s="62">
        <v>59</v>
      </c>
      <c r="X6" s="55">
        <v>60</v>
      </c>
      <c r="Y6" s="55">
        <v>60</v>
      </c>
    </row>
    <row r="7" spans="1:25" x14ac:dyDescent="0.25">
      <c r="A7" s="55" t="s">
        <v>816</v>
      </c>
      <c r="B7" s="55" t="s">
        <v>129</v>
      </c>
      <c r="C7" s="55">
        <v>2015</v>
      </c>
      <c r="D7" s="1">
        <v>1</v>
      </c>
      <c r="E7" s="1">
        <v>0</v>
      </c>
      <c r="F7" s="1">
        <v>0</v>
      </c>
      <c r="G7" s="55"/>
      <c r="H7" s="55"/>
      <c r="I7" s="56">
        <v>17000</v>
      </c>
      <c r="J7" s="56">
        <v>3000</v>
      </c>
      <c r="K7" s="56"/>
      <c r="L7" s="56">
        <v>17000</v>
      </c>
      <c r="M7" s="56">
        <v>3000</v>
      </c>
      <c r="N7" s="56"/>
      <c r="O7" s="58"/>
      <c r="P7" s="58"/>
      <c r="Q7" s="56"/>
      <c r="R7" s="56"/>
      <c r="S7" s="1" t="s">
        <v>1182</v>
      </c>
      <c r="T7" s="55"/>
      <c r="U7" s="62">
        <v>65</v>
      </c>
      <c r="V7" s="55">
        <v>65</v>
      </c>
      <c r="W7" s="62"/>
      <c r="X7" s="55"/>
      <c r="Y7" s="55"/>
    </row>
    <row r="8" spans="1:25" x14ac:dyDescent="0.25">
      <c r="A8" s="55" t="s">
        <v>136</v>
      </c>
      <c r="B8" s="55" t="s">
        <v>129</v>
      </c>
      <c r="C8" s="55">
        <v>2015</v>
      </c>
      <c r="D8" s="55">
        <v>1</v>
      </c>
      <c r="E8" s="55">
        <v>0</v>
      </c>
      <c r="F8" s="1">
        <v>0</v>
      </c>
      <c r="G8" s="55"/>
      <c r="H8" s="55"/>
      <c r="I8" s="56">
        <v>3000</v>
      </c>
      <c r="J8" s="56">
        <v>1000</v>
      </c>
      <c r="K8" s="56"/>
      <c r="L8" s="56">
        <v>3000</v>
      </c>
      <c r="M8" s="56">
        <v>1000</v>
      </c>
      <c r="N8" s="56"/>
      <c r="O8" s="58"/>
      <c r="P8" s="58"/>
      <c r="Q8" s="56"/>
      <c r="R8" s="56"/>
      <c r="S8" s="1" t="s">
        <v>1182</v>
      </c>
      <c r="T8" s="55"/>
      <c r="U8" s="62">
        <v>65</v>
      </c>
      <c r="V8" s="55">
        <v>65</v>
      </c>
      <c r="W8" s="62"/>
      <c r="X8" s="55"/>
      <c r="Y8" s="55"/>
    </row>
    <row r="9" spans="1:25" x14ac:dyDescent="0.25">
      <c r="A9" s="55" t="s">
        <v>134</v>
      </c>
      <c r="B9" s="55" t="s">
        <v>141</v>
      </c>
      <c r="C9" s="55">
        <v>2015</v>
      </c>
      <c r="D9" s="55">
        <v>1</v>
      </c>
      <c r="E9" s="55">
        <v>0</v>
      </c>
      <c r="F9" s="1">
        <v>0</v>
      </c>
      <c r="G9" s="55">
        <v>9.3000000000000007</v>
      </c>
      <c r="H9" s="55">
        <v>22.6</v>
      </c>
      <c r="I9" s="56">
        <v>500</v>
      </c>
      <c r="J9" s="56">
        <v>500</v>
      </c>
      <c r="K9" s="56">
        <v>1300</v>
      </c>
      <c r="L9" s="56">
        <v>500</v>
      </c>
      <c r="M9" s="56">
        <v>500</v>
      </c>
      <c r="N9" s="56">
        <v>1300</v>
      </c>
      <c r="O9" s="58"/>
      <c r="P9" s="58"/>
      <c r="Q9" s="56"/>
      <c r="R9" s="56"/>
      <c r="S9" s="55"/>
      <c r="T9" s="55">
        <v>69</v>
      </c>
      <c r="U9" s="62">
        <v>74</v>
      </c>
      <c r="V9" s="55">
        <v>74</v>
      </c>
      <c r="W9" s="62"/>
      <c r="X9" s="55"/>
      <c r="Y9" s="55"/>
    </row>
    <row r="10" spans="1:25" x14ac:dyDescent="0.25">
      <c r="A10" s="55" t="s">
        <v>286</v>
      </c>
      <c r="B10" s="55" t="s">
        <v>141</v>
      </c>
      <c r="C10" s="55">
        <v>2015</v>
      </c>
      <c r="D10" s="55">
        <v>1</v>
      </c>
      <c r="E10" s="55">
        <v>0</v>
      </c>
      <c r="F10" s="1">
        <v>0</v>
      </c>
      <c r="G10" s="55">
        <v>5.5</v>
      </c>
      <c r="H10" s="55">
        <v>9.5</v>
      </c>
      <c r="I10" s="56">
        <v>500</v>
      </c>
      <c r="J10" s="56">
        <v>500</v>
      </c>
      <c r="K10" s="56">
        <v>1000</v>
      </c>
      <c r="L10" s="56">
        <v>500</v>
      </c>
      <c r="M10" s="56">
        <v>500</v>
      </c>
      <c r="N10" s="56">
        <v>1000</v>
      </c>
      <c r="O10" s="58"/>
      <c r="P10" s="58"/>
      <c r="Q10" s="56"/>
      <c r="R10" s="56"/>
      <c r="S10" s="55"/>
      <c r="T10" s="55">
        <v>77</v>
      </c>
      <c r="U10" s="62">
        <v>76</v>
      </c>
      <c r="V10" s="55">
        <v>76</v>
      </c>
      <c r="W10" s="62"/>
      <c r="X10" s="55"/>
      <c r="Y10" s="55"/>
    </row>
    <row r="11" spans="1:25" x14ac:dyDescent="0.25">
      <c r="A11" s="55" t="s">
        <v>135</v>
      </c>
      <c r="B11" s="55" t="s">
        <v>141</v>
      </c>
      <c r="C11" s="55">
        <v>2015</v>
      </c>
      <c r="D11" s="55">
        <v>1</v>
      </c>
      <c r="E11" s="55">
        <v>0</v>
      </c>
      <c r="F11" s="1">
        <v>0</v>
      </c>
      <c r="G11" s="55"/>
      <c r="H11" s="55"/>
      <c r="I11" s="56">
        <v>300</v>
      </c>
      <c r="J11" s="56">
        <v>300</v>
      </c>
      <c r="K11" s="56">
        <v>700</v>
      </c>
      <c r="L11" s="56">
        <v>300</v>
      </c>
      <c r="M11" s="56">
        <v>300</v>
      </c>
      <c r="N11" s="56">
        <v>700</v>
      </c>
      <c r="O11" s="58"/>
      <c r="P11" s="58"/>
      <c r="Q11" s="56"/>
      <c r="R11" s="56"/>
      <c r="S11" s="55"/>
      <c r="T11" s="55"/>
      <c r="U11" s="62">
        <v>77</v>
      </c>
      <c r="V11" s="55">
        <v>77</v>
      </c>
      <c r="W11" s="62"/>
      <c r="X11" s="55"/>
      <c r="Y11" s="55"/>
    </row>
    <row r="12" spans="1:25" x14ac:dyDescent="0.25">
      <c r="A12" s="55" t="s">
        <v>137</v>
      </c>
      <c r="B12" s="55" t="s">
        <v>141</v>
      </c>
      <c r="C12" s="55">
        <v>2015</v>
      </c>
      <c r="D12" s="55">
        <v>1</v>
      </c>
      <c r="E12" s="55">
        <v>0</v>
      </c>
      <c r="F12" s="1">
        <v>0</v>
      </c>
      <c r="G12" s="55">
        <v>18</v>
      </c>
      <c r="H12" s="55">
        <v>20</v>
      </c>
      <c r="I12" s="56"/>
      <c r="J12" s="56"/>
      <c r="K12" s="56">
        <v>12400</v>
      </c>
      <c r="L12" s="56"/>
      <c r="M12" s="56"/>
      <c r="N12" s="56">
        <v>12400</v>
      </c>
      <c r="O12" s="58"/>
      <c r="P12" s="58"/>
      <c r="Q12" s="56"/>
      <c r="R12" s="56"/>
      <c r="S12" s="55"/>
      <c r="T12" s="55">
        <v>78</v>
      </c>
      <c r="U12" s="62">
        <v>81</v>
      </c>
      <c r="V12" s="55">
        <v>81</v>
      </c>
      <c r="W12" s="62"/>
      <c r="X12" s="55"/>
      <c r="Y12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861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859</v>
      </c>
      <c r="S1" s="2" t="s">
        <v>860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862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103.80000000000001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5" t="s">
        <v>141</v>
      </c>
      <c r="C3" s="55">
        <v>2050</v>
      </c>
      <c r="D3" s="55">
        <v>1</v>
      </c>
      <c r="E3" s="55">
        <v>0</v>
      </c>
      <c r="F3" s="1">
        <v>0</v>
      </c>
      <c r="G3" s="56">
        <v>1000</v>
      </c>
      <c r="H3" s="56">
        <v>1000</v>
      </c>
      <c r="I3" s="58">
        <f>Tabelle5897111728[[#This Row],[Vollbenutzungsstunden h/a]]/8760</f>
        <v>0.22831050228310501</v>
      </c>
      <c r="J3" s="57">
        <v>2000</v>
      </c>
      <c r="K3" s="57">
        <v>200</v>
      </c>
      <c r="L3" s="56">
        <v>10000</v>
      </c>
      <c r="M3" s="60">
        <f t="shared" si="0"/>
        <v>1.6666666666666666E-2</v>
      </c>
      <c r="N3" s="55">
        <v>12</v>
      </c>
      <c r="O3" s="60">
        <f>7</f>
        <v>7</v>
      </c>
      <c r="P3" s="61">
        <f>0</f>
        <v>0</v>
      </c>
      <c r="Q3" s="61">
        <f>100*Umrechnungsfaktoren!$B$15/Umrechnungsfaktoren!$B$12</f>
        <v>103.80000000000001</v>
      </c>
      <c r="R3" s="56">
        <f>10*Umrechnungsfaktoren!$B$15/Umrechnungsfaktoren!$B$12</f>
        <v>10.38</v>
      </c>
      <c r="S3" s="19">
        <f>15*Umrechnungsfaktoren!$B$15/Umrechnungsfaktoren!$B$12</f>
        <v>15.57</v>
      </c>
      <c r="T3" s="60"/>
      <c r="U3" s="55">
        <v>11</v>
      </c>
      <c r="V3" s="62">
        <v>12</v>
      </c>
      <c r="W3" s="55">
        <v>12</v>
      </c>
      <c r="X3" s="62">
        <v>12</v>
      </c>
      <c r="Y3" s="62">
        <v>12</v>
      </c>
      <c r="Z3" s="55">
        <v>12</v>
      </c>
      <c r="AA3" s="62">
        <v>11</v>
      </c>
      <c r="AB3" s="55">
        <v>11</v>
      </c>
      <c r="AC3" s="55">
        <v>12</v>
      </c>
      <c r="AD3" s="55">
        <v>12</v>
      </c>
      <c r="AE3" s="55">
        <v>12</v>
      </c>
      <c r="AF3" s="55"/>
    </row>
    <row r="4" spans="1:32" x14ac:dyDescent="0.2">
      <c r="A4" s="55" t="s">
        <v>858</v>
      </c>
      <c r="B4" s="55" t="s">
        <v>141</v>
      </c>
      <c r="C4" s="1">
        <v>2023</v>
      </c>
      <c r="D4" s="55">
        <v>1</v>
      </c>
      <c r="E4" s="55">
        <v>0</v>
      </c>
      <c r="F4" s="1">
        <v>0</v>
      </c>
      <c r="G4" s="56">
        <f>5*10^6*0.002</f>
        <v>10000</v>
      </c>
      <c r="H4" s="56">
        <f>5*10^6*0.002</f>
        <v>10000</v>
      </c>
      <c r="I4" s="58">
        <f>Tabelle5897111728[[#This Row],[Vollbenutzungsstunden h/a]]/8760</f>
        <v>0.22831050228310501</v>
      </c>
      <c r="J4" s="57">
        <v>2000</v>
      </c>
      <c r="K4" s="57">
        <f>150000*0.002</f>
        <v>300</v>
      </c>
      <c r="L4" s="56">
        <f>20*10^6*0.002</f>
        <v>40000</v>
      </c>
      <c r="M4" s="60">
        <f t="shared" si="0"/>
        <v>1.6666666666666666E-2</v>
      </c>
      <c r="N4" s="1">
        <v>48</v>
      </c>
      <c r="O4" s="60">
        <v>7</v>
      </c>
      <c r="P4" s="61">
        <v>0</v>
      </c>
      <c r="Q4" s="61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0"/>
      <c r="U4" s="55">
        <v>15</v>
      </c>
      <c r="V4" s="62">
        <v>16</v>
      </c>
      <c r="W4" s="62">
        <v>16</v>
      </c>
      <c r="X4" s="62">
        <v>16</v>
      </c>
      <c r="Y4" s="62">
        <v>16</v>
      </c>
      <c r="Z4" s="62">
        <v>16</v>
      </c>
      <c r="AA4" s="62">
        <v>16</v>
      </c>
      <c r="AB4" s="55">
        <v>16</v>
      </c>
      <c r="AC4" s="55">
        <v>16</v>
      </c>
      <c r="AD4" s="55">
        <v>15</v>
      </c>
      <c r="AE4" s="55">
        <v>15</v>
      </c>
      <c r="AF4" s="55"/>
    </row>
    <row r="5" spans="1:32" x14ac:dyDescent="0.2">
      <c r="A5" s="55" t="s">
        <v>858</v>
      </c>
      <c r="B5" s="55" t="s">
        <v>141</v>
      </c>
      <c r="C5" s="55">
        <v>2050</v>
      </c>
      <c r="D5" s="55">
        <v>1</v>
      </c>
      <c r="E5" s="55">
        <v>0</v>
      </c>
      <c r="F5" s="1">
        <v>0</v>
      </c>
      <c r="G5" s="56">
        <f>5*10^6*0.002</f>
        <v>10000</v>
      </c>
      <c r="H5" s="56">
        <f>5*10^6*0.002</f>
        <v>10000</v>
      </c>
      <c r="I5" s="58">
        <f>Tabelle5897111728[[#This Row],[Vollbenutzungsstunden h/a]]/8760</f>
        <v>0.22831050228310501</v>
      </c>
      <c r="J5" s="57">
        <v>2000</v>
      </c>
      <c r="K5" s="57">
        <f>400000*0.002</f>
        <v>800</v>
      </c>
      <c r="L5" s="56">
        <f>20*10^6*0.002</f>
        <v>40000</v>
      </c>
      <c r="M5" s="60">
        <f t="shared" si="0"/>
        <v>1.6666666666666666E-2</v>
      </c>
      <c r="N5" s="1">
        <v>48</v>
      </c>
      <c r="O5" s="60">
        <v>7</v>
      </c>
      <c r="P5" s="61">
        <v>0</v>
      </c>
      <c r="Q5" s="61">
        <v>0</v>
      </c>
      <c r="R5" s="56">
        <f>10*Umrechnungsfaktoren!$B$15/Umrechnungsfaktoren!$B$12</f>
        <v>10.38</v>
      </c>
      <c r="S5" s="19">
        <f>15*Umrechnungsfaktoren!$B$15/Umrechnungsfaktoren!$B$12</f>
        <v>15.57</v>
      </c>
      <c r="T5" s="60"/>
      <c r="U5" s="55">
        <v>15</v>
      </c>
      <c r="V5" s="62">
        <v>16</v>
      </c>
      <c r="W5" s="62">
        <v>16</v>
      </c>
      <c r="X5" s="62">
        <v>16</v>
      </c>
      <c r="Y5" s="62">
        <v>16</v>
      </c>
      <c r="Z5" s="62">
        <v>16</v>
      </c>
      <c r="AA5" s="62">
        <v>16</v>
      </c>
      <c r="AB5" s="55">
        <v>16</v>
      </c>
      <c r="AC5" s="55">
        <v>16</v>
      </c>
      <c r="AD5" s="55">
        <v>15</v>
      </c>
      <c r="AE5" s="55">
        <v>15</v>
      </c>
      <c r="AF5" s="55"/>
    </row>
    <row r="6" spans="1:32" x14ac:dyDescent="0.2">
      <c r="A6" s="55" t="s">
        <v>857</v>
      </c>
      <c r="B6" s="55" t="s">
        <v>128</v>
      </c>
      <c r="C6" s="1">
        <v>2023</v>
      </c>
      <c r="D6" s="55">
        <v>1</v>
      </c>
      <c r="E6" s="55">
        <v>0</v>
      </c>
      <c r="F6" s="1">
        <v>0</v>
      </c>
      <c r="G6" s="56">
        <f>4300+4700</f>
        <v>9000</v>
      </c>
      <c r="H6" s="56">
        <f>4300+4700</f>
        <v>9000</v>
      </c>
      <c r="I6" s="58"/>
      <c r="J6" s="57"/>
      <c r="K6" s="57"/>
      <c r="L6" s="56">
        <f>39000+9400</f>
        <v>48400</v>
      </c>
      <c r="M6" s="60">
        <f t="shared" si="0"/>
        <v>1.6666666666666666E-2</v>
      </c>
      <c r="N6" s="1">
        <v>48</v>
      </c>
      <c r="O6" s="60"/>
      <c r="P6" s="19">
        <f>40*Umrechnungsfaktoren!$B$15/Umrechnungsfaktoren!$B$12</f>
        <v>41.52</v>
      </c>
      <c r="Q6" s="61">
        <f>100*Umrechnungsfaktoren!$B$15/Umrechnungsfaktoren!$B$12</f>
        <v>103.80000000000001</v>
      </c>
      <c r="R6" s="19"/>
      <c r="S6" s="19"/>
      <c r="T6" s="60">
        <f>10*Umrechnungsfaktoren!$B$15/Umrechnungsfaktoren!$B$12</f>
        <v>10.38</v>
      </c>
      <c r="U6" s="55">
        <v>26</v>
      </c>
      <c r="V6" s="62">
        <v>28</v>
      </c>
      <c r="W6" s="62">
        <v>28</v>
      </c>
      <c r="X6" s="62"/>
      <c r="Y6" s="62"/>
      <c r="Z6" s="55">
        <v>28</v>
      </c>
      <c r="AA6" s="62">
        <v>27</v>
      </c>
      <c r="AB6" s="62">
        <v>27</v>
      </c>
      <c r="AC6" s="62">
        <v>28</v>
      </c>
      <c r="AD6" s="55">
        <v>27</v>
      </c>
      <c r="AE6" s="55"/>
      <c r="AF6" s="55">
        <v>27</v>
      </c>
    </row>
    <row r="7" spans="1:32" x14ac:dyDescent="0.2">
      <c r="A7" s="55" t="s">
        <v>857</v>
      </c>
      <c r="B7" s="55" t="s">
        <v>128</v>
      </c>
      <c r="C7" s="55">
        <v>2050</v>
      </c>
      <c r="D7" s="55">
        <v>1</v>
      </c>
      <c r="E7" s="55">
        <v>0</v>
      </c>
      <c r="F7" s="1">
        <v>0</v>
      </c>
      <c r="G7" s="56">
        <f>4300+4700</f>
        <v>9000</v>
      </c>
      <c r="H7" s="56">
        <f>4300+4700</f>
        <v>9000</v>
      </c>
      <c r="I7" s="58"/>
      <c r="J7" s="57"/>
      <c r="K7" s="57"/>
      <c r="L7" s="56">
        <f>39000+9400</f>
        <v>48400</v>
      </c>
      <c r="M7" s="60">
        <f t="shared" si="0"/>
        <v>1.6666666666666666E-2</v>
      </c>
      <c r="N7" s="1">
        <v>48</v>
      </c>
      <c r="O7" s="60"/>
      <c r="P7" s="19">
        <f>40*Umrechnungsfaktoren!$B$15/Umrechnungsfaktoren!$B$12</f>
        <v>41.52</v>
      </c>
      <c r="Q7" s="61">
        <f>100*Umrechnungsfaktoren!$B$15/Umrechnungsfaktoren!$B$12</f>
        <v>103.80000000000001</v>
      </c>
      <c r="R7" s="56"/>
      <c r="S7" s="19"/>
      <c r="T7" s="60">
        <f>10*Umrechnungsfaktoren!$B$15/Umrechnungsfaktoren!$B$12</f>
        <v>10.38</v>
      </c>
      <c r="U7" s="55">
        <v>26</v>
      </c>
      <c r="V7" s="62">
        <v>28</v>
      </c>
      <c r="W7" s="62">
        <v>28</v>
      </c>
      <c r="X7" s="62"/>
      <c r="Y7" s="62"/>
      <c r="Z7" s="55">
        <v>28</v>
      </c>
      <c r="AA7" s="62">
        <v>27</v>
      </c>
      <c r="AB7" s="62">
        <v>27</v>
      </c>
      <c r="AC7" s="62">
        <v>28</v>
      </c>
      <c r="AD7" s="55">
        <v>27</v>
      </c>
      <c r="AE7" s="55"/>
      <c r="AF7" s="55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148</v>
      </c>
      <c r="J1" s="2" t="s">
        <v>50</v>
      </c>
      <c r="K1" s="2" t="s">
        <v>1149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1148</v>
      </c>
      <c r="Y1" s="2" t="s">
        <v>3</v>
      </c>
      <c r="Z1" s="2" t="s">
        <v>10</v>
      </c>
      <c r="AA1" s="2" t="s">
        <v>98</v>
      </c>
      <c r="AB1" s="2" t="s">
        <v>1097</v>
      </c>
      <c r="AC1" s="2" t="s">
        <v>22</v>
      </c>
      <c r="AD1" s="2" t="s">
        <v>912</v>
      </c>
      <c r="AE1" s="2" t="s">
        <v>163</v>
      </c>
      <c r="AF1" s="2" t="s">
        <v>164</v>
      </c>
      <c r="AG1" s="2" t="s">
        <v>875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0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79" t="s">
        <v>1114</v>
      </c>
      <c r="AF2" s="79" t="s">
        <v>1114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0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79" t="s">
        <v>1114</v>
      </c>
      <c r="AF3" s="79" t="s">
        <v>1114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0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79" t="s">
        <v>1114</v>
      </c>
      <c r="AF4" s="79" t="s">
        <v>1114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0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79" t="s">
        <v>1114</v>
      </c>
      <c r="AF5" s="79" t="s">
        <v>1114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0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99"/>
      <c r="X6" s="6">
        <v>4</v>
      </c>
      <c r="Y6" s="6"/>
      <c r="Z6" s="6"/>
      <c r="AA6" s="6"/>
      <c r="AB6" s="6">
        <v>40</v>
      </c>
      <c r="AC6" s="6"/>
      <c r="AD6" s="6"/>
      <c r="AE6" s="79" t="s">
        <v>1114</v>
      </c>
      <c r="AF6" s="79" t="s">
        <v>1114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0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99"/>
      <c r="X7" s="1">
        <v>4</v>
      </c>
      <c r="AB7" s="1">
        <v>40</v>
      </c>
      <c r="AE7" s="79" t="s">
        <v>1114</v>
      </c>
      <c r="AF7" s="79" t="s">
        <v>1114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0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99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79" t="s">
        <v>1114</v>
      </c>
      <c r="AF8" s="79" t="s">
        <v>1114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0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99"/>
      <c r="X9" s="1">
        <v>4</v>
      </c>
      <c r="AB9" s="1">
        <v>40</v>
      </c>
      <c r="AC9" s="1" t="s">
        <v>73</v>
      </c>
      <c r="AE9" s="79" t="s">
        <v>1114</v>
      </c>
      <c r="AF9" s="79" t="s">
        <v>1114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0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99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79" t="s">
        <v>1114</v>
      </c>
      <c r="AF10" s="79" t="s">
        <v>1114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0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99"/>
      <c r="X11" s="1">
        <v>4</v>
      </c>
      <c r="AB11" s="1">
        <v>40</v>
      </c>
      <c r="AC11" s="1" t="s">
        <v>73</v>
      </c>
      <c r="AE11" s="79" t="s">
        <v>1114</v>
      </c>
      <c r="AF11" s="79" t="s">
        <v>1114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0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99"/>
      <c r="X12" s="6">
        <v>2</v>
      </c>
      <c r="Y12" s="6"/>
      <c r="Z12" s="6"/>
      <c r="AA12" s="6"/>
      <c r="AB12" s="6">
        <v>365</v>
      </c>
      <c r="AC12" s="6"/>
      <c r="AD12" s="6"/>
      <c r="AE12" s="79" t="s">
        <v>1114</v>
      </c>
      <c r="AF12" s="79" t="s">
        <v>1114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0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99"/>
      <c r="X13" s="1">
        <v>2</v>
      </c>
      <c r="AB13" s="1">
        <v>365</v>
      </c>
      <c r="AE13" s="79" t="s">
        <v>1114</v>
      </c>
      <c r="AF13" s="79" t="s">
        <v>1114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0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79" t="s">
        <v>1114</v>
      </c>
      <c r="AF14" s="79" t="s">
        <v>1114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0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79" t="s">
        <v>1114</v>
      </c>
      <c r="AF15" s="79" t="s">
        <v>1114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0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79" t="s">
        <v>1114</v>
      </c>
      <c r="AF16" s="79" t="s">
        <v>1114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0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79" t="s">
        <v>1114</v>
      </c>
      <c r="AF17" s="79" t="s">
        <v>1114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0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79" t="s">
        <v>1114</v>
      </c>
      <c r="AF18" s="79" t="s">
        <v>1114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0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79" t="s">
        <v>1114</v>
      </c>
      <c r="AF19" s="79" t="s">
        <v>1114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0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79" t="s">
        <v>1114</v>
      </c>
      <c r="AF20" s="79" t="s">
        <v>1114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0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79" t="s">
        <v>1114</v>
      </c>
      <c r="AF21" s="79" t="s">
        <v>1114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946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0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79" t="s">
        <v>1114</v>
      </c>
      <c r="AF22" s="79" t="s">
        <v>1114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0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79" t="s">
        <v>1114</v>
      </c>
      <c r="AF23" s="79" t="s">
        <v>1114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0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79" t="s">
        <v>1114</v>
      </c>
      <c r="AF24" s="79" t="s">
        <v>1114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0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79" t="s">
        <v>1114</v>
      </c>
      <c r="AF25" s="79" t="s">
        <v>1114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0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79" t="s">
        <v>1114</v>
      </c>
      <c r="AF26" s="79" t="s">
        <v>1114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0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79" t="s">
        <v>1114</v>
      </c>
      <c r="AF27" s="79" t="s">
        <v>1114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0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1135</v>
      </c>
      <c r="AE28" s="79" t="s">
        <v>1114</v>
      </c>
      <c r="AF28" s="79" t="s">
        <v>1114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0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1135</v>
      </c>
      <c r="AE29" s="79" t="s">
        <v>1114</v>
      </c>
      <c r="AF29" s="79" t="s">
        <v>1114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1134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0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79" t="s">
        <v>1114</v>
      </c>
      <c r="AF30" s="79" t="s">
        <v>1114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1134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0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79" t="s">
        <v>1114</v>
      </c>
      <c r="AF31" s="79" t="s">
        <v>1114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0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79" t="s">
        <v>1114</v>
      </c>
      <c r="AF32" s="79" t="s">
        <v>1114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0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79" t="s">
        <v>1114</v>
      </c>
      <c r="AF33" s="79" t="s">
        <v>1114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0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79" t="s">
        <v>1114</v>
      </c>
      <c r="AF34" s="79" t="s">
        <v>1114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0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79" t="s">
        <v>1114</v>
      </c>
      <c r="AF35" s="79" t="s">
        <v>1114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0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79" t="s">
        <v>1114</v>
      </c>
      <c r="AF36" s="79" t="s">
        <v>1114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0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79" t="s">
        <v>1114</v>
      </c>
      <c r="AF37" s="79" t="s">
        <v>1114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0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79" t="s">
        <v>1114</v>
      </c>
      <c r="AF38" s="79" t="s">
        <v>1114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0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79" t="s">
        <v>1114</v>
      </c>
      <c r="AF39" s="79" t="s">
        <v>1114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0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79" t="s">
        <v>1114</v>
      </c>
      <c r="AF40" s="79" t="s">
        <v>1114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0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79" t="s">
        <v>1114</v>
      </c>
      <c r="AF41" s="79" t="s">
        <v>1114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0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79" t="s">
        <v>1114</v>
      </c>
      <c r="AF42" s="79" t="s">
        <v>1114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0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79" t="s">
        <v>1114</v>
      </c>
      <c r="AF43" s="79" t="s">
        <v>1114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0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79" t="s">
        <v>1114</v>
      </c>
      <c r="AF44" s="79" t="s">
        <v>1114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0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79" t="s">
        <v>1114</v>
      </c>
      <c r="AF45" s="79" t="s">
        <v>1114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0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79" t="s">
        <v>1114</v>
      </c>
      <c r="AF46" s="79" t="s">
        <v>1114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0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79" t="s">
        <v>1114</v>
      </c>
      <c r="AF47" s="79" t="s">
        <v>1114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0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79" t="s">
        <v>1114</v>
      </c>
      <c r="AF48" s="79" t="s">
        <v>1114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0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79" t="s">
        <v>1114</v>
      </c>
      <c r="AF49" s="79" t="s">
        <v>1114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0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79" t="s">
        <v>1114</v>
      </c>
      <c r="AF50" s="79" t="s">
        <v>1114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0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79" t="s">
        <v>1114</v>
      </c>
      <c r="AF51" s="79" t="s">
        <v>1114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0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79" t="s">
        <v>1114</v>
      </c>
      <c r="AF52" s="79" t="s">
        <v>1114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0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79" t="s">
        <v>1114</v>
      </c>
      <c r="AF53" s="79" t="s">
        <v>1114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0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79" t="s">
        <v>1114</v>
      </c>
      <c r="AF54" s="79" t="s">
        <v>1114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0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79" t="s">
        <v>1114</v>
      </c>
      <c r="AF55" s="79" t="s">
        <v>1114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0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79" t="s">
        <v>1114</v>
      </c>
      <c r="AF56" s="79" t="s">
        <v>1114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0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79" t="s">
        <v>1114</v>
      </c>
      <c r="AF57" s="79" t="s">
        <v>1114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0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79" t="s">
        <v>1114</v>
      </c>
      <c r="AF58" s="79" t="s">
        <v>1114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0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79" t="s">
        <v>1114</v>
      </c>
      <c r="AF59" s="79" t="s">
        <v>1114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0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79" t="s">
        <v>1114</v>
      </c>
      <c r="AF60" s="79" t="s">
        <v>1114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0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79" t="s">
        <v>1114</v>
      </c>
      <c r="AF61" s="79" t="s">
        <v>1114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0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79" t="s">
        <v>1114</v>
      </c>
      <c r="AF62" s="79" t="s">
        <v>1114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0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79" t="s">
        <v>1114</v>
      </c>
      <c r="AF63" s="79" t="s">
        <v>1114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0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79" t="s">
        <v>1114</v>
      </c>
      <c r="AF64" s="79" t="s">
        <v>1114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0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79" t="s">
        <v>1114</v>
      </c>
      <c r="AF65" s="79" t="s">
        <v>1114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1150</v>
      </c>
      <c r="J1" s="2" t="s">
        <v>155</v>
      </c>
      <c r="K1" s="2" t="s">
        <v>156</v>
      </c>
      <c r="L1" s="2" t="s">
        <v>559</v>
      </c>
      <c r="M1" s="2" t="s">
        <v>1121</v>
      </c>
      <c r="N1" s="2" t="s">
        <v>1122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1148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1136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2" t="str">
        <f>IF(Tabelle58971113[[#This Row],[Durchschnittsauslastung min]]&lt;&gt;"",Tabelle58971113[[#This Row],[Durchschnittsauslastung min]]*8760,"")</f>
        <v/>
      </c>
      <c r="N2" s="42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42.964467005076145</v>
      </c>
      <c r="AD2" s="8">
        <f>800/Umrechnungsfaktoren!$B$10</f>
        <v>859.28934010152284</v>
      </c>
      <c r="AE2" s="1" t="s">
        <v>1123</v>
      </c>
      <c r="AF2" s="1" t="s">
        <v>1183</v>
      </c>
      <c r="AG2" s="1" t="s">
        <v>1183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2" t="str">
        <f>IF(Tabelle58971113[[#This Row],[Durchschnittsauslastung min]]&lt;&gt;"",Tabelle58971113[[#This Row],[Durchschnittsauslastung min]]*8760,"")</f>
        <v/>
      </c>
      <c r="N3" s="42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1117</v>
      </c>
      <c r="AF3" s="1" t="s">
        <v>1183</v>
      </c>
      <c r="AG3" s="1" t="s">
        <v>1183</v>
      </c>
      <c r="AH3" s="13" t="s">
        <v>335</v>
      </c>
      <c r="AI3" s="13" t="s">
        <v>335</v>
      </c>
      <c r="AJ3" s="13" t="s">
        <v>335</v>
      </c>
      <c r="AK3" s="13"/>
      <c r="AL3" s="13" t="s">
        <v>1116</v>
      </c>
      <c r="AM3" s="13" t="s">
        <v>342</v>
      </c>
      <c r="AN3" s="13" t="s">
        <v>335</v>
      </c>
      <c r="AQ3" s="13" t="s">
        <v>335</v>
      </c>
      <c r="AS3" s="1" t="s">
        <v>1118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2">
        <f>IF(Tabelle58971113[[#This Row],[Durchschnittsauslastung min]]&lt;&gt;"",Tabelle58971113[[#This Row],[Durchschnittsauslastung min]]*8760,"")</f>
        <v>7008</v>
      </c>
      <c r="N4" s="42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1183</v>
      </c>
      <c r="AG4" s="1" t="s">
        <v>1183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2" t="str">
        <f>IF(Tabelle58971113[[#This Row],[Durchschnittsauslastung min]]&lt;&gt;"",Tabelle58971113[[#This Row],[Durchschnittsauslastung min]]*8760,"")</f>
        <v/>
      </c>
      <c r="N5" s="42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1183</v>
      </c>
      <c r="AG5" s="1" t="s">
        <v>1183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2" t="str">
        <f>IF(Tabelle58971113[[#This Row],[Durchschnittsauslastung min]]&lt;&gt;"",Tabelle58971113[[#This Row],[Durchschnittsauslastung min]]*8760,"")</f>
        <v/>
      </c>
      <c r="N6" s="42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1115</v>
      </c>
      <c r="AB6" s="1">
        <v>50</v>
      </c>
      <c r="AC6" s="8"/>
      <c r="AD6" s="8"/>
      <c r="AF6" s="1" t="s">
        <v>1183</v>
      </c>
      <c r="AG6" s="1" t="s">
        <v>1183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946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2">
        <v>5000</v>
      </c>
      <c r="N7" s="42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1120</v>
      </c>
      <c r="AF7" s="1" t="s">
        <v>1183</v>
      </c>
      <c r="AG7" s="1" t="s">
        <v>1183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2" t="str">
        <f>IF(Tabelle58971113[[#This Row],[Durchschnittsauslastung min]]&lt;&gt;"",Tabelle58971113[[#This Row],[Durchschnittsauslastung min]]*8760,"")</f>
        <v/>
      </c>
      <c r="N8" s="42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1183</v>
      </c>
      <c r="AG8" s="1" t="s">
        <v>1183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2" t="str">
        <f>IF(Tabelle58971113[[#This Row],[Durchschnittsauslastung min]]&lt;&gt;"",Tabelle58971113[[#This Row],[Durchschnittsauslastung min]]*8760,"")</f>
        <v/>
      </c>
      <c r="N9" s="42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1183</v>
      </c>
      <c r="AG9" s="1" t="s">
        <v>1183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2" t="str">
        <f>IF(Tabelle58971113[[#This Row],[Durchschnittsauslastung min]]&lt;&gt;"",Tabelle58971113[[#This Row],[Durchschnittsauslastung min]]*8760,"")</f>
        <v/>
      </c>
      <c r="N10" s="42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1183</v>
      </c>
      <c r="AG10" s="1" t="s">
        <v>1183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2" t="str">
        <f>IF(Tabelle58971113[[#This Row],[Durchschnittsauslastung min]]&lt;&gt;"",Tabelle58971113[[#This Row],[Durchschnittsauslastung min]]*8760,"")</f>
        <v/>
      </c>
      <c r="N11" s="42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1183</v>
      </c>
      <c r="AG11" s="1" t="s">
        <v>1183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2" t="str">
        <f>IF(Tabelle58971113[[#This Row],[Durchschnittsauslastung min]]&lt;&gt;"",Tabelle58971113[[#This Row],[Durchschnittsauslastung min]]*8760,"")</f>
        <v/>
      </c>
      <c r="N12" s="42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1183</v>
      </c>
      <c r="AG12" s="1" t="s">
        <v>1183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4"/>
      <c r="M13" s="42" t="str">
        <f>IF(Tabelle58971113[[#This Row],[Durchschnittsauslastung min]]&lt;&gt;"",Tabelle58971113[[#This Row],[Durchschnittsauslastung min]]*8760,"")</f>
        <v/>
      </c>
      <c r="N13" s="42"/>
      <c r="O13" s="64"/>
      <c r="P13" s="64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5"/>
      <c r="T13" s="65"/>
      <c r="U13" s="65"/>
      <c r="AC13" s="8"/>
      <c r="AD13" s="8"/>
      <c r="AF13" s="1" t="s">
        <v>1183</v>
      </c>
      <c r="AG13" s="1" t="s">
        <v>1183</v>
      </c>
      <c r="AH13" s="13" t="s">
        <v>1119</v>
      </c>
      <c r="AI13" s="13" t="s">
        <v>1119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827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828</v>
      </c>
      <c r="V2" s="1">
        <v>29</v>
      </c>
      <c r="W2" s="13">
        <v>29</v>
      </c>
      <c r="X2" s="1">
        <v>29</v>
      </c>
      <c r="Y2" s="1">
        <v>30</v>
      </c>
      <c r="AB2" s="1" t="s">
        <v>831</v>
      </c>
    </row>
    <row r="3" spans="1:28" x14ac:dyDescent="0.2">
      <c r="A3" s="1" t="s">
        <v>827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829</v>
      </c>
      <c r="V3" s="1">
        <v>29</v>
      </c>
      <c r="W3" s="13">
        <v>29</v>
      </c>
      <c r="X3" s="1">
        <v>29</v>
      </c>
      <c r="Y3" s="1">
        <v>30</v>
      </c>
      <c r="AB3" s="1" t="s">
        <v>831</v>
      </c>
    </row>
    <row r="4" spans="1:28" x14ac:dyDescent="0.2">
      <c r="A4" s="1" t="s">
        <v>830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830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832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833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5" t="s">
        <v>834</v>
      </c>
      <c r="B7" s="55" t="s">
        <v>128</v>
      </c>
      <c r="C7" s="55">
        <v>2013</v>
      </c>
      <c r="D7" s="1">
        <v>1</v>
      </c>
      <c r="E7" s="1">
        <v>0</v>
      </c>
      <c r="F7" s="1">
        <v>0</v>
      </c>
      <c r="G7" s="56"/>
      <c r="H7" s="56"/>
      <c r="I7" s="56"/>
      <c r="J7" s="56"/>
      <c r="K7" s="56"/>
      <c r="L7" s="56"/>
      <c r="M7" s="55"/>
      <c r="N7" s="55"/>
      <c r="O7" s="55"/>
      <c r="P7" s="55"/>
      <c r="Q7" s="55"/>
      <c r="R7" s="60"/>
      <c r="S7" s="61"/>
      <c r="T7" s="61"/>
      <c r="U7" s="55" t="s">
        <v>835</v>
      </c>
      <c r="V7" s="55"/>
      <c r="W7" s="62"/>
      <c r="X7" s="55"/>
      <c r="Y7" s="55"/>
      <c r="Z7" s="55"/>
      <c r="AA7" s="55"/>
      <c r="AB7" s="55"/>
    </row>
    <row r="8" spans="1:28" x14ac:dyDescent="0.2">
      <c r="A8" s="55" t="s">
        <v>834</v>
      </c>
      <c r="B8" s="55" t="s">
        <v>128</v>
      </c>
      <c r="C8" s="55">
        <v>2020</v>
      </c>
      <c r="D8" s="1">
        <v>1</v>
      </c>
      <c r="E8" s="1">
        <v>0</v>
      </c>
      <c r="F8" s="1">
        <v>0</v>
      </c>
      <c r="G8" s="56"/>
      <c r="H8" s="56"/>
      <c r="I8" s="56"/>
      <c r="J8" s="56">
        <v>7000</v>
      </c>
      <c r="K8" s="56"/>
      <c r="L8" s="56">
        <v>11000</v>
      </c>
      <c r="M8" s="55"/>
      <c r="N8" s="55"/>
      <c r="O8" s="55"/>
      <c r="P8" s="55"/>
      <c r="Q8" s="55"/>
      <c r="R8" s="60"/>
      <c r="S8" s="61"/>
      <c r="T8" s="61"/>
      <c r="U8" s="55"/>
      <c r="V8" s="55"/>
      <c r="W8" s="62"/>
      <c r="X8" s="55">
        <v>36</v>
      </c>
      <c r="Y8" s="55"/>
      <c r="Z8" s="55"/>
      <c r="AA8" s="55"/>
      <c r="AB8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900</v>
      </c>
      <c r="H1" s="2" t="s">
        <v>901</v>
      </c>
      <c r="I1" s="2" t="s">
        <v>902</v>
      </c>
      <c r="J1" s="2" t="s">
        <v>892</v>
      </c>
      <c r="K1" s="2" t="s">
        <v>903</v>
      </c>
      <c r="L1" s="2" t="s">
        <v>904</v>
      </c>
      <c r="M1" s="2" t="s">
        <v>905</v>
      </c>
      <c r="N1" s="2" t="s">
        <v>906</v>
      </c>
      <c r="O1" s="2" t="s">
        <v>907</v>
      </c>
      <c r="P1" s="2" t="s">
        <v>908</v>
      </c>
      <c r="Q1" s="2" t="s">
        <v>993</v>
      </c>
      <c r="R1" s="2" t="s">
        <v>994</v>
      </c>
      <c r="S1" s="2" t="s">
        <v>995</v>
      </c>
      <c r="T1" s="2" t="s">
        <v>49</v>
      </c>
      <c r="U1" s="2" t="s">
        <v>148</v>
      </c>
      <c r="V1" s="2" t="s">
        <v>50</v>
      </c>
      <c r="W1" s="2" t="s">
        <v>1151</v>
      </c>
      <c r="X1" s="2" t="s">
        <v>1147</v>
      </c>
      <c r="Y1" s="2" t="s">
        <v>545</v>
      </c>
      <c r="Z1" s="2" t="s">
        <v>914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861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1148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1097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1140</v>
      </c>
      <c r="AX1" s="2" t="s">
        <v>1141</v>
      </c>
      <c r="AY1" s="2" t="s">
        <v>331</v>
      </c>
      <c r="AZ1" s="2" t="s">
        <v>456</v>
      </c>
      <c r="BA1" s="2" t="s">
        <v>998</v>
      </c>
      <c r="BB1" s="2" t="s">
        <v>22</v>
      </c>
      <c r="BC1" s="2" t="s">
        <v>912</v>
      </c>
      <c r="BD1" s="2" t="s">
        <v>163</v>
      </c>
      <c r="BE1" s="2" t="s">
        <v>164</v>
      </c>
      <c r="BF1" s="2" t="s">
        <v>893</v>
      </c>
      <c r="BG1" s="2" t="s">
        <v>909</v>
      </c>
      <c r="BH1" s="2" t="s">
        <v>910</v>
      </c>
      <c r="BI1" s="2" t="s">
        <v>875</v>
      </c>
      <c r="BJ1" s="2" t="s">
        <v>894</v>
      </c>
      <c r="BK1" s="2" t="s">
        <v>1</v>
      </c>
      <c r="BL1" s="2" t="s">
        <v>58</v>
      </c>
      <c r="BM1" s="2" t="s">
        <v>1136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917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0">
        <v>2013</v>
      </c>
      <c r="D2" s="30">
        <v>0</v>
      </c>
      <c r="E2" s="30">
        <v>1</v>
      </c>
      <c r="F2" s="30">
        <v>0</v>
      </c>
      <c r="G2" s="30"/>
      <c r="H2" s="30">
        <v>13700</v>
      </c>
      <c r="I2" s="30"/>
      <c r="J2" s="30">
        <v>525</v>
      </c>
      <c r="K2" s="30"/>
      <c r="L2" s="30"/>
      <c r="M2" s="30"/>
      <c r="N2" s="30"/>
      <c r="O2" s="30"/>
      <c r="P2" s="30"/>
      <c r="Q2" s="30"/>
      <c r="R2" s="30">
        <f>Tabelle589711143136[[#This Row],[jährliche Produktion kt REF]]*Tabelle589711143136[[#This Row],[spez. StV kWh/t]]/10^6</f>
        <v>7.1924999999999999</v>
      </c>
      <c r="S2" s="30"/>
      <c r="T2" s="19"/>
      <c r="U2" s="19"/>
      <c r="V2" s="19"/>
      <c r="W2" s="19"/>
      <c r="X2" s="19">
        <v>800</v>
      </c>
      <c r="Y2" s="19"/>
      <c r="Z2" s="31">
        <f>Tabelle589711143136[[#This Row],[Stromverbrauch in TWh REF]]/Tabelle589711143136[[#This Row],[Vollbenutzungsstunden h/a]]*10^6</f>
        <v>1094.7488584474886</v>
      </c>
      <c r="AA2" s="31" t="str">
        <f>IF(AND(Tabelle589711143136[[#This Row],[Lastverschiebung]]=1,Tabelle589711143136[[#This Row],[Potenzial pos. min MW]]&lt;&gt;""),Tabelle589711143136[[#This Row],[Potenzial pos. min MW]],"")</f>
        <v/>
      </c>
      <c r="AB2" s="31" t="str">
        <f>IF(AND(Tabelle589711143136[[#This Row],[Lastverschiebung]]=1,Tabelle589711143136[[#This Row],[Potenzial pos. MW Durchschnitt]]&lt;&gt;""),Tabelle589711143136[[#This Row],[Potenzial pos. MW Durchschnitt]],"")</f>
        <v/>
      </c>
      <c r="AC2" s="31" t="str">
        <f>IF(AND(Tabelle589711143136[[#This Row],[Lastverschiebung]]=1,Tabelle589711143136[[#This Row],[Potenzial pos. max MW]]&lt;&gt;""),Tabelle589711143136[[#This Row],[Potenzial pos. max MW]],"")</f>
        <v/>
      </c>
      <c r="AD2" s="31"/>
      <c r="AE2" s="64">
        <f>1-Tabelle589711143136[[#This Row],[flexibilisierbarer Anteil]]</f>
        <v>0</v>
      </c>
      <c r="AF2" s="33">
        <v>1</v>
      </c>
      <c r="AG2" s="72">
        <v>6570</v>
      </c>
      <c r="AH2" s="69">
        <f>IF(Tabelle589711143136[[#This Row],[Vollbenutzungsstunden h/a]]&lt;&gt;"",Tabelle589711143136[[#This Row],[Vollbenutzungsstunden h/a]]/8760,"")</f>
        <v>0.75</v>
      </c>
      <c r="AI2" s="32"/>
      <c r="AJ2" s="31"/>
      <c r="AL2" s="30">
        <v>4</v>
      </c>
      <c r="AM2" s="30"/>
      <c r="AN2" s="30"/>
      <c r="AO2" s="30"/>
      <c r="AP2" s="30"/>
      <c r="AR2" s="30">
        <v>40</v>
      </c>
      <c r="AS2" s="19">
        <v>1</v>
      </c>
      <c r="AT2" s="19">
        <v>20</v>
      </c>
      <c r="AU2" s="34"/>
      <c r="AV2" s="34"/>
      <c r="AW2" s="34">
        <v>130</v>
      </c>
      <c r="AX2" s="34">
        <v>1000</v>
      </c>
      <c r="AY2" s="34">
        <v>0</v>
      </c>
      <c r="AZ2" s="34">
        <v>1</v>
      </c>
      <c r="BA2" s="30">
        <v>30</v>
      </c>
      <c r="BB2" s="1" t="s">
        <v>1124</v>
      </c>
      <c r="BC2" s="1" t="s">
        <v>911</v>
      </c>
      <c r="BD2" s="30">
        <v>17</v>
      </c>
      <c r="BE2" s="30">
        <v>17</v>
      </c>
      <c r="BF2" s="30">
        <v>46</v>
      </c>
      <c r="BG2" s="30"/>
      <c r="BH2" s="30"/>
      <c r="BI2" s="30">
        <v>46</v>
      </c>
      <c r="BJ2" s="30">
        <v>46</v>
      </c>
      <c r="BK2" s="35">
        <v>205</v>
      </c>
      <c r="BL2" s="30">
        <v>46</v>
      </c>
      <c r="BM2" s="30">
        <v>46</v>
      </c>
      <c r="BN2" s="35"/>
      <c r="BO2" s="35"/>
      <c r="BP2" s="30">
        <v>23</v>
      </c>
      <c r="BQ2" s="30"/>
      <c r="BR2" s="30">
        <v>23</v>
      </c>
      <c r="BS2" s="30">
        <v>23</v>
      </c>
      <c r="BT2" s="30">
        <v>30</v>
      </c>
      <c r="BU2" s="30">
        <v>30</v>
      </c>
      <c r="BV2" s="30">
        <v>30</v>
      </c>
      <c r="BW2" s="30">
        <v>117</v>
      </c>
      <c r="BX2" s="30"/>
    </row>
    <row r="3" spans="1:76" s="1" customFormat="1" x14ac:dyDescent="0.25">
      <c r="A3" s="1" t="s">
        <v>83</v>
      </c>
      <c r="B3" s="1" t="s">
        <v>128</v>
      </c>
      <c r="C3" s="30">
        <v>2030</v>
      </c>
      <c r="D3" s="30">
        <v>0</v>
      </c>
      <c r="E3" s="30">
        <v>1</v>
      </c>
      <c r="F3" s="30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0">
        <f>Tabelle589711143136[[#This Row],[jährliche Produktion kt REF]]*Tabelle589711143136[[#This Row],[spez. StV kWh/t]]/10^6</f>
        <v>4.8083</v>
      </c>
      <c r="S3" s="30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1"/>
      <c r="AA3" s="31" t="str">
        <f>IF(AND(Tabelle589711143136[[#This Row],[Lastverschiebung]]=1,Tabelle589711143136[[#This Row],[Potenzial pos. min MW]]&lt;&gt;""),Tabelle589711143136[[#This Row],[Potenzial pos. min MW]],"")</f>
        <v/>
      </c>
      <c r="AB3" s="31" t="str">
        <f>IF(AND(Tabelle589711143136[[#This Row],[Lastverschiebung]]=1,Tabelle589711143136[[#This Row],[Potenzial pos. MW Durchschnitt]]&lt;&gt;""),Tabelle589711143136[[#This Row],[Potenzial pos. MW Durchschnitt]],"")</f>
        <v/>
      </c>
      <c r="AC3" s="31" t="str">
        <f>IF(AND(Tabelle589711143136[[#This Row],[Lastverschiebung]]=1,Tabelle589711143136[[#This Row],[Potenzial pos. max MW]]&lt;&gt;""),Tabelle589711143136[[#This Row],[Potenzial pos. max MW]],"")</f>
        <v/>
      </c>
      <c r="AD3" s="31"/>
      <c r="AE3" s="64"/>
      <c r="AF3" s="33"/>
      <c r="AG3" s="72"/>
      <c r="AH3" s="33"/>
      <c r="AI3" s="32"/>
      <c r="AJ3" s="31"/>
      <c r="AL3" s="30">
        <v>4</v>
      </c>
      <c r="AM3" s="30"/>
      <c r="AN3" s="30"/>
      <c r="AO3" s="30"/>
      <c r="AP3" s="30">
        <f>8*7</f>
        <v>56</v>
      </c>
      <c r="AR3" s="30">
        <v>40</v>
      </c>
      <c r="AS3" s="19"/>
      <c r="AT3" s="19"/>
      <c r="AU3" s="34"/>
      <c r="AV3" s="34"/>
      <c r="AW3" s="34"/>
      <c r="AX3" s="34"/>
      <c r="AY3" s="34"/>
      <c r="AZ3" s="34"/>
      <c r="BA3" s="30"/>
      <c r="BB3" s="1" t="s">
        <v>1124</v>
      </c>
      <c r="BC3" s="1" t="s">
        <v>911</v>
      </c>
      <c r="BD3" s="30"/>
      <c r="BE3" s="30"/>
      <c r="BF3" s="30">
        <v>202</v>
      </c>
      <c r="BG3" s="30"/>
      <c r="BH3" s="30"/>
      <c r="BI3" s="30">
        <v>202</v>
      </c>
      <c r="BJ3" s="30"/>
      <c r="BK3" s="35">
        <v>205</v>
      </c>
      <c r="BL3" s="30"/>
      <c r="BM3" s="30"/>
      <c r="BN3" s="35"/>
      <c r="BO3" s="35"/>
      <c r="BP3" s="30"/>
      <c r="BQ3" s="30"/>
      <c r="BR3" s="30"/>
      <c r="BS3" s="30"/>
      <c r="BT3" s="30"/>
      <c r="BU3" s="30"/>
      <c r="BV3" s="30"/>
      <c r="BW3" s="30"/>
      <c r="BX3" s="30"/>
    </row>
    <row r="4" spans="1:76" s="1" customFormat="1" x14ac:dyDescent="0.25">
      <c r="A4" s="1" t="s">
        <v>83</v>
      </c>
      <c r="B4" s="1" t="s">
        <v>128</v>
      </c>
      <c r="C4" s="30">
        <v>2050</v>
      </c>
      <c r="D4" s="30">
        <v>0</v>
      </c>
      <c r="E4" s="30">
        <v>1</v>
      </c>
      <c r="F4" s="30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0">
        <f>Tabelle589711143136[[#This Row],[jährliche Produktion kt REF]]*Tabelle589711143136[[#This Row],[spez. StV kWh/t]]/10^6</f>
        <v>3.8466399999999998</v>
      </c>
      <c r="S4" s="30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1"/>
      <c r="AA4" s="31" t="str">
        <f>IF(AND(Tabelle589711143136[[#This Row],[Lastverschiebung]]=1,Tabelle589711143136[[#This Row],[Potenzial pos. min MW]]&lt;&gt;""),Tabelle589711143136[[#This Row],[Potenzial pos. min MW]],"")</f>
        <v/>
      </c>
      <c r="AB4" s="31" t="str">
        <f>IF(AND(Tabelle589711143136[[#This Row],[Lastverschiebung]]=1,Tabelle589711143136[[#This Row],[Potenzial pos. MW Durchschnitt]]&lt;&gt;""),Tabelle589711143136[[#This Row],[Potenzial pos. MW Durchschnitt]],"")</f>
        <v/>
      </c>
      <c r="AC4" s="31" t="str">
        <f>IF(AND(Tabelle589711143136[[#This Row],[Lastverschiebung]]=1,Tabelle589711143136[[#This Row],[Potenzial pos. max MW]]&lt;&gt;""),Tabelle589711143136[[#This Row],[Potenzial pos. max MW]],"")</f>
        <v/>
      </c>
      <c r="AD4" s="31"/>
      <c r="AE4" s="64"/>
      <c r="AF4" s="33"/>
      <c r="AG4" s="72"/>
      <c r="AH4" s="33"/>
      <c r="AI4" s="32"/>
      <c r="AJ4" s="31"/>
      <c r="AL4" s="30">
        <v>4</v>
      </c>
      <c r="AM4" s="30"/>
      <c r="AN4" s="30"/>
      <c r="AO4" s="30"/>
      <c r="AP4" s="30">
        <f>8*7</f>
        <v>56</v>
      </c>
      <c r="AR4" s="30">
        <v>40</v>
      </c>
      <c r="AS4" s="19"/>
      <c r="AT4" s="19"/>
      <c r="AU4" s="34"/>
      <c r="AV4" s="34"/>
      <c r="AW4" s="34"/>
      <c r="AX4" s="34"/>
      <c r="AY4" s="34"/>
      <c r="AZ4" s="34"/>
      <c r="BA4" s="30"/>
      <c r="BB4" s="1" t="s">
        <v>1124</v>
      </c>
      <c r="BC4" s="1" t="s">
        <v>911</v>
      </c>
      <c r="BD4" s="30"/>
      <c r="BE4" s="30"/>
      <c r="BF4" s="30">
        <v>202</v>
      </c>
      <c r="BG4" s="30"/>
      <c r="BH4" s="30"/>
      <c r="BI4" s="30">
        <v>202</v>
      </c>
      <c r="BJ4" s="30"/>
      <c r="BK4" s="35">
        <v>205</v>
      </c>
      <c r="BL4" s="30"/>
      <c r="BM4" s="30"/>
      <c r="BN4" s="35"/>
      <c r="BO4" s="35"/>
      <c r="BP4" s="30"/>
      <c r="BQ4" s="30"/>
      <c r="BR4" s="30"/>
      <c r="BS4" s="30"/>
      <c r="BT4" s="30"/>
      <c r="BU4" s="30"/>
      <c r="BV4" s="30"/>
      <c r="BW4" s="30"/>
      <c r="BX4" s="30"/>
    </row>
    <row r="5" spans="1:76" x14ac:dyDescent="0.25">
      <c r="A5" s="1" t="s">
        <v>76</v>
      </c>
      <c r="B5" s="1" t="s">
        <v>128</v>
      </c>
      <c r="C5" s="30">
        <v>2013</v>
      </c>
      <c r="D5" s="1">
        <v>1</v>
      </c>
      <c r="E5" s="1">
        <v>0</v>
      </c>
      <c r="F5" s="30">
        <v>0</v>
      </c>
      <c r="G5" s="30"/>
      <c r="H5" s="30">
        <v>716</v>
      </c>
      <c r="I5" s="30"/>
      <c r="J5" s="30">
        <v>2000</v>
      </c>
      <c r="K5" s="30"/>
      <c r="L5" s="30"/>
      <c r="M5" s="30"/>
      <c r="N5" s="30"/>
      <c r="O5" s="30"/>
      <c r="P5" s="30"/>
      <c r="Q5" s="30"/>
      <c r="R5" s="30">
        <f>Tabelle589711143136[[#This Row],[jährliche Produktion kt REF]]*Tabelle589711143136[[#This Row],[spez. StV kWh/t]]/10^6</f>
        <v>1.4319999999999999</v>
      </c>
      <c r="S5" s="30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4">
        <f>1-Tabelle589711143136[[#This Row],[flexibilisierbarer Anteil]]</f>
        <v>0</v>
      </c>
      <c r="AF5" s="64">
        <v>1</v>
      </c>
      <c r="AG5" s="46">
        <v>5600</v>
      </c>
      <c r="AH5" s="64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4">
        <v>0</v>
      </c>
      <c r="AZ5" s="34">
        <v>1</v>
      </c>
      <c r="BA5" s="1">
        <v>0</v>
      </c>
      <c r="BB5" s="1"/>
      <c r="BC5" s="1" t="s">
        <v>911</v>
      </c>
      <c r="BD5" s="30">
        <v>17</v>
      </c>
      <c r="BE5" s="30">
        <v>17</v>
      </c>
      <c r="BF5" s="30">
        <v>46</v>
      </c>
      <c r="BG5" s="30"/>
      <c r="BH5" s="30"/>
      <c r="BI5" s="30">
        <v>46</v>
      </c>
      <c r="BJ5" s="30">
        <v>46</v>
      </c>
      <c r="BK5" s="35">
        <v>205</v>
      </c>
      <c r="BL5" s="30">
        <v>46</v>
      </c>
      <c r="BM5" s="30">
        <v>46</v>
      </c>
      <c r="BN5" s="13">
        <v>18</v>
      </c>
      <c r="BO5" s="13"/>
      <c r="BP5" s="30">
        <v>23</v>
      </c>
      <c r="BQ5" s="30">
        <v>23</v>
      </c>
      <c r="BR5" s="30">
        <v>23</v>
      </c>
      <c r="BS5" s="30">
        <v>23</v>
      </c>
      <c r="BT5" s="30">
        <v>30</v>
      </c>
      <c r="BU5" s="30">
        <v>30</v>
      </c>
      <c r="BV5" s="30">
        <v>30</v>
      </c>
      <c r="BW5" s="30">
        <v>117</v>
      </c>
      <c r="BX5" s="1"/>
    </row>
    <row r="6" spans="1:76" x14ac:dyDescent="0.25">
      <c r="A6" s="1" t="s">
        <v>76</v>
      </c>
      <c r="B6" s="1" t="s">
        <v>128</v>
      </c>
      <c r="C6" s="30">
        <v>2030</v>
      </c>
      <c r="D6" s="1">
        <v>1</v>
      </c>
      <c r="E6" s="1">
        <v>0</v>
      </c>
      <c r="F6" s="30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0">
        <f>Tabelle589711143136[[#This Row],[jährliche Produktion kt REF]]*Tabelle589711143136[[#This Row],[spez. StV kWh/t]]/10^6</f>
        <v>0.99452399999999996</v>
      </c>
      <c r="S6" s="30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4"/>
      <c r="AF6" s="64"/>
      <c r="AG6" s="46"/>
      <c r="AH6" s="64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4"/>
      <c r="AZ6" s="34"/>
      <c r="BA6" s="1">
        <v>0</v>
      </c>
      <c r="BB6" s="1"/>
      <c r="BC6" s="1" t="s">
        <v>911</v>
      </c>
      <c r="BD6" s="30"/>
      <c r="BE6" s="30"/>
      <c r="BF6" s="30">
        <v>202</v>
      </c>
      <c r="BG6" s="30"/>
      <c r="BH6" s="30"/>
      <c r="BI6" s="30">
        <v>202</v>
      </c>
      <c r="BJ6" s="30"/>
      <c r="BK6" s="35">
        <v>205</v>
      </c>
      <c r="BL6" s="30"/>
      <c r="BM6" s="30"/>
      <c r="BN6" s="13"/>
      <c r="BO6" s="13"/>
      <c r="BP6" s="30"/>
      <c r="BQ6" s="30"/>
      <c r="BR6" s="30"/>
      <c r="BS6" s="30"/>
      <c r="BT6" s="30"/>
      <c r="BU6" s="30"/>
      <c r="BV6" s="30"/>
      <c r="BW6" s="30">
        <v>117</v>
      </c>
      <c r="BX6" s="1"/>
    </row>
    <row r="7" spans="1:76" x14ac:dyDescent="0.25">
      <c r="A7" s="1" t="s">
        <v>76</v>
      </c>
      <c r="B7" s="1" t="s">
        <v>128</v>
      </c>
      <c r="C7" s="30">
        <v>2050</v>
      </c>
      <c r="D7" s="1">
        <v>1</v>
      </c>
      <c r="E7" s="1">
        <v>0</v>
      </c>
      <c r="F7" s="30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0">
        <f>Tabelle589711143136[[#This Row],[jährliche Produktion kt REF]]*Tabelle589711143136[[#This Row],[spez. StV kWh/t]]/10^6</f>
        <v>0.99452399999999996</v>
      </c>
      <c r="S7" s="30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4"/>
      <c r="AF7" s="64"/>
      <c r="AG7" s="46"/>
      <c r="AH7" s="64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4"/>
      <c r="AZ7" s="34"/>
      <c r="BA7" s="1">
        <v>0</v>
      </c>
      <c r="BB7" s="1"/>
      <c r="BC7" s="1" t="s">
        <v>911</v>
      </c>
      <c r="BD7" s="30"/>
      <c r="BE7" s="30"/>
      <c r="BF7" s="30">
        <v>202</v>
      </c>
      <c r="BG7" s="30"/>
      <c r="BH7" s="30"/>
      <c r="BI7" s="30">
        <v>202</v>
      </c>
      <c r="BJ7" s="30"/>
      <c r="BK7" s="35">
        <v>205</v>
      </c>
      <c r="BL7" s="30"/>
      <c r="BM7" s="30"/>
      <c r="BN7" s="13"/>
      <c r="BO7" s="13"/>
      <c r="BP7" s="30"/>
      <c r="BQ7" s="30"/>
      <c r="BR7" s="30"/>
      <c r="BS7" s="30"/>
      <c r="BT7" s="30"/>
      <c r="BU7" s="30"/>
      <c r="BV7" s="30"/>
      <c r="BW7" s="30">
        <v>117</v>
      </c>
      <c r="BX7" s="1"/>
    </row>
    <row r="8" spans="1:76" x14ac:dyDescent="0.25">
      <c r="A8" s="1" t="s">
        <v>1025</v>
      </c>
      <c r="B8" s="1" t="s">
        <v>128</v>
      </c>
      <c r="C8" s="30">
        <v>2013</v>
      </c>
      <c r="D8" s="1">
        <v>0</v>
      </c>
      <c r="E8" s="1">
        <v>1</v>
      </c>
      <c r="F8" s="30">
        <v>0</v>
      </c>
      <c r="G8" s="30"/>
      <c r="H8" s="30">
        <v>504</v>
      </c>
      <c r="I8" s="30"/>
      <c r="J8" s="30">
        <v>3400</v>
      </c>
      <c r="K8" s="30"/>
      <c r="L8" s="30"/>
      <c r="M8" s="30"/>
      <c r="N8" s="30"/>
      <c r="O8" s="30"/>
      <c r="P8" s="30"/>
      <c r="Q8" s="30"/>
      <c r="R8" s="30">
        <f>Tabelle589711143136[[#This Row],[jährliche Produktion kt REF]]*Tabelle589711143136[[#This Row],[spez. StV kWh/t]]/10^6</f>
        <v>1.7136</v>
      </c>
      <c r="S8" s="30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4">
        <f>1-Tabelle589711143136[[#This Row],[flexibilisierbarer Anteil]]</f>
        <v>0.30000000000000004</v>
      </c>
      <c r="AF8" s="64">
        <v>0.7</v>
      </c>
      <c r="AG8" s="46">
        <v>7370</v>
      </c>
      <c r="AH8" s="64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4">
        <v>0</v>
      </c>
      <c r="AZ8" s="34">
        <v>1</v>
      </c>
      <c r="BA8" s="1">
        <v>130</v>
      </c>
      <c r="BB8" s="1" t="s">
        <v>882</v>
      </c>
      <c r="BC8" s="1" t="s">
        <v>911</v>
      </c>
      <c r="BD8" s="1">
        <v>18</v>
      </c>
      <c r="BE8" s="1">
        <v>18</v>
      </c>
      <c r="BF8" s="30">
        <v>46</v>
      </c>
      <c r="BG8" s="30"/>
      <c r="BH8" s="30"/>
      <c r="BI8" s="30">
        <v>46</v>
      </c>
      <c r="BJ8" s="30">
        <v>46</v>
      </c>
      <c r="BK8" s="35">
        <v>205</v>
      </c>
      <c r="BL8" s="30">
        <v>46</v>
      </c>
      <c r="BM8" s="30">
        <v>46</v>
      </c>
      <c r="BN8" s="13">
        <v>18</v>
      </c>
      <c r="BO8" s="13"/>
      <c r="BP8" s="30">
        <v>23</v>
      </c>
      <c r="BQ8" s="30"/>
      <c r="BR8" s="30">
        <v>23</v>
      </c>
      <c r="BS8" s="30">
        <v>23</v>
      </c>
      <c r="BT8" s="30">
        <v>30</v>
      </c>
      <c r="BU8" s="30">
        <v>30</v>
      </c>
      <c r="BV8" s="30">
        <v>30</v>
      </c>
      <c r="BW8" s="30">
        <v>117</v>
      </c>
      <c r="BX8" s="1"/>
    </row>
    <row r="9" spans="1:76" x14ac:dyDescent="0.25">
      <c r="A9" s="1" t="s">
        <v>1026</v>
      </c>
      <c r="B9" s="1" t="s">
        <v>128</v>
      </c>
      <c r="C9" s="30">
        <v>2013</v>
      </c>
      <c r="D9" s="1">
        <v>0</v>
      </c>
      <c r="E9" s="1">
        <v>1</v>
      </c>
      <c r="F9" s="30">
        <v>0</v>
      </c>
      <c r="G9" s="30"/>
      <c r="H9" s="30">
        <v>2564</v>
      </c>
      <c r="I9" s="30"/>
      <c r="J9" s="30">
        <v>2450</v>
      </c>
      <c r="K9" s="30"/>
      <c r="L9" s="30"/>
      <c r="M9" s="30"/>
      <c r="N9" s="30"/>
      <c r="O9" s="30"/>
      <c r="P9" s="30"/>
      <c r="Q9" s="30"/>
      <c r="R9" s="30">
        <f>Tabelle589711143136[[#This Row],[jährliche Produktion kt REF]]*Tabelle589711143136[[#This Row],[spez. StV kWh/t]]/10^6</f>
        <v>6.2817999999999996</v>
      </c>
      <c r="S9" s="30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4">
        <f>1-Tabelle589711143136[[#This Row],[flexibilisierbarer Anteil]]</f>
        <v>0.4</v>
      </c>
      <c r="AF9" s="64">
        <v>0.6</v>
      </c>
      <c r="AG9" s="46">
        <v>7370</v>
      </c>
      <c r="AH9" s="64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4">
        <v>0</v>
      </c>
      <c r="AZ9" s="34">
        <v>1</v>
      </c>
      <c r="BA9" s="1"/>
      <c r="BB9" s="1" t="s">
        <v>882</v>
      </c>
      <c r="BC9" s="1" t="s">
        <v>911</v>
      </c>
      <c r="BD9" s="1">
        <v>18</v>
      </c>
      <c r="BE9" s="1">
        <v>18</v>
      </c>
      <c r="BF9" s="30">
        <v>46</v>
      </c>
      <c r="BG9" s="30"/>
      <c r="BH9" s="30"/>
      <c r="BI9" s="30">
        <v>46</v>
      </c>
      <c r="BJ9" s="30">
        <v>46</v>
      </c>
      <c r="BK9" s="35">
        <v>205</v>
      </c>
      <c r="BL9" s="30">
        <v>46</v>
      </c>
      <c r="BM9" s="30">
        <v>46</v>
      </c>
      <c r="BN9" s="13">
        <v>18</v>
      </c>
      <c r="BO9" s="13"/>
      <c r="BP9" s="30">
        <v>23</v>
      </c>
      <c r="BQ9" s="30"/>
      <c r="BR9" s="30">
        <v>23</v>
      </c>
      <c r="BS9" s="30">
        <v>23</v>
      </c>
      <c r="BT9" s="30">
        <v>30</v>
      </c>
      <c r="BU9" s="30">
        <v>30</v>
      </c>
      <c r="BV9" s="30">
        <v>30</v>
      </c>
      <c r="BW9" s="1"/>
      <c r="BX9" s="1"/>
    </row>
    <row r="10" spans="1:76" x14ac:dyDescent="0.25">
      <c r="A10" s="1" t="s">
        <v>1026</v>
      </c>
      <c r="B10" s="1" t="s">
        <v>128</v>
      </c>
      <c r="C10" s="30">
        <v>2030</v>
      </c>
      <c r="D10" s="1">
        <v>0</v>
      </c>
      <c r="E10" s="1">
        <v>1</v>
      </c>
      <c r="F10" s="30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0">
        <f>Tabelle589711143136[[#This Row],[jährliche Produktion kt REF]]*Tabelle589711143136[[#This Row],[spez. StV kWh/t]]/10^6</f>
        <v>5.9157000000000002</v>
      </c>
      <c r="S10" s="30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4"/>
      <c r="AF10" s="64"/>
      <c r="AG10" s="46"/>
      <c r="AH10" s="64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4"/>
      <c r="AZ10" s="34"/>
      <c r="BA10" s="1"/>
      <c r="BB10" s="1"/>
      <c r="BC10" s="1" t="s">
        <v>911</v>
      </c>
      <c r="BD10" s="1"/>
      <c r="BE10" s="1"/>
      <c r="BF10" s="30">
        <v>202</v>
      </c>
      <c r="BG10" s="30"/>
      <c r="BH10" s="30"/>
      <c r="BI10" s="30">
        <v>202</v>
      </c>
      <c r="BJ10" s="30"/>
      <c r="BK10" s="35">
        <v>205</v>
      </c>
      <c r="BL10" s="30"/>
      <c r="BM10" s="30"/>
      <c r="BN10" s="13"/>
      <c r="BO10" s="13"/>
      <c r="BP10" s="30"/>
      <c r="BQ10" s="30"/>
      <c r="BR10" s="30"/>
      <c r="BS10" s="30"/>
      <c r="BT10" s="30"/>
      <c r="BU10" s="30"/>
      <c r="BV10" s="30"/>
      <c r="BW10" s="1"/>
      <c r="BX10" s="1"/>
    </row>
    <row r="11" spans="1:76" x14ac:dyDescent="0.25">
      <c r="A11" s="1" t="s">
        <v>1026</v>
      </c>
      <c r="B11" s="1" t="s">
        <v>128</v>
      </c>
      <c r="C11" s="30">
        <v>2050</v>
      </c>
      <c r="D11" s="1">
        <v>0</v>
      </c>
      <c r="E11" s="1">
        <v>1</v>
      </c>
      <c r="F11" s="30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0">
        <f>Tabelle589711143136[[#This Row],[jährliche Produktion kt REF]]*Tabelle589711143136[[#This Row],[spez. StV kWh/t]]/10^6</f>
        <v>5.3529</v>
      </c>
      <c r="S11" s="30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4"/>
      <c r="AF11" s="64"/>
      <c r="AG11" s="46"/>
      <c r="AH11" s="64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4"/>
      <c r="AZ11" s="34"/>
      <c r="BA11" s="1"/>
      <c r="BB11" s="1"/>
      <c r="BC11" s="1" t="s">
        <v>911</v>
      </c>
      <c r="BD11" s="1"/>
      <c r="BE11" s="1"/>
      <c r="BF11" s="30">
        <v>202</v>
      </c>
      <c r="BG11" s="30"/>
      <c r="BH11" s="30"/>
      <c r="BI11" s="30">
        <v>202</v>
      </c>
      <c r="BJ11" s="30"/>
      <c r="BK11" s="35">
        <v>205</v>
      </c>
      <c r="BL11" s="30"/>
      <c r="BM11" s="30"/>
      <c r="BN11" s="13"/>
      <c r="BO11" s="13"/>
      <c r="BP11" s="30"/>
      <c r="BQ11" s="30"/>
      <c r="BR11" s="30"/>
      <c r="BS11" s="30"/>
      <c r="BT11" s="30"/>
      <c r="BU11" s="30"/>
      <c r="BV11" s="30"/>
      <c r="BW11" s="1"/>
      <c r="BX11" s="1"/>
    </row>
    <row r="12" spans="1:76" x14ac:dyDescent="0.25">
      <c r="A12" s="1" t="s">
        <v>53</v>
      </c>
      <c r="B12" s="1" t="s">
        <v>128</v>
      </c>
      <c r="C12" s="30">
        <v>2013</v>
      </c>
      <c r="D12" s="1">
        <v>0</v>
      </c>
      <c r="E12" s="1">
        <v>1</v>
      </c>
      <c r="F12" s="30">
        <v>0</v>
      </c>
      <c r="G12" s="30"/>
      <c r="H12" s="30">
        <v>500</v>
      </c>
      <c r="I12" s="30"/>
      <c r="J12" s="30">
        <v>14000</v>
      </c>
      <c r="K12" s="30"/>
      <c r="L12" s="30"/>
      <c r="M12" s="30"/>
      <c r="N12" s="30"/>
      <c r="O12" s="30"/>
      <c r="P12" s="30"/>
      <c r="Q12" s="30"/>
      <c r="R12" s="30">
        <v>6.944</v>
      </c>
      <c r="S12" s="30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4">
        <f>1-Tabelle589711143136[[#This Row],[flexibilisierbarer Anteil]]</f>
        <v>0.75</v>
      </c>
      <c r="AF12" s="64">
        <v>0.25</v>
      </c>
      <c r="AG12" s="46">
        <v>7065</v>
      </c>
      <c r="AH12" s="64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4">
        <v>0</v>
      </c>
      <c r="AZ12" s="34">
        <v>1</v>
      </c>
      <c r="BA12" s="1">
        <v>350</v>
      </c>
      <c r="BB12" s="1"/>
      <c r="BC12" s="1" t="s">
        <v>911</v>
      </c>
      <c r="BD12" s="1">
        <v>18</v>
      </c>
      <c r="BE12" s="1">
        <v>18</v>
      </c>
      <c r="BF12" s="30">
        <v>46</v>
      </c>
      <c r="BG12" s="30"/>
      <c r="BH12" s="30"/>
      <c r="BI12" s="30">
        <v>46</v>
      </c>
      <c r="BJ12" s="30">
        <v>46</v>
      </c>
      <c r="BK12" s="35">
        <v>205</v>
      </c>
      <c r="BL12" s="30">
        <v>46</v>
      </c>
      <c r="BM12" s="30">
        <v>46</v>
      </c>
      <c r="BN12" s="13">
        <v>18</v>
      </c>
      <c r="BO12" s="13"/>
      <c r="BP12" s="30">
        <v>23</v>
      </c>
      <c r="BQ12" s="30"/>
      <c r="BR12" s="30">
        <v>23</v>
      </c>
      <c r="BS12" s="30">
        <v>23</v>
      </c>
      <c r="BT12" s="30">
        <v>30</v>
      </c>
      <c r="BU12" s="30">
        <v>30</v>
      </c>
      <c r="BV12" s="30">
        <v>30</v>
      </c>
      <c r="BW12" s="30">
        <v>117</v>
      </c>
      <c r="BX12" s="1"/>
    </row>
    <row r="13" spans="1:76" x14ac:dyDescent="0.25">
      <c r="A13" s="1" t="s">
        <v>53</v>
      </c>
      <c r="B13" s="1" t="s">
        <v>128</v>
      </c>
      <c r="C13" s="30">
        <v>2030</v>
      </c>
      <c r="D13" s="1">
        <v>0</v>
      </c>
      <c r="E13" s="1">
        <v>1</v>
      </c>
      <c r="F13" s="30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0">
        <f>Tabelle589711143136[[#This Row],[jährliche Produktion kt REF]]*Tabelle589711143136[[#This Row],[spez. StV kWh/t]]/10^6</f>
        <v>5.6</v>
      </c>
      <c r="S13" s="30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4"/>
      <c r="AF13" s="64"/>
      <c r="AG13" s="46"/>
      <c r="AH13" s="69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4"/>
      <c r="AZ13" s="34"/>
      <c r="BA13" s="1"/>
      <c r="BB13" s="1"/>
      <c r="BC13" s="1" t="s">
        <v>911</v>
      </c>
      <c r="BD13" s="1"/>
      <c r="BE13" s="1"/>
      <c r="BF13" s="30">
        <v>202</v>
      </c>
      <c r="BG13" s="30"/>
      <c r="BH13" s="30"/>
      <c r="BI13" s="30">
        <v>202</v>
      </c>
      <c r="BJ13" s="30"/>
      <c r="BK13" s="35">
        <v>205</v>
      </c>
      <c r="BL13" s="30"/>
      <c r="BM13" s="30"/>
      <c r="BN13" s="13"/>
      <c r="BO13" s="13"/>
      <c r="BP13" s="30"/>
      <c r="BQ13" s="30"/>
      <c r="BR13" s="30"/>
      <c r="BS13" s="30"/>
      <c r="BT13" s="30"/>
      <c r="BU13" s="30"/>
      <c r="BV13" s="30"/>
      <c r="BW13" s="1"/>
      <c r="BX13" s="1"/>
    </row>
    <row r="14" spans="1:76" x14ac:dyDescent="0.25">
      <c r="A14" s="1" t="s">
        <v>53</v>
      </c>
      <c r="B14" s="1" t="s">
        <v>128</v>
      </c>
      <c r="C14" s="30">
        <v>2050</v>
      </c>
      <c r="D14" s="1">
        <v>0</v>
      </c>
      <c r="E14" s="1">
        <v>1</v>
      </c>
      <c r="F14" s="30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0">
        <f>Tabelle589711143136[[#This Row],[jährliche Produktion kt REF]]*Tabelle589711143136[[#This Row],[spez. StV kWh/t]]/10^6</f>
        <v>5.6</v>
      </c>
      <c r="S14" s="30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4"/>
      <c r="AF14" s="64"/>
      <c r="AG14" s="46"/>
      <c r="AH14" s="69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4"/>
      <c r="AZ14" s="34"/>
      <c r="BA14" s="1"/>
      <c r="BB14" s="1"/>
      <c r="BC14" s="1" t="s">
        <v>911</v>
      </c>
      <c r="BD14" s="1"/>
      <c r="BE14" s="1"/>
      <c r="BF14" s="30">
        <v>202</v>
      </c>
      <c r="BG14" s="30"/>
      <c r="BH14" s="30"/>
      <c r="BI14" s="30">
        <v>202</v>
      </c>
      <c r="BJ14" s="30"/>
      <c r="BK14" s="35">
        <v>205</v>
      </c>
      <c r="BL14" s="30"/>
      <c r="BM14" s="30"/>
      <c r="BN14" s="13"/>
      <c r="BO14" s="13"/>
      <c r="BP14" s="30"/>
      <c r="BQ14" s="30"/>
      <c r="BR14" s="30"/>
      <c r="BS14" s="30"/>
      <c r="BT14" s="30"/>
      <c r="BU14" s="30"/>
      <c r="BV14" s="30"/>
      <c r="BW14" s="1"/>
      <c r="BX14" s="1"/>
    </row>
    <row r="15" spans="1:76" x14ac:dyDescent="0.25">
      <c r="A15" s="1" t="s">
        <v>881</v>
      </c>
      <c r="B15" s="1" t="s">
        <v>128</v>
      </c>
      <c r="C15" s="30">
        <v>2013</v>
      </c>
      <c r="D15" s="1">
        <v>1</v>
      </c>
      <c r="E15" s="1">
        <v>0</v>
      </c>
      <c r="F15" s="30">
        <v>0</v>
      </c>
      <c r="G15" s="30"/>
      <c r="H15" s="30">
        <v>32345</v>
      </c>
      <c r="I15" s="30"/>
      <c r="J15" s="30">
        <v>42</v>
      </c>
      <c r="K15" s="30"/>
      <c r="L15" s="30"/>
      <c r="M15" s="30"/>
      <c r="N15" s="30"/>
      <c r="O15" s="30"/>
      <c r="P15" s="30"/>
      <c r="Q15" s="30"/>
      <c r="R15" s="30">
        <f>Tabelle589711143136[[#This Row],[jährliche Produktion kt REF]]*Tabelle589711143136[[#This Row],[spez. StV kWh/t]]/10^6</f>
        <v>1.35849</v>
      </c>
      <c r="S15" s="30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4">
        <f>1-Tabelle589711143136[[#This Row],[flexibilisierbarer Anteil]]</f>
        <v>0</v>
      </c>
      <c r="AF15" s="64">
        <v>1</v>
      </c>
      <c r="AG15" s="46">
        <v>5200</v>
      </c>
      <c r="AH15" s="69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888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4">
        <v>0</v>
      </c>
      <c r="AZ15" s="34">
        <v>1</v>
      </c>
      <c r="BA15" s="1">
        <v>0</v>
      </c>
      <c r="BB15" s="1" t="s">
        <v>883</v>
      </c>
      <c r="BC15" s="1" t="s">
        <v>911</v>
      </c>
      <c r="BD15" s="1">
        <v>19</v>
      </c>
      <c r="BE15" s="1">
        <v>19</v>
      </c>
      <c r="BF15" s="30">
        <v>46</v>
      </c>
      <c r="BG15" s="30"/>
      <c r="BH15" s="30"/>
      <c r="BI15" s="30">
        <v>46</v>
      </c>
      <c r="BJ15" s="30">
        <v>46</v>
      </c>
      <c r="BK15" s="35">
        <v>205</v>
      </c>
      <c r="BL15" s="30">
        <v>46</v>
      </c>
      <c r="BM15" s="30">
        <v>46</v>
      </c>
      <c r="BN15" s="13"/>
      <c r="BO15" s="13"/>
      <c r="BP15" s="30">
        <v>23</v>
      </c>
      <c r="BQ15" s="30">
        <v>23</v>
      </c>
      <c r="BR15" s="30">
        <v>23</v>
      </c>
      <c r="BS15" s="30">
        <v>23</v>
      </c>
      <c r="BT15" s="30">
        <v>30</v>
      </c>
      <c r="BU15" s="30">
        <v>30</v>
      </c>
      <c r="BV15" s="30">
        <v>30</v>
      </c>
      <c r="BW15" s="30">
        <v>117</v>
      </c>
      <c r="BX15" s="1"/>
    </row>
    <row r="16" spans="1:76" x14ac:dyDescent="0.25">
      <c r="A16" s="1" t="s">
        <v>881</v>
      </c>
      <c r="B16" s="1" t="s">
        <v>128</v>
      </c>
      <c r="C16" s="30">
        <v>2030</v>
      </c>
      <c r="D16" s="1">
        <v>1</v>
      </c>
      <c r="E16" s="1">
        <v>0</v>
      </c>
      <c r="F16" s="30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0">
        <f>Tabelle589711143136[[#This Row],[jährliche Produktion kt REF]]*Tabelle589711143136[[#This Row],[spez. StV kWh/t]]/10^6</f>
        <v>0.90566000000000002</v>
      </c>
      <c r="S16" s="30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4"/>
      <c r="AF16" s="64"/>
      <c r="AG16" s="46"/>
      <c r="AH16" s="69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4"/>
      <c r="AZ16" s="34"/>
      <c r="BA16" s="1">
        <v>0</v>
      </c>
      <c r="BB16" s="1"/>
      <c r="BC16" s="1" t="s">
        <v>911</v>
      </c>
      <c r="BD16" s="1"/>
      <c r="BE16" s="1"/>
      <c r="BF16" s="30">
        <v>202</v>
      </c>
      <c r="BG16" s="30"/>
      <c r="BH16" s="30"/>
      <c r="BI16" s="30">
        <v>202</v>
      </c>
      <c r="BJ16" s="30"/>
      <c r="BK16" s="35">
        <v>205</v>
      </c>
      <c r="BL16" s="30"/>
      <c r="BM16" s="30"/>
      <c r="BN16" s="13"/>
      <c r="BO16" s="13"/>
      <c r="BP16" s="30"/>
      <c r="BQ16" s="30"/>
      <c r="BR16" s="30"/>
      <c r="BS16" s="30"/>
      <c r="BT16" s="30"/>
      <c r="BU16" s="30"/>
      <c r="BV16" s="30"/>
      <c r="BW16" s="30">
        <v>117</v>
      </c>
      <c r="BX16" s="1"/>
    </row>
    <row r="17" spans="1:76" x14ac:dyDescent="0.25">
      <c r="A17" s="1" t="s">
        <v>881</v>
      </c>
      <c r="B17" s="1" t="s">
        <v>128</v>
      </c>
      <c r="C17" s="30">
        <v>2050</v>
      </c>
      <c r="D17" s="1">
        <v>1</v>
      </c>
      <c r="E17" s="1">
        <v>0</v>
      </c>
      <c r="F17" s="30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0">
        <f>Tabelle589711143136[[#This Row],[jährliche Produktion kt REF]]*Tabelle589711143136[[#This Row],[spez. StV kWh/t]]/10^6</f>
        <v>0.90566000000000002</v>
      </c>
      <c r="S17" s="30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4"/>
      <c r="AF17" s="64"/>
      <c r="AG17" s="46"/>
      <c r="AH17" s="69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4"/>
      <c r="AZ17" s="34"/>
      <c r="BA17" s="1">
        <v>0</v>
      </c>
      <c r="BB17" s="1"/>
      <c r="BC17" s="1" t="s">
        <v>911</v>
      </c>
      <c r="BD17" s="1"/>
      <c r="BE17" s="1"/>
      <c r="BF17" s="30">
        <v>202</v>
      </c>
      <c r="BG17" s="30"/>
      <c r="BH17" s="30"/>
      <c r="BI17" s="30">
        <v>202</v>
      </c>
      <c r="BJ17" s="30"/>
      <c r="BK17" s="35">
        <v>205</v>
      </c>
      <c r="BL17" s="30"/>
      <c r="BM17" s="30"/>
      <c r="BN17" s="13"/>
      <c r="BO17" s="13"/>
      <c r="BP17" s="30"/>
      <c r="BQ17" s="30"/>
      <c r="BR17" s="30"/>
      <c r="BS17" s="30"/>
      <c r="BT17" s="30"/>
      <c r="BU17" s="30"/>
      <c r="BV17" s="30"/>
      <c r="BW17" s="30">
        <v>117</v>
      </c>
      <c r="BX17" s="1"/>
    </row>
    <row r="18" spans="1:76" x14ac:dyDescent="0.25">
      <c r="A18" s="66" t="s">
        <v>391</v>
      </c>
      <c r="B18" s="66" t="s">
        <v>129</v>
      </c>
      <c r="C18" s="30">
        <v>2013</v>
      </c>
      <c r="D18" s="1">
        <v>1</v>
      </c>
      <c r="E18" s="1">
        <v>0</v>
      </c>
      <c r="F18" s="30">
        <v>0</v>
      </c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>
        <v>9.9890000000000008</v>
      </c>
      <c r="S18" s="30"/>
      <c r="T18" s="19"/>
      <c r="U18" s="19">
        <v>1400</v>
      </c>
      <c r="V18" s="19"/>
      <c r="W18" s="19"/>
      <c r="X18" s="19"/>
      <c r="Y18" s="19"/>
      <c r="Z18" s="67">
        <f>Tabelle589711143136[[#This Row],[Stromverbrauch in TWh REF]]/Tabelle589711143136[[#This Row],[Vollbenutzungsstunden h/a]]*10^6</f>
        <v>1962.4754420432223</v>
      </c>
      <c r="AA18" s="67" t="str">
        <f>IF(AND(Tabelle589711143136[[#This Row],[Lastverschiebung]]=1,Tabelle589711143136[[#This Row],[Potenzial pos. min MW]]&lt;&gt;""),Tabelle589711143136[[#This Row],[Potenzial pos. min MW]],"")</f>
        <v/>
      </c>
      <c r="AB18" s="67">
        <f>IF(AND(Tabelle589711143136[[#This Row],[Lastverschiebung]]=1,Tabelle589711143136[[#This Row],[Potenzial pos. MW Durchschnitt]]&lt;&gt;""),Tabelle589711143136[[#This Row],[Potenzial pos. MW Durchschnitt]],"")</f>
        <v>1400</v>
      </c>
      <c r="AC18" s="67" t="str">
        <f>IF(AND(Tabelle589711143136[[#This Row],[Lastverschiebung]]=1,Tabelle589711143136[[#This Row],[Potenzial pos. max MW]]&lt;&gt;""),Tabelle589711143136[[#This Row],[Potenzial pos. max MW]],"")</f>
        <v/>
      </c>
      <c r="AD18" s="67"/>
      <c r="AE18" s="64"/>
      <c r="AF18" s="69">
        <v>0.71</v>
      </c>
      <c r="AG18" s="73">
        <v>5090</v>
      </c>
      <c r="AH18" s="69">
        <f>IF(Tabelle589711143136[[#This Row],[Vollbenutzungsstunden h/a]]&lt;&gt;"",Tabelle589711143136[[#This Row],[Vollbenutzungsstunden h/a]]/8760,"")</f>
        <v>0.58105022831050224</v>
      </c>
      <c r="AI18" s="68"/>
      <c r="AJ18" s="67"/>
      <c r="AK18" s="66">
        <v>1</v>
      </c>
      <c r="AL18" s="66"/>
      <c r="AM18" s="66">
        <v>1</v>
      </c>
      <c r="AN18" s="66">
        <v>1</v>
      </c>
      <c r="AO18" s="1" t="s">
        <v>889</v>
      </c>
      <c r="AP18" s="66">
        <f>8*7</f>
        <v>56</v>
      </c>
      <c r="AQ18" s="66"/>
      <c r="AR18" s="66"/>
      <c r="AS18" s="19">
        <v>40</v>
      </c>
      <c r="AT18" s="19">
        <v>1200</v>
      </c>
      <c r="AU18" s="70"/>
      <c r="AV18" s="70"/>
      <c r="AW18" s="70"/>
      <c r="AX18" s="70"/>
      <c r="AY18" s="70">
        <v>25</v>
      </c>
      <c r="AZ18" s="70">
        <v>90</v>
      </c>
      <c r="BA18" s="1">
        <v>0</v>
      </c>
      <c r="BB18" s="66"/>
      <c r="BC18" s="1" t="s">
        <v>911</v>
      </c>
      <c r="BD18" s="66">
        <v>23</v>
      </c>
      <c r="BE18" s="66">
        <v>23</v>
      </c>
      <c r="BF18" s="66"/>
      <c r="BG18" s="66"/>
      <c r="BH18" s="66"/>
      <c r="BI18" s="66">
        <v>197</v>
      </c>
      <c r="BJ18" s="66">
        <v>197</v>
      </c>
      <c r="BK18" s="35">
        <v>206</v>
      </c>
      <c r="BL18" s="71">
        <v>197</v>
      </c>
      <c r="BM18" s="71">
        <v>197</v>
      </c>
      <c r="BN18" s="71"/>
      <c r="BO18" s="71"/>
      <c r="BP18" s="30">
        <v>23</v>
      </c>
      <c r="BQ18" s="30">
        <v>23</v>
      </c>
      <c r="BR18" s="30">
        <v>23</v>
      </c>
      <c r="BS18" s="30">
        <v>23</v>
      </c>
      <c r="BT18" s="30">
        <v>30</v>
      </c>
      <c r="BU18" s="30">
        <v>30</v>
      </c>
      <c r="BV18" s="30">
        <v>30</v>
      </c>
      <c r="BW18" s="30">
        <v>117</v>
      </c>
      <c r="BX18" s="66"/>
    </row>
    <row r="19" spans="1:76" x14ac:dyDescent="0.25">
      <c r="A19" s="66" t="s">
        <v>391</v>
      </c>
      <c r="B19" s="66" t="s">
        <v>129</v>
      </c>
      <c r="C19" s="30">
        <v>2030</v>
      </c>
      <c r="D19" s="1">
        <v>1</v>
      </c>
      <c r="E19" s="1">
        <v>0</v>
      </c>
      <c r="F19" s="30">
        <v>0</v>
      </c>
      <c r="G19" s="30"/>
      <c r="H19" s="30"/>
      <c r="I19" s="30"/>
      <c r="J19" s="30"/>
      <c r="K19" s="30"/>
      <c r="L19" s="30"/>
      <c r="M19" s="30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67"/>
      <c r="AA19" s="67">
        <f>IF(AND(Tabelle589711143136[[#This Row],[Lastverschiebung]]=1,Tabelle589711143136[[#This Row],[Potenzial pos. min MW]]&lt;&gt;""),Tabelle589711143136[[#This Row],[Potenzial pos. min MW]],"")</f>
        <v>1331.4646110721792</v>
      </c>
      <c r="AB19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67">
        <f>IF(AND(Tabelle589711143136[[#This Row],[Lastverschiebung]]=1,Tabelle589711143136[[#This Row],[Potenzial pos. max MW]]&lt;&gt;""),Tabelle589711143136[[#This Row],[Potenzial pos. max MW]],"")</f>
        <v>1471.6187806587245</v>
      </c>
      <c r="AD19" s="67"/>
      <c r="AE19" s="64"/>
      <c r="AF19" s="69"/>
      <c r="AG19" s="73"/>
      <c r="AH19" s="69" t="str">
        <f>IF(Tabelle589711143136[[#This Row],[Vollbenutzungsstunden h/a]]&lt;&gt;"",Tabelle589711143136[[#This Row],[Vollbenutzungsstunden h/a]]/8760,"")</f>
        <v/>
      </c>
      <c r="AI19" s="68"/>
      <c r="AJ19" s="67"/>
      <c r="AK19" s="66">
        <v>1</v>
      </c>
      <c r="AL19" s="66"/>
      <c r="AM19" s="66"/>
      <c r="AN19" s="66">
        <v>1</v>
      </c>
      <c r="AO19" s="1"/>
      <c r="AP19" s="66">
        <f>8*7</f>
        <v>56</v>
      </c>
      <c r="AQ19" s="66"/>
      <c r="AR19" s="66"/>
      <c r="AS19" s="19"/>
      <c r="AT19" s="19"/>
      <c r="AU19" s="70"/>
      <c r="AV19" s="70"/>
      <c r="AW19" s="70"/>
      <c r="AX19" s="70"/>
      <c r="AY19" s="70"/>
      <c r="AZ19" s="70"/>
      <c r="BA19" s="1">
        <v>0</v>
      </c>
      <c r="BB19" s="66"/>
      <c r="BC19" s="1" t="s">
        <v>911</v>
      </c>
      <c r="BD19" s="66"/>
      <c r="BE19" s="66"/>
      <c r="BF19" s="66"/>
      <c r="BG19" s="66"/>
      <c r="BH19" s="66">
        <v>203</v>
      </c>
      <c r="BI19" s="66">
        <v>203</v>
      </c>
      <c r="BJ19" s="66"/>
      <c r="BK19" s="35">
        <v>206</v>
      </c>
      <c r="BL19" s="71"/>
      <c r="BM19" s="71"/>
      <c r="BN19" s="71"/>
      <c r="BO19" s="71"/>
      <c r="BP19" s="30"/>
      <c r="BQ19" s="30"/>
      <c r="BR19" s="30"/>
      <c r="BS19" s="30"/>
      <c r="BT19" s="30"/>
      <c r="BU19" s="30"/>
      <c r="BV19" s="30"/>
      <c r="BW19" s="30">
        <v>117</v>
      </c>
      <c r="BX19" s="66"/>
    </row>
    <row r="20" spans="1:76" x14ac:dyDescent="0.25">
      <c r="A20" s="66" t="s">
        <v>391</v>
      </c>
      <c r="B20" s="66" t="s">
        <v>129</v>
      </c>
      <c r="C20" s="30">
        <v>2050</v>
      </c>
      <c r="D20" s="1">
        <v>1</v>
      </c>
      <c r="E20" s="1">
        <v>0</v>
      </c>
      <c r="F20" s="30">
        <v>0</v>
      </c>
      <c r="G20" s="30"/>
      <c r="H20" s="30"/>
      <c r="I20" s="30"/>
      <c r="J20" s="30"/>
      <c r="K20" s="30"/>
      <c r="L20" s="30"/>
      <c r="M20" s="30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67"/>
      <c r="AA20" s="67">
        <f>IF(AND(Tabelle589711143136[[#This Row],[Lastverschiebung]]=1,Tabelle589711143136[[#This Row],[Potenzial pos. min MW]]&lt;&gt;""),Tabelle589711143136[[#This Row],[Potenzial pos. min MW]],"")</f>
        <v>1261.3875262789068</v>
      </c>
      <c r="AB20" s="67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67">
        <f>IF(AND(Tabelle589711143136[[#This Row],[Lastverschiebung]]=1,Tabelle589711143136[[#This Row],[Potenzial pos. max MW]]&lt;&gt;""),Tabelle589711143136[[#This Row],[Potenzial pos. max MW]],"")</f>
        <v>1541.6958654519972</v>
      </c>
      <c r="AD20" s="67"/>
      <c r="AE20" s="64"/>
      <c r="AF20" s="69"/>
      <c r="AG20" s="73"/>
      <c r="AH20" s="69" t="str">
        <f>IF(Tabelle589711143136[[#This Row],[Vollbenutzungsstunden h/a]]&lt;&gt;"",Tabelle589711143136[[#This Row],[Vollbenutzungsstunden h/a]]/8760,"")</f>
        <v/>
      </c>
      <c r="AI20" s="68"/>
      <c r="AJ20" s="67"/>
      <c r="AK20" s="66">
        <v>1</v>
      </c>
      <c r="AL20" s="66"/>
      <c r="AM20" s="66"/>
      <c r="AN20" s="66">
        <v>1</v>
      </c>
      <c r="AO20" s="1"/>
      <c r="AP20" s="66">
        <f>8*7</f>
        <v>56</v>
      </c>
      <c r="AQ20" s="66"/>
      <c r="AR20" s="66"/>
      <c r="AS20" s="19"/>
      <c r="AT20" s="19"/>
      <c r="AU20" s="70"/>
      <c r="AV20" s="70"/>
      <c r="AW20" s="70"/>
      <c r="AX20" s="70"/>
      <c r="AY20" s="70"/>
      <c r="AZ20" s="70"/>
      <c r="BA20" s="1">
        <v>0</v>
      </c>
      <c r="BB20" s="66"/>
      <c r="BC20" s="1" t="s">
        <v>911</v>
      </c>
      <c r="BD20" s="66"/>
      <c r="BE20" s="66"/>
      <c r="BF20" s="66"/>
      <c r="BG20" s="66"/>
      <c r="BH20" s="66">
        <v>203</v>
      </c>
      <c r="BI20" s="66">
        <v>203</v>
      </c>
      <c r="BJ20" s="66"/>
      <c r="BK20" s="35">
        <v>206</v>
      </c>
      <c r="BL20" s="71"/>
      <c r="BM20" s="71"/>
      <c r="BN20" s="71"/>
      <c r="BO20" s="71"/>
      <c r="BP20" s="30"/>
      <c r="BQ20" s="30"/>
      <c r="BR20" s="30"/>
      <c r="BS20" s="30"/>
      <c r="BT20" s="30"/>
      <c r="BU20" s="30"/>
      <c r="BV20" s="30"/>
      <c r="BW20" s="30">
        <v>117</v>
      </c>
      <c r="BX20" s="66"/>
    </row>
    <row r="21" spans="1:76" x14ac:dyDescent="0.25">
      <c r="A21" s="66" t="s">
        <v>137</v>
      </c>
      <c r="B21" s="66" t="s">
        <v>141</v>
      </c>
      <c r="C21" s="30">
        <v>2013</v>
      </c>
      <c r="D21" s="1">
        <v>1</v>
      </c>
      <c r="E21" s="1">
        <v>0</v>
      </c>
      <c r="F21" s="30">
        <v>0</v>
      </c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>
        <v>18.89</v>
      </c>
      <c r="S21" s="30"/>
      <c r="T21" s="19"/>
      <c r="U21" s="19">
        <v>3400</v>
      </c>
      <c r="V21" s="19"/>
      <c r="W21" s="19"/>
      <c r="X21" s="19"/>
      <c r="Y21" s="19"/>
      <c r="Z21" s="67">
        <f>Tabelle589711143136[[#This Row],[Stromverbrauch in TWh REF]]/Tabelle589711143136[[#This Row],[Vollbenutzungsstunden h/a]]*10^6</f>
        <v>12187.096774193549</v>
      </c>
      <c r="AA21" s="67" t="str">
        <f>IF(AND(Tabelle589711143136[[#This Row],[Lastverschiebung]]=1,Tabelle589711143136[[#This Row],[Potenzial pos. min MW]]&lt;&gt;""),Tabelle589711143136[[#This Row],[Potenzial pos. min MW]],"")</f>
        <v/>
      </c>
      <c r="AB21" s="67">
        <f>IF(AND(Tabelle589711143136[[#This Row],[Lastverschiebung]]=1,Tabelle589711143136[[#This Row],[Potenzial pos. MW Durchschnitt]]&lt;&gt;""),Tabelle589711143136[[#This Row],[Potenzial pos. MW Durchschnitt]],"")</f>
        <v>3400</v>
      </c>
      <c r="AC21" s="67" t="str">
        <f>IF(AND(Tabelle589711143136[[#This Row],[Lastverschiebung]]=1,Tabelle589711143136[[#This Row],[Potenzial pos. max MW]]&lt;&gt;""),Tabelle589711143136[[#This Row],[Potenzial pos. max MW]],"")</f>
        <v/>
      </c>
      <c r="AD21" s="67"/>
      <c r="AE21" s="64"/>
      <c r="AF21" s="69">
        <v>0.25</v>
      </c>
      <c r="AG21" s="73">
        <v>1550</v>
      </c>
      <c r="AH21" s="69">
        <f>IF(Tabelle589711143136[[#This Row],[Vollbenutzungsstunden h/a]]&lt;&gt;"",Tabelle589711143136[[#This Row],[Vollbenutzungsstunden h/a]]/8760,"")</f>
        <v>0.1769406392694064</v>
      </c>
      <c r="AI21" s="68"/>
      <c r="AJ21" s="67"/>
      <c r="AK21" s="66">
        <v>12</v>
      </c>
      <c r="AL21" s="66"/>
      <c r="AM21" s="66">
        <v>12</v>
      </c>
      <c r="AN21" s="66">
        <v>12</v>
      </c>
      <c r="AO21" s="1" t="s">
        <v>888</v>
      </c>
      <c r="AP21" s="66">
        <f t="shared" ref="AP21:AP26" si="0">12*7</f>
        <v>84</v>
      </c>
      <c r="AQ21" s="66"/>
      <c r="AR21" s="66"/>
      <c r="AS21" s="19">
        <v>40</v>
      </c>
      <c r="AT21" s="19">
        <v>1200</v>
      </c>
      <c r="AU21" s="70"/>
      <c r="AV21" s="70"/>
      <c r="AW21" s="70"/>
      <c r="AX21" s="70"/>
      <c r="AY21" s="70">
        <v>25</v>
      </c>
      <c r="AZ21" s="70">
        <v>90</v>
      </c>
      <c r="BA21" s="1">
        <v>0</v>
      </c>
      <c r="BB21" s="1" t="s">
        <v>913</v>
      </c>
      <c r="BC21" s="1" t="s">
        <v>911</v>
      </c>
      <c r="BD21" s="66">
        <v>23</v>
      </c>
      <c r="BE21" s="66">
        <v>23</v>
      </c>
      <c r="BF21" s="66"/>
      <c r="BG21" s="66"/>
      <c r="BH21" s="66"/>
      <c r="BI21" s="1" t="s">
        <v>896</v>
      </c>
      <c r="BJ21" s="66">
        <v>197</v>
      </c>
      <c r="BK21" s="35">
        <v>206</v>
      </c>
      <c r="BL21" s="1" t="s">
        <v>896</v>
      </c>
      <c r="BM21" s="1" t="s">
        <v>896</v>
      </c>
      <c r="BN21" s="71"/>
      <c r="BO21" s="71"/>
      <c r="BP21" s="30">
        <v>23</v>
      </c>
      <c r="BQ21" s="30">
        <v>23</v>
      </c>
      <c r="BR21" s="30">
        <v>23</v>
      </c>
      <c r="BS21" s="30">
        <v>23</v>
      </c>
      <c r="BT21" s="30">
        <v>30</v>
      </c>
      <c r="BU21" s="30">
        <v>30</v>
      </c>
      <c r="BV21" s="30">
        <v>30</v>
      </c>
      <c r="BW21" s="30">
        <v>117</v>
      </c>
      <c r="BX21" s="66">
        <v>204</v>
      </c>
    </row>
    <row r="22" spans="1:76" x14ac:dyDescent="0.25">
      <c r="A22" s="66" t="s">
        <v>137</v>
      </c>
      <c r="B22" s="66" t="s">
        <v>141</v>
      </c>
      <c r="C22" s="30">
        <v>2030</v>
      </c>
      <c r="D22" s="1">
        <v>1</v>
      </c>
      <c r="E22" s="1">
        <v>0</v>
      </c>
      <c r="F22" s="30">
        <v>0</v>
      </c>
      <c r="G22" s="30"/>
      <c r="H22" s="30"/>
      <c r="I22" s="30"/>
      <c r="J22" s="30"/>
      <c r="K22" s="30"/>
      <c r="L22" s="30"/>
      <c r="M22" s="30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67"/>
      <c r="AA22" s="67">
        <f>IF(AND(Tabelle589711143136[[#This Row],[Lastverschiebung]]=1,Tabelle589711143136[[#This Row],[Potenzial pos. min MW]]&lt;&gt;""),Tabelle589711143136[[#This Row],[Potenzial pos. min MW]],"")</f>
        <v>2550.4499735309687</v>
      </c>
      <c r="AB22" s="67">
        <f>IF(AND(Tabelle589711143136[[#This Row],[Lastverschiebung]]=1,Tabelle589711143136[[#This Row],[Potenzial pos. MW Durchschnitt]]&lt;&gt;""),Tabelle589711143136[[#This Row],[Potenzial pos. MW Durchschnitt]],"")</f>
        <v>3400</v>
      </c>
      <c r="AC22" s="67">
        <f>IF(AND(Tabelle589711143136[[#This Row],[Lastverschiebung]]=1,Tabelle589711143136[[#This Row],[Potenzial pos. max MW]]&lt;&gt;""),Tabelle589711143136[[#This Row],[Potenzial pos. max MW]],"")</f>
        <v>2991.4240338803597</v>
      </c>
      <c r="AD22" s="67"/>
      <c r="AE22" s="64"/>
      <c r="AF22" s="69"/>
      <c r="AG22" s="73"/>
      <c r="AH22" s="69" t="str">
        <f>IF(Tabelle589711143136[[#This Row],[Vollbenutzungsstunden h/a]]&lt;&gt;"",Tabelle589711143136[[#This Row],[Vollbenutzungsstunden h/a]]/8760,"")</f>
        <v/>
      </c>
      <c r="AI22" s="68"/>
      <c r="AJ22" s="67"/>
      <c r="AK22" s="66">
        <v>12</v>
      </c>
      <c r="AL22" s="66"/>
      <c r="AM22" s="66"/>
      <c r="AN22" s="66">
        <v>12</v>
      </c>
      <c r="AO22" s="1"/>
      <c r="AP22" s="66">
        <f t="shared" si="0"/>
        <v>84</v>
      </c>
      <c r="AQ22" s="66"/>
      <c r="AR22" s="66"/>
      <c r="AS22" s="19"/>
      <c r="AT22" s="19"/>
      <c r="AU22" s="70"/>
      <c r="AV22" s="70"/>
      <c r="AW22" s="70"/>
      <c r="AX22" s="70"/>
      <c r="AY22" s="70"/>
      <c r="AZ22" s="70"/>
      <c r="BA22" s="1">
        <v>0</v>
      </c>
      <c r="BB22" s="1" t="s">
        <v>913</v>
      </c>
      <c r="BC22" s="1" t="s">
        <v>911</v>
      </c>
      <c r="BD22" s="66"/>
      <c r="BE22" s="66"/>
      <c r="BF22" s="66"/>
      <c r="BG22" s="66"/>
      <c r="BH22" s="66">
        <v>203</v>
      </c>
      <c r="BI22" s="66">
        <v>203</v>
      </c>
      <c r="BJ22" s="66"/>
      <c r="BK22" s="35">
        <v>206</v>
      </c>
      <c r="BL22" s="1"/>
      <c r="BM22" s="1"/>
      <c r="BN22" s="71"/>
      <c r="BO22" s="71"/>
      <c r="BP22" s="30"/>
      <c r="BQ22" s="30"/>
      <c r="BR22" s="30"/>
      <c r="BS22" s="30"/>
      <c r="BT22" s="30"/>
      <c r="BU22" s="30"/>
      <c r="BV22" s="30"/>
      <c r="BW22" s="30">
        <v>117</v>
      </c>
      <c r="BX22" s="66">
        <v>204</v>
      </c>
    </row>
    <row r="23" spans="1:76" x14ac:dyDescent="0.25">
      <c r="A23" s="66" t="s">
        <v>137</v>
      </c>
      <c r="B23" s="66" t="s">
        <v>141</v>
      </c>
      <c r="C23" s="30">
        <v>2050</v>
      </c>
      <c r="D23" s="1">
        <v>1</v>
      </c>
      <c r="E23" s="1">
        <v>0</v>
      </c>
      <c r="F23" s="30">
        <v>0</v>
      </c>
      <c r="G23" s="30"/>
      <c r="H23" s="30"/>
      <c r="I23" s="30"/>
      <c r="J23" s="30"/>
      <c r="K23" s="30"/>
      <c r="L23" s="30"/>
      <c r="M23" s="30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67"/>
      <c r="AA23" s="67">
        <f>IF(AND(Tabelle589711143136[[#This Row],[Lastverschiebung]]=1,Tabelle589711143136[[#This Row],[Potenzial pos. min MW]]&lt;&gt;""),Tabelle589711143136[[#This Row],[Potenzial pos. min MW]],"")</f>
        <v>1699.1000529380624</v>
      </c>
      <c r="AB23" s="67">
        <f>IF(AND(Tabelle589711143136[[#This Row],[Lastverschiebung]]=1,Tabelle589711143136[[#This Row],[Potenzial pos. MW Durchschnitt]]&lt;&gt;""),Tabelle589711143136[[#This Row],[Potenzial pos. MW Durchschnitt]],"")</f>
        <v>3400</v>
      </c>
      <c r="AC23" s="67">
        <f>IF(AND(Tabelle589711143136[[#This Row],[Lastverschiebung]]=1,Tabelle589711143136[[#This Row],[Potenzial pos. max MW]]&lt;&gt;""),Tabelle589711143136[[#This Row],[Potenzial pos. max MW]],"")</f>
        <v>2550.4499735309687</v>
      </c>
      <c r="AD23" s="67"/>
      <c r="AE23" s="64"/>
      <c r="AF23" s="69"/>
      <c r="AG23" s="73"/>
      <c r="AH23" s="69" t="str">
        <f>IF(Tabelle589711143136[[#This Row],[Vollbenutzungsstunden h/a]]&lt;&gt;"",Tabelle589711143136[[#This Row],[Vollbenutzungsstunden h/a]]/8760,"")</f>
        <v/>
      </c>
      <c r="AI23" s="68"/>
      <c r="AJ23" s="67"/>
      <c r="AK23" s="66">
        <v>12</v>
      </c>
      <c r="AL23" s="66"/>
      <c r="AM23" s="66"/>
      <c r="AN23" s="66">
        <v>12</v>
      </c>
      <c r="AO23" s="1"/>
      <c r="AP23" s="66">
        <f t="shared" si="0"/>
        <v>84</v>
      </c>
      <c r="AQ23" s="66"/>
      <c r="AR23" s="66"/>
      <c r="AS23" s="19"/>
      <c r="AT23" s="19"/>
      <c r="AU23" s="70"/>
      <c r="AV23" s="70"/>
      <c r="AW23" s="70"/>
      <c r="AX23" s="70"/>
      <c r="AY23" s="70"/>
      <c r="AZ23" s="70"/>
      <c r="BA23" s="1">
        <v>0</v>
      </c>
      <c r="BB23" s="1" t="s">
        <v>913</v>
      </c>
      <c r="BC23" s="1" t="s">
        <v>911</v>
      </c>
      <c r="BD23" s="66"/>
      <c r="BE23" s="66"/>
      <c r="BF23" s="66"/>
      <c r="BG23" s="66"/>
      <c r="BH23" s="66">
        <v>203</v>
      </c>
      <c r="BI23" s="66">
        <v>203</v>
      </c>
      <c r="BJ23" s="66"/>
      <c r="BK23" s="35">
        <v>206</v>
      </c>
      <c r="BL23" s="1"/>
      <c r="BM23" s="1"/>
      <c r="BN23" s="71"/>
      <c r="BO23" s="71"/>
      <c r="BP23" s="30"/>
      <c r="BQ23" s="30"/>
      <c r="BR23" s="30"/>
      <c r="BS23" s="30"/>
      <c r="BT23" s="30"/>
      <c r="BU23" s="30"/>
      <c r="BV23" s="30"/>
      <c r="BW23" s="30">
        <v>117</v>
      </c>
      <c r="BX23" s="66">
        <v>204</v>
      </c>
    </row>
    <row r="24" spans="1:76" x14ac:dyDescent="0.25">
      <c r="A24" s="66" t="s">
        <v>139</v>
      </c>
      <c r="B24" s="66" t="s">
        <v>884</v>
      </c>
      <c r="C24" s="30">
        <v>2013</v>
      </c>
      <c r="D24" s="1">
        <v>1</v>
      </c>
      <c r="E24" s="1">
        <v>0</v>
      </c>
      <c r="F24" s="30">
        <v>0</v>
      </c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>
        <v>13.2</v>
      </c>
      <c r="S24" s="30"/>
      <c r="T24" s="19"/>
      <c r="U24" s="19">
        <v>11000</v>
      </c>
      <c r="V24" s="19"/>
      <c r="W24" s="19"/>
      <c r="X24" s="19"/>
      <c r="Y24" s="19"/>
      <c r="Z24" s="67">
        <f>Tabelle589711143136[[#This Row],[Stromverbrauch in TWh REF]]/Tabelle589711143136[[#This Row],[Vollbenutzungsstunden h/a]]*10^6</f>
        <v>11000</v>
      </c>
      <c r="AA24" s="67" t="str">
        <f>IF(AND(Tabelle589711143136[[#This Row],[Lastverschiebung]]=1,Tabelle589711143136[[#This Row],[Potenzial pos. min MW]]&lt;&gt;""),Tabelle589711143136[[#This Row],[Potenzial pos. min MW]],"")</f>
        <v/>
      </c>
      <c r="AB24" s="67">
        <f>IF(AND(Tabelle589711143136[[#This Row],[Lastverschiebung]]=1,Tabelle589711143136[[#This Row],[Potenzial pos. MW Durchschnitt]]&lt;&gt;""),Tabelle589711143136[[#This Row],[Potenzial pos. MW Durchschnitt]],"")</f>
        <v>11000</v>
      </c>
      <c r="AC24" s="67" t="str">
        <f>IF(AND(Tabelle589711143136[[#This Row],[Lastverschiebung]]=1,Tabelle589711143136[[#This Row],[Potenzial pos. max MW]]&lt;&gt;""),Tabelle589711143136[[#This Row],[Potenzial pos. max MW]],"")</f>
        <v/>
      </c>
      <c r="AD24" s="67"/>
      <c r="AE24" s="64">
        <f>1-Tabelle589711143136[[#This Row],[flexibilisierbarer Anteil]]</f>
        <v>0</v>
      </c>
      <c r="AF24" s="69">
        <v>1</v>
      </c>
      <c r="AG24" s="73">
        <v>1200</v>
      </c>
      <c r="AH24" s="69">
        <f>IF(Tabelle589711143136[[#This Row],[Vollbenutzungsstunden h/a]]&lt;&gt;"",Tabelle589711143136[[#This Row],[Vollbenutzungsstunden h/a]]/8760,"")</f>
        <v>0.13698630136986301</v>
      </c>
      <c r="AI24" s="68"/>
      <c r="AJ24" s="67"/>
      <c r="AK24" s="66">
        <v>12</v>
      </c>
      <c r="AL24" s="66"/>
      <c r="AM24" s="66">
        <v>12</v>
      </c>
      <c r="AN24" s="66">
        <v>12</v>
      </c>
      <c r="AO24" s="1" t="s">
        <v>890</v>
      </c>
      <c r="AP24" s="66">
        <f t="shared" si="0"/>
        <v>84</v>
      </c>
      <c r="AQ24" s="66"/>
      <c r="AR24" s="66"/>
      <c r="AS24" s="19">
        <v>40</v>
      </c>
      <c r="AT24" s="19">
        <v>1200</v>
      </c>
      <c r="AU24" s="70"/>
      <c r="AV24" s="70"/>
      <c r="AW24" s="70"/>
      <c r="AX24" s="70"/>
      <c r="AY24" s="70">
        <v>25</v>
      </c>
      <c r="AZ24" s="70">
        <v>90</v>
      </c>
      <c r="BA24" s="1">
        <v>0</v>
      </c>
      <c r="BB24" s="1" t="s">
        <v>915</v>
      </c>
      <c r="BC24" s="1" t="s">
        <v>911</v>
      </c>
      <c r="BD24" s="66">
        <v>23</v>
      </c>
      <c r="BE24" s="66">
        <v>23</v>
      </c>
      <c r="BF24" s="66"/>
      <c r="BG24" s="66"/>
      <c r="BH24" s="66"/>
      <c r="BI24" s="1" t="s">
        <v>897</v>
      </c>
      <c r="BJ24" s="66">
        <v>197</v>
      </c>
      <c r="BK24" s="35">
        <v>206</v>
      </c>
      <c r="BL24" s="71">
        <v>197</v>
      </c>
      <c r="BM24" s="71">
        <v>197</v>
      </c>
      <c r="BN24" s="71"/>
      <c r="BO24" s="71"/>
      <c r="BP24" s="30">
        <v>23</v>
      </c>
      <c r="BQ24" s="30">
        <v>23</v>
      </c>
      <c r="BR24" s="30">
        <v>23</v>
      </c>
      <c r="BS24" s="30">
        <v>23</v>
      </c>
      <c r="BT24" s="30">
        <v>30</v>
      </c>
      <c r="BU24" s="30">
        <v>30</v>
      </c>
      <c r="BV24" s="30">
        <v>30</v>
      </c>
      <c r="BW24" s="30">
        <v>117</v>
      </c>
      <c r="BX24" s="66">
        <v>66</v>
      </c>
    </row>
    <row r="25" spans="1:76" x14ac:dyDescent="0.25">
      <c r="A25" s="66" t="s">
        <v>139</v>
      </c>
      <c r="B25" s="66" t="s">
        <v>884</v>
      </c>
      <c r="C25" s="30">
        <v>2030</v>
      </c>
      <c r="D25" s="1">
        <v>1</v>
      </c>
      <c r="E25" s="1">
        <v>0</v>
      </c>
      <c r="F25" s="30">
        <v>0</v>
      </c>
      <c r="G25" s="30"/>
      <c r="H25" s="30"/>
      <c r="I25" s="30"/>
      <c r="J25" s="30"/>
      <c r="K25">
        <v>0</v>
      </c>
      <c r="L25">
        <v>206</v>
      </c>
      <c r="M25">
        <v>286</v>
      </c>
      <c r="N25" s="30"/>
      <c r="O25" s="30"/>
      <c r="P25" s="30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67"/>
      <c r="AA25" s="67">
        <f>IF(AND(Tabelle589711143136[[#This Row],[Lastverschiebung]]=1,Tabelle589711143136[[#This Row],[Potenzial pos. min MW]]&lt;&gt;""),Tabelle589711143136[[#This Row],[Potenzial pos. min MW]],"")</f>
        <v>0</v>
      </c>
      <c r="AB25" s="67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67">
        <f>IF(AND(Tabelle589711143136[[#This Row],[Lastverschiebung]]=1,Tabelle589711143136[[#This Row],[Potenzial pos. max MW]]&lt;&gt;""),Tabelle589711143136[[#This Row],[Potenzial pos. max MW]],"")</f>
        <v>5075</v>
      </c>
      <c r="AD25" s="67"/>
      <c r="AE25" s="64"/>
      <c r="AF25" s="69"/>
      <c r="AG25" s="73"/>
      <c r="AH25" s="69" t="str">
        <f>IF(Tabelle589711143136[[#This Row],[Vollbenutzungsstunden h/a]]&lt;&gt;"",Tabelle589711143136[[#This Row],[Vollbenutzungsstunden h/a]]/8760,"")</f>
        <v/>
      </c>
      <c r="AI25" s="68"/>
      <c r="AJ25" s="67"/>
      <c r="AK25" s="66">
        <v>12</v>
      </c>
      <c r="AL25" s="66"/>
      <c r="AM25" s="66"/>
      <c r="AN25" s="66">
        <v>12</v>
      </c>
      <c r="AO25" s="1"/>
      <c r="AP25" s="66">
        <f t="shared" si="0"/>
        <v>84</v>
      </c>
      <c r="AQ25" s="66"/>
      <c r="AR25" s="66"/>
      <c r="AS25" s="19"/>
      <c r="AT25" s="19"/>
      <c r="AU25" s="70"/>
      <c r="AV25" s="70"/>
      <c r="AW25" s="70"/>
      <c r="AX25" s="70"/>
      <c r="AY25" s="70"/>
      <c r="AZ25" s="70"/>
      <c r="BA25" s="1">
        <v>0</v>
      </c>
      <c r="BB25" s="66"/>
      <c r="BC25" s="1" t="s">
        <v>911</v>
      </c>
      <c r="BD25" s="66"/>
      <c r="BE25" s="66"/>
      <c r="BF25" s="66"/>
      <c r="BG25" s="66">
        <v>203</v>
      </c>
      <c r="BH25" s="66"/>
      <c r="BI25" s="66">
        <v>203</v>
      </c>
      <c r="BJ25" s="66"/>
      <c r="BK25" s="35">
        <v>206</v>
      </c>
      <c r="BL25" s="71"/>
      <c r="BM25" s="71"/>
      <c r="BN25" s="71"/>
      <c r="BO25" s="71"/>
      <c r="BP25" s="30"/>
      <c r="BQ25" s="30"/>
      <c r="BR25" s="30"/>
      <c r="BS25" s="30"/>
      <c r="BT25" s="30"/>
      <c r="BU25" s="30"/>
      <c r="BV25" s="30"/>
      <c r="BW25" s="30">
        <v>117</v>
      </c>
      <c r="BX25" s="66"/>
    </row>
    <row r="26" spans="1:76" x14ac:dyDescent="0.25">
      <c r="A26" s="66" t="s">
        <v>139</v>
      </c>
      <c r="B26" s="66" t="s">
        <v>884</v>
      </c>
      <c r="C26" s="30">
        <v>2050</v>
      </c>
      <c r="D26" s="1">
        <v>1</v>
      </c>
      <c r="E26" s="1">
        <v>0</v>
      </c>
      <c r="F26" s="30">
        <v>0</v>
      </c>
      <c r="G26" s="30"/>
      <c r="H26" s="30"/>
      <c r="I26" s="30"/>
      <c r="J26" s="30"/>
      <c r="K26">
        <v>0</v>
      </c>
      <c r="L26">
        <v>0</v>
      </c>
      <c r="M26">
        <v>0</v>
      </c>
      <c r="N26" s="30"/>
      <c r="O26" s="30"/>
      <c r="P26" s="30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67"/>
      <c r="AA26" s="67">
        <f>IF(AND(Tabelle589711143136[[#This Row],[Lastverschiebung]]=1,Tabelle589711143136[[#This Row],[Potenzial pos. min MW]]&lt;&gt;""),Tabelle589711143136[[#This Row],[Potenzial pos. min MW]],"")</f>
        <v>0</v>
      </c>
      <c r="AB26" s="67">
        <f>IF(AND(Tabelle589711143136[[#This Row],[Lastverschiebung]]=1,Tabelle589711143136[[#This Row],[Potenzial pos. MW Durchschnitt]]&lt;&gt;""),Tabelle589711143136[[#This Row],[Potenzial pos. MW Durchschnitt]],"")</f>
        <v>0</v>
      </c>
      <c r="AC26" s="67">
        <f>IF(AND(Tabelle589711143136[[#This Row],[Lastverschiebung]]=1,Tabelle589711143136[[#This Row],[Potenzial pos. max MW]]&lt;&gt;""),Tabelle589711143136[[#This Row],[Potenzial pos. max MW]],"")</f>
        <v>0</v>
      </c>
      <c r="AD26" s="67"/>
      <c r="AE26" s="64"/>
      <c r="AF26" s="69"/>
      <c r="AG26" s="73"/>
      <c r="AH26" s="69" t="str">
        <f>IF(Tabelle589711143136[[#This Row],[Vollbenutzungsstunden h/a]]&lt;&gt;"",Tabelle589711143136[[#This Row],[Vollbenutzungsstunden h/a]]/8760,"")</f>
        <v/>
      </c>
      <c r="AI26" s="68"/>
      <c r="AJ26" s="67"/>
      <c r="AK26" s="66">
        <v>12</v>
      </c>
      <c r="AL26" s="66"/>
      <c r="AM26" s="66"/>
      <c r="AN26" s="66">
        <v>12</v>
      </c>
      <c r="AO26" s="1"/>
      <c r="AP26" s="66">
        <f t="shared" si="0"/>
        <v>84</v>
      </c>
      <c r="AQ26" s="66"/>
      <c r="AR26" s="66"/>
      <c r="AS26" s="19"/>
      <c r="AT26" s="19"/>
      <c r="AU26" s="70"/>
      <c r="AV26" s="70"/>
      <c r="AW26" s="70"/>
      <c r="AX26" s="70"/>
      <c r="AY26" s="70"/>
      <c r="AZ26" s="70"/>
      <c r="BA26" s="1">
        <v>0</v>
      </c>
      <c r="BB26" s="66"/>
      <c r="BC26" s="1" t="s">
        <v>911</v>
      </c>
      <c r="BD26" s="66"/>
      <c r="BE26" s="66"/>
      <c r="BF26" s="66"/>
      <c r="BG26" s="66">
        <v>203</v>
      </c>
      <c r="BH26" s="66"/>
      <c r="BI26" s="66">
        <v>203</v>
      </c>
      <c r="BJ26" s="66"/>
      <c r="BK26" s="35">
        <v>206</v>
      </c>
      <c r="BL26" s="71"/>
      <c r="BM26" s="71"/>
      <c r="BN26" s="71"/>
      <c r="BO26" s="71"/>
      <c r="BP26" s="30"/>
      <c r="BQ26" s="30"/>
      <c r="BR26" s="30"/>
      <c r="BS26" s="30"/>
      <c r="BT26" s="30"/>
      <c r="BU26" s="30"/>
      <c r="BV26" s="30"/>
      <c r="BW26" s="30">
        <v>117</v>
      </c>
      <c r="BX26" s="66"/>
    </row>
    <row r="27" spans="1:76" x14ac:dyDescent="0.25">
      <c r="A27" s="66" t="s">
        <v>210</v>
      </c>
      <c r="B27" s="66" t="s">
        <v>129</v>
      </c>
      <c r="C27" s="30">
        <v>2013</v>
      </c>
      <c r="D27" s="1">
        <v>1</v>
      </c>
      <c r="E27" s="1">
        <v>0</v>
      </c>
      <c r="F27" s="30">
        <v>0</v>
      </c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>
        <v>7.577</v>
      </c>
      <c r="S27" s="30"/>
      <c r="T27" s="19"/>
      <c r="U27" s="19">
        <v>870</v>
      </c>
      <c r="V27" s="19"/>
      <c r="W27" s="19"/>
      <c r="X27" s="19"/>
      <c r="Y27" s="19"/>
      <c r="Z27" s="67">
        <f>Tabelle589711143136[[#This Row],[Stromverbrauch in TWh REF]]/Tabelle589711143136[[#This Row],[Vollbenutzungsstunden h/a]]*10^6</f>
        <v>1722.0454545454545</v>
      </c>
      <c r="AA27" s="67" t="str">
        <f>IF(AND(Tabelle589711143136[[#This Row],[Lastverschiebung]]=1,Tabelle589711143136[[#This Row],[Potenzial pos. min MW]]&lt;&gt;""),Tabelle589711143136[[#This Row],[Potenzial pos. min MW]],"")</f>
        <v/>
      </c>
      <c r="AB27" s="67">
        <f>IF(AND(Tabelle589711143136[[#This Row],[Lastverschiebung]]=1,Tabelle589711143136[[#This Row],[Potenzial pos. MW Durchschnitt]]&lt;&gt;""),Tabelle589711143136[[#This Row],[Potenzial pos. MW Durchschnitt]],"")</f>
        <v>870</v>
      </c>
      <c r="AC27" s="67" t="str">
        <f>IF(AND(Tabelle589711143136[[#This Row],[Lastverschiebung]]=1,Tabelle589711143136[[#This Row],[Potenzial pos. max MW]]&lt;&gt;""),Tabelle589711143136[[#This Row],[Potenzial pos. max MW]],"")</f>
        <v/>
      </c>
      <c r="AD27" s="67"/>
      <c r="AE27" s="64"/>
      <c r="AF27" s="69">
        <v>0.5</v>
      </c>
      <c r="AG27" s="73">
        <v>4400</v>
      </c>
      <c r="AH27" s="69">
        <f>IF(Tabelle589711143136[[#This Row],[Vollbenutzungsstunden h/a]]&lt;&gt;"",Tabelle589711143136[[#This Row],[Vollbenutzungsstunden h/a]]/8760,"")</f>
        <v>0.50228310502283102</v>
      </c>
      <c r="AI27" s="68"/>
      <c r="AJ27" s="67"/>
      <c r="AK27" s="66">
        <v>1</v>
      </c>
      <c r="AL27" s="66"/>
      <c r="AM27" s="66">
        <v>1</v>
      </c>
      <c r="AN27" s="66">
        <v>1</v>
      </c>
      <c r="AO27" s="1" t="s">
        <v>890</v>
      </c>
      <c r="AP27" s="66">
        <f t="shared" ref="AP27:AP32" si="1">8*7</f>
        <v>56</v>
      </c>
      <c r="AQ27" s="66"/>
      <c r="AR27" s="66"/>
      <c r="AS27" s="19">
        <v>40</v>
      </c>
      <c r="AT27" s="19">
        <v>1200</v>
      </c>
      <c r="AU27" s="70"/>
      <c r="AV27" s="70"/>
      <c r="AW27" s="70"/>
      <c r="AX27" s="70"/>
      <c r="AY27" s="70">
        <v>25</v>
      </c>
      <c r="AZ27" s="70">
        <v>90</v>
      </c>
      <c r="BA27" s="1">
        <v>0</v>
      </c>
      <c r="BB27" s="66"/>
      <c r="BC27" s="1" t="s">
        <v>911</v>
      </c>
      <c r="BD27" s="66">
        <v>23</v>
      </c>
      <c r="BE27" s="66">
        <v>23</v>
      </c>
      <c r="BF27" s="66"/>
      <c r="BG27" s="66"/>
      <c r="BH27" s="66"/>
      <c r="BI27" s="1" t="s">
        <v>898</v>
      </c>
      <c r="BJ27" s="66">
        <v>197</v>
      </c>
      <c r="BK27" s="35">
        <v>206</v>
      </c>
      <c r="BL27" s="71">
        <v>197</v>
      </c>
      <c r="BM27" s="71">
        <v>197</v>
      </c>
      <c r="BN27" s="71"/>
      <c r="BO27" s="71"/>
      <c r="BP27" s="30">
        <v>23</v>
      </c>
      <c r="BQ27" s="30">
        <v>23</v>
      </c>
      <c r="BR27" s="30">
        <v>23</v>
      </c>
      <c r="BS27" s="30">
        <v>23</v>
      </c>
      <c r="BT27" s="30">
        <v>30</v>
      </c>
      <c r="BU27" s="30">
        <v>30</v>
      </c>
      <c r="BV27" s="30">
        <v>30</v>
      </c>
      <c r="BW27" s="30">
        <v>117</v>
      </c>
      <c r="BX27" s="66"/>
    </row>
    <row r="28" spans="1:76" x14ac:dyDescent="0.25">
      <c r="A28" s="66" t="s">
        <v>210</v>
      </c>
      <c r="B28" s="66" t="s">
        <v>129</v>
      </c>
      <c r="C28" s="30">
        <v>2030</v>
      </c>
      <c r="D28" s="1">
        <v>1</v>
      </c>
      <c r="E28" s="1">
        <v>0</v>
      </c>
      <c r="F28" s="30">
        <v>0</v>
      </c>
      <c r="G28" s="30"/>
      <c r="H28" s="30"/>
      <c r="I28" s="30"/>
      <c r="J28" s="30"/>
      <c r="K28" s="30"/>
      <c r="L28" s="30"/>
      <c r="M28" s="30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67"/>
      <c r="AA28" s="67">
        <f>IF(AND(Tabelle589711143136[[#This Row],[Lastverschiebung]]=1,Tabelle589711143136[[#This Row],[Potenzial pos. min MW]]&lt;&gt;""),Tabelle589711143136[[#This Row],[Potenzial pos. min MW]],"")</f>
        <v>870.34446350798476</v>
      </c>
      <c r="AB28" s="67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67">
        <f>IF(AND(Tabelle589711143136[[#This Row],[Lastverschiebung]]=1,Tabelle589711143136[[#This Row],[Potenzial pos. max MW]]&lt;&gt;""),Tabelle589711143136[[#This Row],[Potenzial pos. max MW]],"")</f>
        <v>1305.516695261977</v>
      </c>
      <c r="AD28" s="67"/>
      <c r="AE28" s="64"/>
      <c r="AF28" s="69"/>
      <c r="AG28" s="73"/>
      <c r="AH28" s="69" t="str">
        <f>IF(Tabelle589711143136[[#This Row],[Vollbenutzungsstunden h/a]]&lt;&gt;"",Tabelle589711143136[[#This Row],[Vollbenutzungsstunden h/a]]/8760,"")</f>
        <v/>
      </c>
      <c r="AI28" s="68"/>
      <c r="AJ28" s="67"/>
      <c r="AK28" s="66">
        <v>1</v>
      </c>
      <c r="AL28" s="66"/>
      <c r="AM28" s="66"/>
      <c r="AN28" s="66">
        <v>1</v>
      </c>
      <c r="AO28" s="1"/>
      <c r="AP28" s="66">
        <f t="shared" si="1"/>
        <v>56</v>
      </c>
      <c r="AQ28" s="66"/>
      <c r="AR28" s="66"/>
      <c r="AS28" s="19"/>
      <c r="AT28" s="19"/>
      <c r="AU28" s="70"/>
      <c r="AV28" s="70"/>
      <c r="AW28" s="70"/>
      <c r="AX28" s="70"/>
      <c r="AY28" s="70"/>
      <c r="AZ28" s="70"/>
      <c r="BA28" s="1">
        <v>0</v>
      </c>
      <c r="BB28" s="66"/>
      <c r="BC28" s="1" t="s">
        <v>911</v>
      </c>
      <c r="BD28" s="66"/>
      <c r="BE28" s="66"/>
      <c r="BF28" s="66"/>
      <c r="BG28" s="66"/>
      <c r="BH28" s="66">
        <v>203</v>
      </c>
      <c r="BI28" s="66">
        <v>203</v>
      </c>
      <c r="BJ28" s="66"/>
      <c r="BK28" s="35">
        <v>206</v>
      </c>
      <c r="BL28" s="71"/>
      <c r="BM28" s="71"/>
      <c r="BN28" s="71"/>
      <c r="BO28" s="71"/>
      <c r="BP28" s="30"/>
      <c r="BQ28" s="30"/>
      <c r="BR28" s="30"/>
      <c r="BS28" s="30"/>
      <c r="BT28" s="30"/>
      <c r="BU28" s="30"/>
      <c r="BV28" s="30"/>
      <c r="BW28" s="30">
        <v>117</v>
      </c>
      <c r="BX28" s="66"/>
    </row>
    <row r="29" spans="1:76" x14ac:dyDescent="0.25">
      <c r="A29" s="66" t="s">
        <v>210</v>
      </c>
      <c r="B29" s="66" t="s">
        <v>129</v>
      </c>
      <c r="C29" s="30">
        <v>2050</v>
      </c>
      <c r="D29" s="1">
        <v>1</v>
      </c>
      <c r="E29" s="1">
        <v>0</v>
      </c>
      <c r="F29" s="30">
        <v>0</v>
      </c>
      <c r="G29" s="30"/>
      <c r="H29" s="30"/>
      <c r="I29" s="30"/>
      <c r="J29" s="30"/>
      <c r="K29" s="30"/>
      <c r="L29" s="30"/>
      <c r="M29" s="30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67"/>
      <c r="AA29" s="67">
        <f>IF(AND(Tabelle589711143136[[#This Row],[Lastverschiebung]]=1,Tabelle589711143136[[#This Row],[Potenzial pos. min MW]]&lt;&gt;""),Tabelle589711143136[[#This Row],[Potenzial pos. min MW]],"")</f>
        <v>870.34446350798476</v>
      </c>
      <c r="AB29" s="67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67">
        <f>IF(AND(Tabelle589711143136[[#This Row],[Lastverschiebung]]=1,Tabelle589711143136[[#This Row],[Potenzial pos. max MW]]&lt;&gt;""),Tabelle589711143136[[#This Row],[Potenzial pos. max MW]],"")</f>
        <v>1739.540715322687</v>
      </c>
      <c r="AD29" s="67"/>
      <c r="AE29" s="64"/>
      <c r="AF29" s="69"/>
      <c r="AG29" s="73"/>
      <c r="AH29" s="69" t="str">
        <f>IF(Tabelle589711143136[[#This Row],[Vollbenutzungsstunden h/a]]&lt;&gt;"",Tabelle589711143136[[#This Row],[Vollbenutzungsstunden h/a]]/8760,"")</f>
        <v/>
      </c>
      <c r="AI29" s="68"/>
      <c r="AJ29" s="67"/>
      <c r="AK29" s="66">
        <v>1</v>
      </c>
      <c r="AL29" s="66"/>
      <c r="AM29" s="66"/>
      <c r="AN29" s="66">
        <v>1</v>
      </c>
      <c r="AO29" s="1"/>
      <c r="AP29" s="66">
        <f t="shared" si="1"/>
        <v>56</v>
      </c>
      <c r="AQ29" s="66"/>
      <c r="AR29" s="66"/>
      <c r="AS29" s="19"/>
      <c r="AT29" s="19"/>
      <c r="AU29" s="70"/>
      <c r="AV29" s="70"/>
      <c r="AW29" s="70"/>
      <c r="AX29" s="70"/>
      <c r="AY29" s="70"/>
      <c r="AZ29" s="70"/>
      <c r="BA29" s="1">
        <v>0</v>
      </c>
      <c r="BB29" s="66"/>
      <c r="BC29" s="1" t="s">
        <v>911</v>
      </c>
      <c r="BD29" s="66"/>
      <c r="BE29" s="66"/>
      <c r="BF29" s="66"/>
      <c r="BG29" s="66"/>
      <c r="BH29" s="66">
        <v>203</v>
      </c>
      <c r="BI29" s="66">
        <v>203</v>
      </c>
      <c r="BJ29" s="66"/>
      <c r="BK29" s="35">
        <v>206</v>
      </c>
      <c r="BL29" s="71"/>
      <c r="BM29" s="71"/>
      <c r="BN29" s="71"/>
      <c r="BO29" s="71"/>
      <c r="BP29" s="30"/>
      <c r="BQ29" s="30"/>
      <c r="BR29" s="30"/>
      <c r="BS29" s="30"/>
      <c r="BT29" s="30"/>
      <c r="BU29" s="30"/>
      <c r="BV29" s="30"/>
      <c r="BW29" s="30">
        <v>117</v>
      </c>
      <c r="BX29" s="66"/>
    </row>
    <row r="30" spans="1:76" x14ac:dyDescent="0.25">
      <c r="A30" s="66" t="s">
        <v>364</v>
      </c>
      <c r="B30" s="66" t="s">
        <v>129</v>
      </c>
      <c r="C30" s="30">
        <v>2013</v>
      </c>
      <c r="D30" s="1">
        <v>1</v>
      </c>
      <c r="E30" s="1">
        <v>0</v>
      </c>
      <c r="F30" s="30">
        <v>0</v>
      </c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>
        <v>3.1162999999999998</v>
      </c>
      <c r="S30" s="30"/>
      <c r="T30" s="19"/>
      <c r="U30" s="19">
        <v>4600</v>
      </c>
      <c r="V30" s="19"/>
      <c r="W30" s="19"/>
      <c r="X30" s="19"/>
      <c r="Y30" s="19"/>
      <c r="Z30" s="67">
        <f>Tabelle589711143136[[#This Row],[Stromverbrauch in TWh REF]]/Tabelle589711143136[[#This Row],[Vollbenutzungsstunden h/a]]*10^6</f>
        <v>6110.3921568627447</v>
      </c>
      <c r="AA30" s="67" t="str">
        <f>IF(AND(Tabelle589711143136[[#This Row],[Lastverschiebung]]=1,Tabelle589711143136[[#This Row],[Potenzial pos. min MW]]&lt;&gt;""),Tabelle589711143136[[#This Row],[Potenzial pos. min MW]],"")</f>
        <v/>
      </c>
      <c r="AB30" s="67">
        <f>IF(AND(Tabelle589711143136[[#This Row],[Lastverschiebung]]=1,Tabelle589711143136[[#This Row],[Potenzial pos. MW Durchschnitt]]&lt;&gt;""),Tabelle589711143136[[#This Row],[Potenzial pos. MW Durchschnitt]],"")</f>
        <v>4600</v>
      </c>
      <c r="AC30" s="67" t="str">
        <f>IF(AND(Tabelle589711143136[[#This Row],[Lastverschiebung]]=1,Tabelle589711143136[[#This Row],[Potenzial pos. max MW]]&lt;&gt;""),Tabelle589711143136[[#This Row],[Potenzial pos. max MW]],"")</f>
        <v/>
      </c>
      <c r="AD30" s="67"/>
      <c r="AE30" s="64"/>
      <c r="AF30" s="69">
        <v>0.75</v>
      </c>
      <c r="AG30" s="73">
        <v>510</v>
      </c>
      <c r="AH30" s="69">
        <f>IF(Tabelle589711143136[[#This Row],[Vollbenutzungsstunden h/a]]&lt;&gt;"",Tabelle589711143136[[#This Row],[Vollbenutzungsstunden h/a]]/8760,"")</f>
        <v>5.8219178082191778E-2</v>
      </c>
      <c r="AI30" s="68"/>
      <c r="AJ30" s="67"/>
      <c r="AK30" s="66">
        <v>1</v>
      </c>
      <c r="AL30" s="66"/>
      <c r="AM30" s="66">
        <v>1</v>
      </c>
      <c r="AN30" s="66">
        <v>1</v>
      </c>
      <c r="AO30" s="1" t="s">
        <v>890</v>
      </c>
      <c r="AP30" s="66">
        <f t="shared" si="1"/>
        <v>56</v>
      </c>
      <c r="AQ30" s="66"/>
      <c r="AR30" s="66"/>
      <c r="AS30" s="19">
        <v>40</v>
      </c>
      <c r="AT30" s="19">
        <v>1200</v>
      </c>
      <c r="AU30" s="70"/>
      <c r="AV30" s="70"/>
      <c r="AW30" s="70"/>
      <c r="AX30" s="70"/>
      <c r="AY30" s="70">
        <v>25</v>
      </c>
      <c r="AZ30" s="70">
        <v>90</v>
      </c>
      <c r="BA30" s="1">
        <v>0</v>
      </c>
      <c r="BB30" s="66"/>
      <c r="BC30" s="1" t="s">
        <v>911</v>
      </c>
      <c r="BD30" s="66">
        <v>23</v>
      </c>
      <c r="BE30" s="66">
        <v>23</v>
      </c>
      <c r="BF30" s="66"/>
      <c r="BG30" s="66"/>
      <c r="BH30" s="66"/>
      <c r="BI30" s="66">
        <v>197</v>
      </c>
      <c r="BJ30" s="66">
        <v>197</v>
      </c>
      <c r="BK30" s="35">
        <v>206</v>
      </c>
      <c r="BL30" s="71">
        <v>197</v>
      </c>
      <c r="BM30" s="71">
        <v>197</v>
      </c>
      <c r="BN30" s="71"/>
      <c r="BO30" s="71"/>
      <c r="BP30" s="30">
        <v>23</v>
      </c>
      <c r="BQ30" s="30">
        <v>23</v>
      </c>
      <c r="BR30" s="30">
        <v>23</v>
      </c>
      <c r="BS30" s="30">
        <v>23</v>
      </c>
      <c r="BT30" s="30">
        <v>30</v>
      </c>
      <c r="BU30" s="30">
        <v>30</v>
      </c>
      <c r="BV30" s="30">
        <v>30</v>
      </c>
      <c r="BW30" s="30">
        <v>117</v>
      </c>
      <c r="BX30" s="66"/>
    </row>
    <row r="31" spans="1:76" x14ac:dyDescent="0.25">
      <c r="A31" s="66" t="s">
        <v>364</v>
      </c>
      <c r="B31" s="66" t="s">
        <v>129</v>
      </c>
      <c r="C31" s="30">
        <v>2030</v>
      </c>
      <c r="D31" s="1">
        <v>1</v>
      </c>
      <c r="E31" s="1">
        <v>0</v>
      </c>
      <c r="F31" s="30">
        <v>0</v>
      </c>
      <c r="G31" s="30"/>
      <c r="H31" s="30"/>
      <c r="I31" s="30"/>
      <c r="J31" s="30"/>
      <c r="K31" s="30"/>
      <c r="L31" s="30"/>
      <c r="M31" s="30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67"/>
      <c r="AA31" s="67">
        <f>IF(AND(Tabelle589711143136[[#This Row],[Lastverschiebung]]=1,Tabelle589711143136[[#This Row],[Potenzial pos. min MW]]&lt;&gt;""),Tabelle589711143136[[#This Row],[Potenzial pos. min MW]],"")</f>
        <v>4605.4616051086223</v>
      </c>
      <c r="AB31" s="67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67">
        <f>IF(AND(Tabelle589711143136[[#This Row],[Lastverschiebung]]=1,Tabelle589711143136[[#This Row],[Potenzial pos. max MW]]&lt;&gt;""),Tabelle589711143136[[#This Row],[Potenzial pos. max MW]],"")</f>
        <v>9196.162115329078</v>
      </c>
      <c r="AD31" s="67"/>
      <c r="AE31" s="64"/>
      <c r="AF31" s="69"/>
      <c r="AG31" s="73"/>
      <c r="AH31" s="69" t="str">
        <f>IF(Tabelle589711143136[[#This Row],[Vollbenutzungsstunden h/a]]&lt;&gt;"",Tabelle589711143136[[#This Row],[Vollbenutzungsstunden h/a]]/8760,"")</f>
        <v/>
      </c>
      <c r="AI31" s="68"/>
      <c r="AJ31" s="67"/>
      <c r="AK31" s="66">
        <v>1</v>
      </c>
      <c r="AL31" s="66"/>
      <c r="AM31" s="66"/>
      <c r="AN31" s="66">
        <v>1</v>
      </c>
      <c r="AO31" s="1"/>
      <c r="AP31" s="66">
        <f t="shared" si="1"/>
        <v>56</v>
      </c>
      <c r="AQ31" s="66"/>
      <c r="AR31" s="66"/>
      <c r="AS31" s="19"/>
      <c r="AT31" s="19"/>
      <c r="AU31" s="70"/>
      <c r="AV31" s="70"/>
      <c r="AW31" s="70"/>
      <c r="AX31" s="70"/>
      <c r="AY31" s="70"/>
      <c r="AZ31" s="70"/>
      <c r="BA31" s="1">
        <v>0</v>
      </c>
      <c r="BB31" s="66"/>
      <c r="BC31" s="1" t="s">
        <v>911</v>
      </c>
      <c r="BD31" s="66"/>
      <c r="BE31" s="66"/>
      <c r="BF31" s="66"/>
      <c r="BG31" s="66"/>
      <c r="BH31" s="66">
        <v>203</v>
      </c>
      <c r="BI31" s="66">
        <v>203</v>
      </c>
      <c r="BJ31" s="66"/>
      <c r="BK31" s="35">
        <v>206</v>
      </c>
      <c r="BL31" s="71"/>
      <c r="BM31" s="71"/>
      <c r="BN31" s="71"/>
      <c r="BO31" s="71"/>
      <c r="BP31" s="30"/>
      <c r="BQ31" s="30"/>
      <c r="BR31" s="30"/>
      <c r="BS31" s="30"/>
      <c r="BT31" s="30"/>
      <c r="BU31" s="30"/>
      <c r="BV31" s="30"/>
      <c r="BW31" s="30">
        <v>117</v>
      </c>
      <c r="BX31" s="66"/>
    </row>
    <row r="32" spans="1:76" x14ac:dyDescent="0.25">
      <c r="A32" s="66" t="s">
        <v>364</v>
      </c>
      <c r="B32" s="66" t="s">
        <v>129</v>
      </c>
      <c r="C32" s="30">
        <v>2050</v>
      </c>
      <c r="D32" s="1">
        <v>1</v>
      </c>
      <c r="E32" s="1">
        <v>0</v>
      </c>
      <c r="F32" s="30">
        <v>0</v>
      </c>
      <c r="G32" s="30"/>
      <c r="H32" s="30"/>
      <c r="I32" s="30"/>
      <c r="J32" s="30"/>
      <c r="K32" s="30"/>
      <c r="L32" s="30"/>
      <c r="M32" s="30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67"/>
      <c r="AA32" s="67">
        <f>IF(AND(Tabelle589711143136[[#This Row],[Lastverschiebung]]=1,Tabelle589711143136[[#This Row],[Potenzial pos. min MW]]&lt;&gt;""),Tabelle589711143136[[#This Row],[Potenzial pos. min MW]],"")</f>
        <v>4605.4616051086223</v>
      </c>
      <c r="AB32" s="67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67">
        <f>IF(AND(Tabelle589711143136[[#This Row],[Lastverschiebung]]=1,Tabelle589711143136[[#This Row],[Potenzial pos. max MW]]&lt;&gt;""),Tabelle589711143136[[#This Row],[Potenzial pos. max MW]],"")</f>
        <v>13801.623720437699</v>
      </c>
      <c r="AD32" s="67"/>
      <c r="AE32" s="64"/>
      <c r="AF32" s="69"/>
      <c r="AG32" s="73"/>
      <c r="AH32" s="69" t="str">
        <f>IF(Tabelle589711143136[[#This Row],[Vollbenutzungsstunden h/a]]&lt;&gt;"",Tabelle589711143136[[#This Row],[Vollbenutzungsstunden h/a]]/8760,"")</f>
        <v/>
      </c>
      <c r="AI32" s="68"/>
      <c r="AJ32" s="67"/>
      <c r="AK32" s="66">
        <v>1</v>
      </c>
      <c r="AL32" s="66"/>
      <c r="AM32" s="66"/>
      <c r="AN32" s="66">
        <v>1</v>
      </c>
      <c r="AO32" s="1"/>
      <c r="AP32" s="66">
        <f t="shared" si="1"/>
        <v>56</v>
      </c>
      <c r="AQ32" s="66"/>
      <c r="AR32" s="66"/>
      <c r="AS32" s="19"/>
      <c r="AT32" s="19"/>
      <c r="AU32" s="70"/>
      <c r="AV32" s="70"/>
      <c r="AW32" s="70"/>
      <c r="AX32" s="70"/>
      <c r="AY32" s="70"/>
      <c r="AZ32" s="70"/>
      <c r="BA32" s="1">
        <v>0</v>
      </c>
      <c r="BB32" s="66"/>
      <c r="BC32" s="1" t="s">
        <v>911</v>
      </c>
      <c r="BD32" s="66"/>
      <c r="BE32" s="66"/>
      <c r="BF32" s="66"/>
      <c r="BG32" s="66"/>
      <c r="BH32" s="66">
        <v>203</v>
      </c>
      <c r="BI32" s="66">
        <v>203</v>
      </c>
      <c r="BJ32" s="66"/>
      <c r="BK32" s="35">
        <v>206</v>
      </c>
      <c r="BL32" s="71"/>
      <c r="BM32" s="71"/>
      <c r="BN32" s="71"/>
      <c r="BO32" s="71"/>
      <c r="BP32" s="30"/>
      <c r="BQ32" s="30"/>
      <c r="BR32" s="30"/>
      <c r="BS32" s="30"/>
      <c r="BT32" s="30"/>
      <c r="BU32" s="30"/>
      <c r="BV32" s="30"/>
      <c r="BW32" s="30">
        <v>117</v>
      </c>
      <c r="BX32" s="66"/>
    </row>
    <row r="33" spans="1:76" x14ac:dyDescent="0.25">
      <c r="A33" s="66" t="s">
        <v>136</v>
      </c>
      <c r="B33" s="66" t="s">
        <v>884</v>
      </c>
      <c r="C33" s="30">
        <v>2013</v>
      </c>
      <c r="D33" s="1">
        <v>1</v>
      </c>
      <c r="E33" s="1">
        <v>0</v>
      </c>
      <c r="F33" s="30">
        <v>0</v>
      </c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>
        <f>ROUND(Tabelle589711143136[[#This Row],[Vollbenutzungsstunden h/a]]*Tabelle589711143136[[#This Row],[installierte Leistung MW]]/10^6,3)</f>
        <v>3.1859999999999999</v>
      </c>
      <c r="S33" s="30"/>
      <c r="T33" s="19"/>
      <c r="U33" s="19">
        <v>2000</v>
      </c>
      <c r="V33" s="19"/>
      <c r="W33" s="19"/>
      <c r="X33" s="19"/>
      <c r="Y33" s="19"/>
      <c r="Z33" s="67">
        <f>Tabelle589711143136[[#This Row],[Stromverbrauch in TWh REF]]/Tabelle589711143136[[#This Row],[Vollbenutzungsstunden h/a]]*10^6</f>
        <v>1769.9999999999998</v>
      </c>
      <c r="AA33" s="67" t="str">
        <f>IF(AND(Tabelle589711143136[[#This Row],[Lastverschiebung]]=1,Tabelle589711143136[[#This Row],[Potenzial pos. min MW]]&lt;&gt;""),Tabelle589711143136[[#This Row],[Potenzial pos. min MW]],"")</f>
        <v/>
      </c>
      <c r="AB33" s="67">
        <f>IF(AND(Tabelle589711143136[[#This Row],[Lastverschiebung]]=1,Tabelle589711143136[[#This Row],[Potenzial pos. MW Durchschnitt]]&lt;&gt;""),Tabelle589711143136[[#This Row],[Potenzial pos. MW Durchschnitt]],"")</f>
        <v>2000</v>
      </c>
      <c r="AC33" s="67" t="str">
        <f>IF(AND(Tabelle589711143136[[#This Row],[Lastverschiebung]]=1,Tabelle589711143136[[#This Row],[Potenzial pos. max MW]]&lt;&gt;""),Tabelle589711143136[[#This Row],[Potenzial pos. max MW]],"")</f>
        <v/>
      </c>
      <c r="AD33" s="67">
        <v>0</v>
      </c>
      <c r="AE33" s="64">
        <f>1-Tabelle589711143136[[#This Row],[flexibilisierbarer Anteil]]</f>
        <v>0</v>
      </c>
      <c r="AF33" s="69">
        <v>1</v>
      </c>
      <c r="AG33" s="73">
        <v>1800</v>
      </c>
      <c r="AH33" s="69">
        <f>IF(Tabelle589711143136[[#This Row],[Vollbenutzungsstunden h/a]]&lt;&gt;"",Tabelle589711143136[[#This Row],[Vollbenutzungsstunden h/a]]/8760,"")</f>
        <v>0.20547945205479451</v>
      </c>
      <c r="AI33" s="68">
        <f>Tabelle589711143136[[#This Row],[Durchschnittsauslastung]]*Tabelle589711143136[[#This Row],[installierte Leistung MW]]</f>
        <v>363.69863013698625</v>
      </c>
      <c r="AJ33" s="67">
        <v>1770</v>
      </c>
      <c r="AK33" s="66">
        <v>12</v>
      </c>
      <c r="AL33" s="66"/>
      <c r="AM33" s="66">
        <v>12</v>
      </c>
      <c r="AN33" s="66">
        <v>12</v>
      </c>
      <c r="AO33" s="1" t="s">
        <v>890</v>
      </c>
      <c r="AP33" s="66">
        <f>12*7</f>
        <v>84</v>
      </c>
      <c r="AQ33" s="66"/>
      <c r="AR33" s="66"/>
      <c r="AS33" s="19">
        <v>40</v>
      </c>
      <c r="AT33" s="19">
        <v>1200</v>
      </c>
      <c r="AU33" s="70"/>
      <c r="AV33" s="70"/>
      <c r="AW33" s="70"/>
      <c r="AX33" s="70"/>
      <c r="AY33" s="70">
        <v>25</v>
      </c>
      <c r="AZ33" s="70">
        <v>90</v>
      </c>
      <c r="BA33" s="1">
        <v>0</v>
      </c>
      <c r="BB33" s="66"/>
      <c r="BC33" s="1" t="s">
        <v>911</v>
      </c>
      <c r="BD33" s="66">
        <v>23</v>
      </c>
      <c r="BE33" s="66">
        <v>23</v>
      </c>
      <c r="BF33" s="66"/>
      <c r="BG33" s="66"/>
      <c r="BH33" s="66"/>
      <c r="BI33" s="1" t="s">
        <v>899</v>
      </c>
      <c r="BJ33" s="1" t="s">
        <v>899</v>
      </c>
      <c r="BK33" s="35">
        <v>206</v>
      </c>
      <c r="BL33" s="71">
        <v>197</v>
      </c>
      <c r="BM33" s="71">
        <v>197</v>
      </c>
      <c r="BN33" s="71"/>
      <c r="BO33" s="1" t="s">
        <v>895</v>
      </c>
      <c r="BP33" s="30">
        <v>23</v>
      </c>
      <c r="BQ33" s="30">
        <v>23</v>
      </c>
      <c r="BR33" s="30">
        <v>23</v>
      </c>
      <c r="BS33" s="30">
        <v>23</v>
      </c>
      <c r="BT33" s="30">
        <v>30</v>
      </c>
      <c r="BU33" s="30">
        <v>30</v>
      </c>
      <c r="BV33" s="30">
        <v>30</v>
      </c>
      <c r="BW33" s="30">
        <v>117</v>
      </c>
      <c r="BX33" s="66"/>
    </row>
    <row r="34" spans="1:76" x14ac:dyDescent="0.25">
      <c r="A34" s="66" t="s">
        <v>136</v>
      </c>
      <c r="B34" s="66" t="s">
        <v>884</v>
      </c>
      <c r="C34" s="30">
        <v>2030</v>
      </c>
      <c r="D34" s="1">
        <v>1</v>
      </c>
      <c r="E34" s="1">
        <v>0</v>
      </c>
      <c r="F34" s="30">
        <v>0</v>
      </c>
      <c r="G34" s="30"/>
      <c r="H34" s="30"/>
      <c r="I34" s="30"/>
      <c r="J34" s="30"/>
      <c r="K34">
        <v>1420</v>
      </c>
      <c r="L34">
        <v>1750</v>
      </c>
      <c r="M34">
        <v>3000</v>
      </c>
      <c r="N34" s="30"/>
      <c r="O34" s="30"/>
      <c r="P34" s="30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67"/>
      <c r="AA34" s="67">
        <f>IF(AND(Tabelle589711143136[[#This Row],[Lastverschiebung]]=1,Tabelle589711143136[[#This Row],[Potenzial pos. min MW]]&lt;&gt;""),Tabelle589711143136[[#This Row],[Potenzial pos. min MW]],"")</f>
        <v>7576.8989328311363</v>
      </c>
      <c r="AB34" s="67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67">
        <f>IF(AND(Tabelle589711143136[[#This Row],[Lastverschiebung]]=1,Tabelle589711143136[[#This Row],[Potenzial pos. max MW]]&lt;&gt;""),Tabelle589711143136[[#This Row],[Potenzial pos. max MW]],"")</f>
        <v>16001.255492780916</v>
      </c>
      <c r="AD34" s="67"/>
      <c r="AE34" s="64"/>
      <c r="AF34" s="69"/>
      <c r="AG34" s="73"/>
      <c r="AH34" s="69" t="str">
        <f>IF(Tabelle589711143136[[#This Row],[Vollbenutzungsstunden h/a]]&lt;&gt;"",Tabelle589711143136[[#This Row],[Vollbenutzungsstunden h/a]]/8760,"")</f>
        <v/>
      </c>
      <c r="AI34" s="68"/>
      <c r="AJ34" s="67"/>
      <c r="AK34" s="66">
        <v>12</v>
      </c>
      <c r="AL34" s="66"/>
      <c r="AM34" s="66"/>
      <c r="AN34" s="66">
        <v>12</v>
      </c>
      <c r="AO34" s="1"/>
      <c r="AP34" s="66">
        <f>12*7</f>
        <v>84</v>
      </c>
      <c r="AQ34" s="66"/>
      <c r="AR34" s="66"/>
      <c r="AS34" s="19"/>
      <c r="AT34" s="19"/>
      <c r="AU34" s="70"/>
      <c r="AV34" s="70"/>
      <c r="AW34" s="70"/>
      <c r="AX34" s="70"/>
      <c r="AY34" s="70"/>
      <c r="AZ34" s="70"/>
      <c r="BA34" s="1">
        <v>0</v>
      </c>
      <c r="BB34" s="66"/>
      <c r="BC34" s="1" t="s">
        <v>911</v>
      </c>
      <c r="BD34" s="66"/>
      <c r="BE34" s="66"/>
      <c r="BF34" s="66"/>
      <c r="BG34" s="66">
        <v>203</v>
      </c>
      <c r="BH34" s="66"/>
      <c r="BI34" s="66">
        <v>203</v>
      </c>
      <c r="BJ34" s="1"/>
      <c r="BK34" s="35">
        <v>206</v>
      </c>
      <c r="BL34" s="71"/>
      <c r="BM34" s="71"/>
      <c r="BN34" s="71"/>
      <c r="BO34" s="1"/>
      <c r="BP34" s="30"/>
      <c r="BQ34" s="30"/>
      <c r="BR34" s="30"/>
      <c r="BS34" s="30"/>
      <c r="BT34" s="30"/>
      <c r="BU34" s="30"/>
      <c r="BV34" s="30"/>
      <c r="BW34" s="30">
        <v>117</v>
      </c>
      <c r="BX34" s="66"/>
    </row>
    <row r="35" spans="1:76" x14ac:dyDescent="0.25">
      <c r="A35" s="66" t="s">
        <v>136</v>
      </c>
      <c r="B35" s="66" t="s">
        <v>884</v>
      </c>
      <c r="C35" s="30">
        <v>2050</v>
      </c>
      <c r="D35" s="1">
        <v>1</v>
      </c>
      <c r="E35" s="1">
        <v>0</v>
      </c>
      <c r="F35" s="30">
        <v>0</v>
      </c>
      <c r="G35" s="30"/>
      <c r="H35" s="30"/>
      <c r="I35" s="30"/>
      <c r="J35" s="30"/>
      <c r="K35">
        <v>2400</v>
      </c>
      <c r="L35">
        <v>3188</v>
      </c>
      <c r="M35">
        <v>5000</v>
      </c>
      <c r="N35" s="30"/>
      <c r="O35" s="30"/>
      <c r="P35" s="30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67"/>
      <c r="AA35" s="67">
        <f>IF(AND(Tabelle589711143136[[#This Row],[Lastverschiebung]]=1,Tabelle589711143136[[#This Row],[Potenzial pos. min MW]]&lt;&gt;""),Tabelle589711143136[[#This Row],[Potenzial pos. min MW]],"")</f>
        <v>12799.748901443816</v>
      </c>
      <c r="AB35" s="67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67">
        <f>IF(AND(Tabelle589711143136[[#This Row],[Lastverschiebung]]=1,Tabelle589711143136[[#This Row],[Potenzial pos. max MW]]&lt;&gt;""),Tabelle589711143136[[#This Row],[Potenzial pos. max MW]],"")</f>
        <v>26666.666666666668</v>
      </c>
      <c r="AD35" s="67"/>
      <c r="AE35" s="64"/>
      <c r="AF35" s="69"/>
      <c r="AG35" s="73"/>
      <c r="AH35" s="69" t="str">
        <f>IF(Tabelle589711143136[[#This Row],[Vollbenutzungsstunden h/a]]&lt;&gt;"",Tabelle589711143136[[#This Row],[Vollbenutzungsstunden h/a]]/8760,"")</f>
        <v/>
      </c>
      <c r="AI35" s="68"/>
      <c r="AJ35" s="67"/>
      <c r="AK35" s="66">
        <v>12</v>
      </c>
      <c r="AL35" s="66"/>
      <c r="AM35" s="66"/>
      <c r="AN35" s="66">
        <v>12</v>
      </c>
      <c r="AO35" s="1"/>
      <c r="AP35" s="66">
        <f>12*7</f>
        <v>84</v>
      </c>
      <c r="AQ35" s="66"/>
      <c r="AR35" s="66"/>
      <c r="AS35" s="19"/>
      <c r="AT35" s="19"/>
      <c r="AU35" s="70"/>
      <c r="AV35" s="70"/>
      <c r="AW35" s="70"/>
      <c r="AX35" s="70"/>
      <c r="AY35" s="70"/>
      <c r="AZ35" s="70"/>
      <c r="BA35" s="1">
        <v>0</v>
      </c>
      <c r="BB35" s="66"/>
      <c r="BC35" s="1" t="s">
        <v>911</v>
      </c>
      <c r="BD35" s="66"/>
      <c r="BE35" s="66"/>
      <c r="BF35" s="66"/>
      <c r="BG35" s="66">
        <v>203</v>
      </c>
      <c r="BH35" s="66"/>
      <c r="BI35" s="66">
        <v>203</v>
      </c>
      <c r="BJ35" s="1"/>
      <c r="BK35" s="35">
        <v>206</v>
      </c>
      <c r="BL35" s="71"/>
      <c r="BM35" s="71"/>
      <c r="BN35" s="71"/>
      <c r="BO35" s="1"/>
      <c r="BP35" s="30"/>
      <c r="BQ35" s="30"/>
      <c r="BR35" s="30"/>
      <c r="BS35" s="30"/>
      <c r="BT35" s="30"/>
      <c r="BU35" s="30"/>
      <c r="BV35" s="30"/>
      <c r="BW35" s="30">
        <v>117</v>
      </c>
      <c r="BX35" s="66"/>
    </row>
    <row r="36" spans="1:76" x14ac:dyDescent="0.25">
      <c r="A36" s="66" t="s">
        <v>836</v>
      </c>
      <c r="B36" s="66" t="s">
        <v>885</v>
      </c>
      <c r="C36" s="30">
        <v>2013</v>
      </c>
      <c r="D36" s="1">
        <v>1</v>
      </c>
      <c r="E36" s="1">
        <v>0</v>
      </c>
      <c r="F36" s="30">
        <v>0</v>
      </c>
      <c r="G36" s="30"/>
      <c r="H36" s="30"/>
      <c r="I36" s="30"/>
      <c r="J36" s="30"/>
      <c r="K36" s="1"/>
      <c r="L36" s="1"/>
      <c r="M36" s="30"/>
      <c r="N36" s="30"/>
      <c r="O36" s="30"/>
      <c r="P36" s="30"/>
      <c r="Q36" s="30"/>
      <c r="R36" s="30"/>
      <c r="S36" s="30"/>
      <c r="T36" s="67"/>
      <c r="U36" s="67"/>
      <c r="V36" s="67"/>
      <c r="W36" s="67"/>
      <c r="X36" s="67"/>
      <c r="Y36" s="67"/>
      <c r="Z36" s="67"/>
      <c r="AA36" s="67" t="str">
        <f>IF(AND(Tabelle589711143136[[#This Row],[Lastverschiebung]]=1,Tabelle589711143136[[#This Row],[Potenzial pos. min MW]]&lt;&gt;""),Tabelle589711143136[[#This Row],[Potenzial pos. min MW]],"")</f>
        <v/>
      </c>
      <c r="AB36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6" s="67" t="str">
        <f>IF(AND(Tabelle589711143136[[#This Row],[Lastverschiebung]]=1,Tabelle589711143136[[#This Row],[Potenzial pos. max MW]]&lt;&gt;""),Tabelle589711143136[[#This Row],[Potenzial pos. max MW]],"")</f>
        <v/>
      </c>
      <c r="AD36" s="67"/>
      <c r="AE36" s="69"/>
      <c r="AF36" s="69"/>
      <c r="AG36" s="73"/>
      <c r="AH36" s="69" t="str">
        <f>IF(Tabelle589711143136[[#This Row],[Vollbenutzungsstunden h/a]]&lt;&gt;"",Tabelle589711143136[[#This Row],[Vollbenutzungsstunden h/a]]/8760,"")</f>
        <v/>
      </c>
      <c r="AI36" s="68"/>
      <c r="AJ36" s="67"/>
      <c r="AK36" s="66">
        <v>24</v>
      </c>
      <c r="AL36" s="66"/>
      <c r="AM36" s="66">
        <v>24</v>
      </c>
      <c r="AN36" s="66">
        <v>24</v>
      </c>
      <c r="AO36" s="1" t="s">
        <v>888</v>
      </c>
      <c r="AP36" s="66">
        <f>12*7</f>
        <v>84</v>
      </c>
      <c r="AQ36" s="66"/>
      <c r="AR36" s="66"/>
      <c r="AS36" s="19">
        <v>40</v>
      </c>
      <c r="AT36" s="19">
        <v>1200</v>
      </c>
      <c r="AU36" s="70"/>
      <c r="AV36" s="70"/>
      <c r="AW36" s="70"/>
      <c r="AX36" s="70"/>
      <c r="AY36" s="70">
        <v>25</v>
      </c>
      <c r="AZ36" s="70">
        <v>90</v>
      </c>
      <c r="BA36" s="1">
        <v>0</v>
      </c>
      <c r="BB36" s="66"/>
      <c r="BC36" s="1" t="s">
        <v>911</v>
      </c>
      <c r="BD36" s="66">
        <v>23</v>
      </c>
      <c r="BE36" s="66">
        <v>23</v>
      </c>
      <c r="BF36" s="66"/>
      <c r="BG36" s="66"/>
      <c r="BH36" s="66"/>
      <c r="BI36" s="66"/>
      <c r="BJ36" s="66"/>
      <c r="BK36" s="35"/>
      <c r="BL36" s="71"/>
      <c r="BM36" s="71"/>
      <c r="BN36" s="71"/>
      <c r="BO36" s="71"/>
      <c r="BP36" s="30">
        <v>23</v>
      </c>
      <c r="BQ36" s="30">
        <v>23</v>
      </c>
      <c r="BR36" s="30">
        <v>23</v>
      </c>
      <c r="BS36" s="30">
        <v>23</v>
      </c>
      <c r="BT36" s="30">
        <v>30</v>
      </c>
      <c r="BU36" s="30">
        <v>30</v>
      </c>
      <c r="BV36" s="30">
        <v>30</v>
      </c>
      <c r="BW36" s="30">
        <v>117</v>
      </c>
      <c r="BX36" s="66"/>
    </row>
    <row r="37" spans="1:76" x14ac:dyDescent="0.25">
      <c r="A37" s="66" t="s">
        <v>836</v>
      </c>
      <c r="B37" s="66" t="s">
        <v>885</v>
      </c>
      <c r="C37" s="30">
        <v>2030</v>
      </c>
      <c r="D37" s="1">
        <v>1</v>
      </c>
      <c r="E37" s="1">
        <v>0</v>
      </c>
      <c r="F37" s="30">
        <v>0</v>
      </c>
      <c r="G37" s="30"/>
      <c r="H37" s="30"/>
      <c r="I37" s="30"/>
      <c r="J37" s="30"/>
      <c r="K37" s="30">
        <v>1700</v>
      </c>
      <c r="L37" s="30">
        <v>5100</v>
      </c>
      <c r="M37" s="30">
        <v>9000</v>
      </c>
      <c r="N37" s="30"/>
      <c r="O37" s="30"/>
      <c r="P37" s="30"/>
      <c r="Q37" s="30">
        <v>4.4000000000000004</v>
      </c>
      <c r="R37" s="30">
        <v>13.6</v>
      </c>
      <c r="S37" s="30">
        <v>35.4</v>
      </c>
      <c r="T37" s="67"/>
      <c r="U37" s="67"/>
      <c r="V37" s="67"/>
      <c r="W37" s="67"/>
      <c r="X37" s="67"/>
      <c r="Y37" s="67"/>
      <c r="Z37" s="67"/>
      <c r="AA37" s="67" t="str">
        <f>IF(AND(Tabelle589711143136[[#This Row],[Lastverschiebung]]=1,Tabelle589711143136[[#This Row],[Potenzial pos. min MW]]&lt;&gt;""),Tabelle589711143136[[#This Row],[Potenzial pos. min MW]],"")</f>
        <v/>
      </c>
      <c r="AB37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7" s="67" t="str">
        <f>IF(AND(Tabelle589711143136[[#This Row],[Lastverschiebung]]=1,Tabelle589711143136[[#This Row],[Potenzial pos. max MW]]&lt;&gt;""),Tabelle589711143136[[#This Row],[Potenzial pos. max MW]],"")</f>
        <v/>
      </c>
      <c r="AD37" s="67"/>
      <c r="AE37" s="69"/>
      <c r="AF37" s="69"/>
      <c r="AG37" s="73"/>
      <c r="AH37" s="69" t="str">
        <f>IF(Tabelle589711143136[[#This Row],[Vollbenutzungsstunden h/a]]&lt;&gt;"",Tabelle589711143136[[#This Row],[Vollbenutzungsstunden h/a]]/8760,"")</f>
        <v/>
      </c>
      <c r="AI37" s="68"/>
      <c r="AJ37" s="67"/>
      <c r="AK37" s="66">
        <v>24</v>
      </c>
      <c r="AL37" s="66"/>
      <c r="AM37" s="66"/>
      <c r="AN37" s="66">
        <v>24</v>
      </c>
      <c r="AO37" s="1"/>
      <c r="AP37" s="66">
        <f>8*7</f>
        <v>56</v>
      </c>
      <c r="AQ37" s="66"/>
      <c r="AR37" s="66"/>
      <c r="AS37" s="19"/>
      <c r="AT37" s="19"/>
      <c r="AU37" s="70"/>
      <c r="AV37" s="70"/>
      <c r="AW37" s="70"/>
      <c r="AX37" s="70"/>
      <c r="AY37" s="70"/>
      <c r="AZ37" s="70"/>
      <c r="BA37" s="1">
        <v>0</v>
      </c>
      <c r="BB37" s="66"/>
      <c r="BC37" s="1" t="s">
        <v>911</v>
      </c>
      <c r="BD37" s="66"/>
      <c r="BE37" s="66"/>
      <c r="BF37" s="66"/>
      <c r="BG37" s="66">
        <v>204</v>
      </c>
      <c r="BH37" s="66"/>
      <c r="BI37" s="66">
        <v>204</v>
      </c>
      <c r="BJ37" s="66"/>
      <c r="BK37" s="35"/>
      <c r="BL37" s="71"/>
      <c r="BM37" s="71"/>
      <c r="BN37" s="71"/>
      <c r="BO37" s="71"/>
      <c r="BP37" s="30"/>
      <c r="BQ37" s="30"/>
      <c r="BR37" s="30"/>
      <c r="BS37" s="30"/>
      <c r="BT37" s="30"/>
      <c r="BU37" s="30"/>
      <c r="BV37" s="30"/>
      <c r="BW37" s="30">
        <v>117</v>
      </c>
      <c r="BX37" s="66"/>
    </row>
    <row r="38" spans="1:76" x14ac:dyDescent="0.25">
      <c r="A38" s="66" t="s">
        <v>836</v>
      </c>
      <c r="B38" s="66" t="s">
        <v>885</v>
      </c>
      <c r="C38" s="30">
        <v>2050</v>
      </c>
      <c r="D38" s="1">
        <v>1</v>
      </c>
      <c r="E38" s="1">
        <v>0</v>
      </c>
      <c r="F38" s="30">
        <v>0</v>
      </c>
      <c r="G38" s="30"/>
      <c r="H38" s="30"/>
      <c r="I38" s="30"/>
      <c r="J38" s="30"/>
      <c r="K38" s="30">
        <v>4400</v>
      </c>
      <c r="L38" s="30">
        <v>13200</v>
      </c>
      <c r="M38" s="30">
        <v>22000</v>
      </c>
      <c r="N38" s="30"/>
      <c r="O38" s="30"/>
      <c r="P38" s="30"/>
      <c r="Q38" s="1">
        <v>11.8</v>
      </c>
      <c r="R38" s="30">
        <v>24.3</v>
      </c>
      <c r="S38" s="30">
        <v>59</v>
      </c>
      <c r="T38" s="67"/>
      <c r="U38" s="67"/>
      <c r="V38" s="67"/>
      <c r="W38" s="67"/>
      <c r="X38" s="67"/>
      <c r="Y38" s="67"/>
      <c r="Z38" s="67"/>
      <c r="AA38" s="67" t="str">
        <f>IF(AND(Tabelle589711143136[[#This Row],[Lastverschiebung]]=1,Tabelle589711143136[[#This Row],[Potenzial pos. min MW]]&lt;&gt;""),Tabelle589711143136[[#This Row],[Potenzial pos. min MW]],"")</f>
        <v/>
      </c>
      <c r="AB38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8" s="67" t="str">
        <f>IF(AND(Tabelle589711143136[[#This Row],[Lastverschiebung]]=1,Tabelle589711143136[[#This Row],[Potenzial pos. max MW]]&lt;&gt;""),Tabelle589711143136[[#This Row],[Potenzial pos. max MW]],"")</f>
        <v/>
      </c>
      <c r="AD38" s="67"/>
      <c r="AE38" s="69"/>
      <c r="AF38" s="69"/>
      <c r="AG38" s="73"/>
      <c r="AH38" s="69" t="str">
        <f>IF(Tabelle589711143136[[#This Row],[Vollbenutzungsstunden h/a]]&lt;&gt;"",Tabelle589711143136[[#This Row],[Vollbenutzungsstunden h/a]]/8760,"")</f>
        <v/>
      </c>
      <c r="AI38" s="68"/>
      <c r="AJ38" s="67"/>
      <c r="AK38" s="66">
        <v>24</v>
      </c>
      <c r="AL38" s="66"/>
      <c r="AM38" s="66"/>
      <c r="AN38" s="66">
        <v>24</v>
      </c>
      <c r="AO38" s="1"/>
      <c r="AP38" s="66">
        <f>8*7</f>
        <v>56</v>
      </c>
      <c r="AQ38" s="66"/>
      <c r="AR38" s="66"/>
      <c r="AS38" s="19"/>
      <c r="AT38" s="19"/>
      <c r="AU38" s="70"/>
      <c r="AV38" s="70"/>
      <c r="AW38" s="70"/>
      <c r="AX38" s="70"/>
      <c r="AY38" s="70"/>
      <c r="AZ38" s="70"/>
      <c r="BA38" s="1">
        <v>0</v>
      </c>
      <c r="BB38" s="66"/>
      <c r="BC38" s="1" t="s">
        <v>911</v>
      </c>
      <c r="BD38" s="66"/>
      <c r="BE38" s="66"/>
      <c r="BF38" s="66"/>
      <c r="BG38" s="66">
        <v>204</v>
      </c>
      <c r="BH38" s="66"/>
      <c r="BI38" s="66">
        <v>204</v>
      </c>
      <c r="BJ38" s="66"/>
      <c r="BK38" s="35"/>
      <c r="BL38" s="71"/>
      <c r="BM38" s="71"/>
      <c r="BN38" s="71"/>
      <c r="BO38" s="71"/>
      <c r="BP38" s="30"/>
      <c r="BQ38" s="30"/>
      <c r="BR38" s="30"/>
      <c r="BS38" s="30"/>
      <c r="BT38" s="30"/>
      <c r="BU38" s="30"/>
      <c r="BV38" s="30"/>
      <c r="BW38" s="30">
        <v>117</v>
      </c>
      <c r="BX38" s="66"/>
    </row>
    <row r="39" spans="1:76" x14ac:dyDescent="0.25">
      <c r="A39" s="66" t="s">
        <v>886</v>
      </c>
      <c r="B39" s="66" t="s">
        <v>885</v>
      </c>
      <c r="C39" s="30">
        <v>2013</v>
      </c>
      <c r="D39" s="1">
        <v>0</v>
      </c>
      <c r="E39" s="1">
        <v>0</v>
      </c>
      <c r="F39" s="30">
        <v>1</v>
      </c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67"/>
      <c r="U39" s="67"/>
      <c r="V39" s="67"/>
      <c r="W39" s="67"/>
      <c r="X39" s="67"/>
      <c r="Y39" s="67"/>
      <c r="Z39" s="67"/>
      <c r="AA39" s="67" t="str">
        <f>IF(AND(Tabelle589711143136[[#This Row],[Lastverschiebung]]=1,Tabelle589711143136[[#This Row],[Potenzial pos. min MW]]&lt;&gt;""),Tabelle589711143136[[#This Row],[Potenzial pos. min MW]],"")</f>
        <v/>
      </c>
      <c r="AB39" s="67" t="str">
        <f>IF(AND(Tabelle589711143136[[#This Row],[Lastverschiebung]]=1,Tabelle589711143136[[#This Row],[Potenzial pos. MW Durchschnitt]]&lt;&gt;""),Tabelle589711143136[[#This Row],[Potenzial pos. MW Durchschnitt]],"")</f>
        <v/>
      </c>
      <c r="AC39" s="67" t="str">
        <f>IF(AND(Tabelle589711143136[[#This Row],[Lastverschiebung]]=1,Tabelle589711143136[[#This Row],[Potenzial pos. max MW]]&lt;&gt;""),Tabelle589711143136[[#This Row],[Potenzial pos. max MW]],"")</f>
        <v/>
      </c>
      <c r="AD39" s="67"/>
      <c r="AE39" s="69"/>
      <c r="AF39" s="69"/>
      <c r="AG39" s="73"/>
      <c r="AH39" s="69" t="str">
        <f>IF(Tabelle589711143136[[#This Row],[Vollbenutzungsstunden h/a]]&lt;&gt;"",Tabelle589711143136[[#This Row],[Vollbenutzungsstunden h/a]]/8760,"")</f>
        <v/>
      </c>
      <c r="AI39" s="68"/>
      <c r="AJ39" s="67"/>
      <c r="AK39" s="66"/>
      <c r="AL39" s="66"/>
      <c r="AM39" s="66"/>
      <c r="AN39" s="66"/>
      <c r="AO39" s="1"/>
      <c r="AP39" s="66">
        <v>8760</v>
      </c>
      <c r="AQ39" s="66"/>
      <c r="AR39" s="66"/>
      <c r="AS39" s="19">
        <v>500</v>
      </c>
      <c r="AT39" s="19">
        <v>1000</v>
      </c>
      <c r="AU39" s="70">
        <v>-16.53</v>
      </c>
      <c r="AV39" s="70">
        <v>-44.9</v>
      </c>
      <c r="AW39" s="70"/>
      <c r="AX39" s="70"/>
      <c r="AY39" s="70">
        <v>20</v>
      </c>
      <c r="AZ39" s="70">
        <v>40</v>
      </c>
      <c r="BA39" s="1"/>
      <c r="BB39" s="1" t="s">
        <v>919</v>
      </c>
      <c r="BC39" s="1" t="s">
        <v>911</v>
      </c>
      <c r="BD39" s="66">
        <v>23</v>
      </c>
      <c r="BE39" s="66">
        <v>23</v>
      </c>
      <c r="BF39" s="66"/>
      <c r="BG39" s="66"/>
      <c r="BH39" s="66"/>
      <c r="BI39" s="66"/>
      <c r="BJ39" s="66"/>
      <c r="BK39" s="35"/>
      <c r="BL39" s="71"/>
      <c r="BM39" s="71"/>
      <c r="BN39" s="71"/>
      <c r="BO39" s="71"/>
      <c r="BP39" s="30">
        <v>23</v>
      </c>
      <c r="BQ39" s="30">
        <v>23</v>
      </c>
      <c r="BR39" s="30">
        <v>23</v>
      </c>
      <c r="BS39" s="30">
        <v>23</v>
      </c>
      <c r="BT39" s="30">
        <v>30</v>
      </c>
      <c r="BU39" s="30">
        <v>30</v>
      </c>
      <c r="BV39" s="30">
        <v>30</v>
      </c>
      <c r="BW39" s="30"/>
      <c r="BX39" s="66">
        <v>31</v>
      </c>
    </row>
    <row r="40" spans="1:76" x14ac:dyDescent="0.25">
      <c r="A40" s="66" t="s">
        <v>887</v>
      </c>
      <c r="B40" s="66" t="s">
        <v>885</v>
      </c>
      <c r="C40" s="30">
        <v>2013</v>
      </c>
      <c r="D40" s="1">
        <v>0</v>
      </c>
      <c r="E40" s="1">
        <v>0</v>
      </c>
      <c r="F40" s="30">
        <v>1</v>
      </c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67"/>
      <c r="U40" s="67"/>
      <c r="V40" s="67"/>
      <c r="W40" s="67"/>
      <c r="X40" s="67"/>
      <c r="Y40" s="67"/>
      <c r="Z40" s="67"/>
      <c r="AA40" s="67" t="str">
        <f>IF(AND(Tabelle589711143136[[#This Row],[Lastverschiebung]]=1,Tabelle589711143136[[#This Row],[Potenzial pos. min MW]]&lt;&gt;""),Tabelle589711143136[[#This Row],[Potenzial pos. min MW]],"")</f>
        <v/>
      </c>
      <c r="AB40" s="67" t="str">
        <f>IF(AND(Tabelle589711143136[[#This Row],[Lastverschiebung]]=1,Tabelle589711143136[[#This Row],[Potenzial pos. MW Durchschnitt]]&lt;&gt;""),Tabelle589711143136[[#This Row],[Potenzial pos. MW Durchschnitt]],"")</f>
        <v/>
      </c>
      <c r="AC40" s="67" t="str">
        <f>IF(AND(Tabelle589711143136[[#This Row],[Lastverschiebung]]=1,Tabelle589711143136[[#This Row],[Potenzial pos. max MW]]&lt;&gt;""),Tabelle589711143136[[#This Row],[Potenzial pos. max MW]],"")</f>
        <v/>
      </c>
      <c r="AD40" s="67"/>
      <c r="AE40" s="69"/>
      <c r="AF40" s="69"/>
      <c r="AG40" s="73"/>
      <c r="AH40" s="69" t="str">
        <f>IF(Tabelle589711143136[[#This Row],[Vollbenutzungsstunden h/a]]&lt;&gt;"",Tabelle589711143136[[#This Row],[Vollbenutzungsstunden h/a]]/8760,"")</f>
        <v/>
      </c>
      <c r="AI40" s="68"/>
      <c r="AJ40" s="67"/>
      <c r="AK40" s="66"/>
      <c r="AL40" s="66"/>
      <c r="AM40" s="66"/>
      <c r="AN40" s="66"/>
      <c r="AO40" s="1"/>
      <c r="AP40" s="66">
        <v>8760</v>
      </c>
      <c r="AQ40" s="66"/>
      <c r="AR40" s="66"/>
      <c r="AS40" s="19">
        <v>100</v>
      </c>
      <c r="AT40" s="19">
        <v>200</v>
      </c>
      <c r="AU40" s="70">
        <v>-30.31</v>
      </c>
      <c r="AV40" s="70">
        <v>-82.4</v>
      </c>
      <c r="AW40" s="70"/>
      <c r="AX40" s="70"/>
      <c r="AY40" s="70">
        <v>4</v>
      </c>
      <c r="AZ40" s="70">
        <v>8</v>
      </c>
      <c r="BA40" s="1"/>
      <c r="BB40" s="1" t="s">
        <v>918</v>
      </c>
      <c r="BC40" s="1" t="s">
        <v>911</v>
      </c>
      <c r="BD40" s="66">
        <v>23</v>
      </c>
      <c r="BE40" s="66">
        <v>23</v>
      </c>
      <c r="BF40" s="66"/>
      <c r="BG40" s="66"/>
      <c r="BH40" s="66"/>
      <c r="BI40" s="66"/>
      <c r="BJ40" s="66"/>
      <c r="BK40" s="35"/>
      <c r="BL40" s="71"/>
      <c r="BM40" s="71"/>
      <c r="BN40" s="71"/>
      <c r="BO40" s="71"/>
      <c r="BP40" s="30">
        <v>23</v>
      </c>
      <c r="BQ40" s="30">
        <v>23</v>
      </c>
      <c r="BR40" s="30">
        <v>23</v>
      </c>
      <c r="BS40" s="30">
        <v>23</v>
      </c>
      <c r="BT40" s="30">
        <v>30</v>
      </c>
      <c r="BU40" s="30">
        <v>30</v>
      </c>
      <c r="BV40" s="30">
        <v>30</v>
      </c>
      <c r="BW40" s="30"/>
      <c r="BX40" s="1" t="s">
        <v>916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997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861</v>
      </c>
      <c r="P1" s="2" t="s">
        <v>561</v>
      </c>
      <c r="Q1" s="2" t="s">
        <v>1125</v>
      </c>
      <c r="R1" s="2" t="s">
        <v>234</v>
      </c>
      <c r="S1" s="2" t="s">
        <v>115</v>
      </c>
      <c r="T1" s="2" t="s">
        <v>57</v>
      </c>
      <c r="U1" s="2" t="s">
        <v>992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1148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6.4875000000000007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6">
        <v>7520</v>
      </c>
      <c r="P3" s="46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5.1900000000000009E-2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0.24081600000000003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6">
        <v>7110</v>
      </c>
      <c r="P4" s="46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27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1">
        <v>1</v>
      </c>
      <c r="E5" s="21">
        <v>1</v>
      </c>
      <c r="F5" s="1">
        <v>0</v>
      </c>
      <c r="G5" s="21">
        <v>344</v>
      </c>
      <c r="H5" s="21">
        <v>589</v>
      </c>
      <c r="I5" s="22">
        <v>1450</v>
      </c>
      <c r="J5" s="22"/>
      <c r="K5" s="22"/>
      <c r="L5" s="22">
        <v>25</v>
      </c>
      <c r="M5" s="22"/>
      <c r="N5" s="23"/>
      <c r="O5" s="47">
        <v>4120</v>
      </c>
      <c r="P5" s="47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0.17334600000000003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1"/>
      <c r="BB5" s="21">
        <v>129</v>
      </c>
      <c r="BC5" s="21">
        <v>130</v>
      </c>
      <c r="BD5" s="21">
        <v>130</v>
      </c>
      <c r="BE5" s="21">
        <v>130</v>
      </c>
      <c r="BF5" s="21"/>
      <c r="BG5" s="21"/>
      <c r="BH5" s="21">
        <v>176</v>
      </c>
      <c r="BI5" s="21"/>
    </row>
    <row r="6" spans="1:61" x14ac:dyDescent="0.2">
      <c r="A6" s="1" t="s">
        <v>416</v>
      </c>
      <c r="B6" s="1" t="s">
        <v>128</v>
      </c>
      <c r="C6" s="1">
        <v>2013</v>
      </c>
      <c r="D6" s="21">
        <v>1</v>
      </c>
      <c r="E6" s="21">
        <v>1</v>
      </c>
      <c r="F6" s="1">
        <v>0</v>
      </c>
      <c r="G6" s="21">
        <v>1.4</v>
      </c>
      <c r="H6" s="21">
        <v>22</v>
      </c>
      <c r="I6" s="22">
        <v>419</v>
      </c>
      <c r="J6" s="22">
        <v>0</v>
      </c>
      <c r="K6" s="22">
        <v>11</v>
      </c>
      <c r="L6" s="22"/>
      <c r="M6" s="22"/>
      <c r="N6" s="23"/>
      <c r="O6" s="47">
        <v>6490</v>
      </c>
      <c r="P6" s="47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3">
        <f>Tabelle58971116[[#This Row],[Durchschnittsauslastung]]*Tabelle58971116[[#This Row],[installierte Leistung MW]]</f>
        <v>636.59872611464971</v>
      </c>
      <c r="T6" s="22">
        <v>770</v>
      </c>
      <c r="U6" s="22">
        <f>5/60</f>
        <v>8.3333333333333329E-2</v>
      </c>
      <c r="V6" s="22">
        <f>0.25</f>
        <v>0.25</v>
      </c>
      <c r="W6" s="21"/>
      <c r="X6" s="21"/>
      <c r="Y6" s="21"/>
      <c r="Z6" s="21">
        <v>16</v>
      </c>
      <c r="AA6" s="21">
        <v>16</v>
      </c>
      <c r="AB6" s="21">
        <v>12</v>
      </c>
      <c r="AC6" s="21">
        <v>20</v>
      </c>
      <c r="AD6" s="21"/>
      <c r="AE6" s="1" t="s">
        <v>440</v>
      </c>
      <c r="AF6" s="21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12.975000000000001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5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1">
        <v>143</v>
      </c>
      <c r="AU6" s="26"/>
      <c r="AV6" s="1" t="s">
        <v>418</v>
      </c>
      <c r="AW6" s="26"/>
      <c r="AX6" s="26"/>
      <c r="AY6" s="26">
        <v>137</v>
      </c>
      <c r="AZ6" s="1" t="s">
        <v>437</v>
      </c>
      <c r="BA6" s="1" t="s">
        <v>438</v>
      </c>
      <c r="BB6" s="21">
        <v>138</v>
      </c>
      <c r="BC6" s="21">
        <v>139</v>
      </c>
      <c r="BD6" s="21">
        <v>139</v>
      </c>
      <c r="BE6" s="21">
        <v>139</v>
      </c>
      <c r="BF6" s="21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6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840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836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836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0" t="s">
        <v>141</v>
      </c>
      <c r="C4" s="30">
        <v>2015</v>
      </c>
      <c r="D4" s="1">
        <v>1</v>
      </c>
      <c r="E4" s="1">
        <v>0</v>
      </c>
      <c r="F4" s="1">
        <v>0</v>
      </c>
      <c r="H4" s="31">
        <v>47</v>
      </c>
      <c r="I4" s="31"/>
      <c r="J4" s="60"/>
      <c r="K4" s="60"/>
      <c r="L4" s="60">
        <v>1</v>
      </c>
      <c r="M4" s="60">
        <v>2</v>
      </c>
      <c r="N4" s="1" t="s">
        <v>837</v>
      </c>
      <c r="O4" s="1" t="s">
        <v>838</v>
      </c>
      <c r="P4" s="35">
        <v>22</v>
      </c>
      <c r="Q4" s="30">
        <v>22</v>
      </c>
      <c r="R4" s="1" t="s">
        <v>461</v>
      </c>
      <c r="S4" s="1" t="s">
        <v>461</v>
      </c>
    </row>
    <row r="5" spans="1:19" x14ac:dyDescent="0.2">
      <c r="A5" s="55" t="s">
        <v>152</v>
      </c>
      <c r="B5" s="55" t="s">
        <v>141</v>
      </c>
      <c r="C5" s="55">
        <v>2015</v>
      </c>
      <c r="D5" s="1">
        <v>1</v>
      </c>
      <c r="E5" s="1">
        <v>0</v>
      </c>
      <c r="F5" s="1">
        <v>0</v>
      </c>
      <c r="H5" s="56"/>
      <c r="I5" s="56">
        <v>2316</v>
      </c>
      <c r="J5" s="60"/>
      <c r="K5" s="60"/>
      <c r="L5" s="60"/>
      <c r="M5" s="60"/>
      <c r="N5" s="55" t="s">
        <v>839</v>
      </c>
      <c r="O5" s="55">
        <v>15</v>
      </c>
      <c r="P5" s="62">
        <v>23</v>
      </c>
      <c r="Q5" s="55"/>
      <c r="R5" s="55"/>
      <c r="S5" s="55">
        <v>23</v>
      </c>
    </row>
    <row r="6" spans="1:19" x14ac:dyDescent="0.2">
      <c r="A6" s="55" t="s">
        <v>364</v>
      </c>
      <c r="B6" s="55" t="s">
        <v>141</v>
      </c>
      <c r="C6" s="55">
        <v>2015</v>
      </c>
      <c r="D6" s="1">
        <v>1</v>
      </c>
      <c r="E6" s="1">
        <v>0</v>
      </c>
      <c r="F6" s="1">
        <v>0</v>
      </c>
      <c r="H6" s="56"/>
      <c r="I6" s="56"/>
      <c r="J6" s="60"/>
      <c r="K6" s="60"/>
      <c r="L6" s="60"/>
      <c r="M6" s="60"/>
      <c r="N6" s="55"/>
      <c r="O6" s="55"/>
      <c r="P6" s="62"/>
      <c r="Q6" s="55"/>
      <c r="R6" s="55"/>
      <c r="S6" s="55"/>
    </row>
    <row r="7" spans="1:19" x14ac:dyDescent="0.2">
      <c r="A7" s="55" t="s">
        <v>140</v>
      </c>
      <c r="B7" s="55" t="s">
        <v>141</v>
      </c>
      <c r="C7" s="55">
        <v>2015</v>
      </c>
      <c r="D7" s="55">
        <v>1</v>
      </c>
      <c r="E7" s="55">
        <v>0</v>
      </c>
      <c r="F7" s="1">
        <v>0</v>
      </c>
      <c r="G7" s="55">
        <v>13.2</v>
      </c>
      <c r="H7" s="56"/>
      <c r="I7" s="56">
        <v>6000</v>
      </c>
      <c r="J7" s="60"/>
      <c r="K7" s="60">
        <v>26000</v>
      </c>
      <c r="L7" s="60"/>
      <c r="M7" s="60"/>
      <c r="N7" s="55"/>
      <c r="O7" s="55"/>
      <c r="P7" s="62">
        <v>27</v>
      </c>
      <c r="Q7" s="55">
        <v>27</v>
      </c>
      <c r="R7" s="55"/>
      <c r="S7" s="55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1127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1145</v>
      </c>
      <c r="U1" s="2" t="s">
        <v>1146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1142</v>
      </c>
      <c r="AH1" s="2" t="s">
        <v>1143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1136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7874.0987124463518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2628.4120171673821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170.40128755364807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501.18025751072963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59.807510729613739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167.06008583690988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59.807510729613739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1325.343347639485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668.24034334763951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1325.343347639485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946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7875.2124463519312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100.23605150214593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946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100.23605150214593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111.37339055793991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111.37339055793991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1126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1126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100.23605150214593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100.23605150214593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199.35836909871242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388.69313304721032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27.843347639484978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16.706008583690988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5"/>
      <c r="R44" s="65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5"/>
      <c r="R45" s="65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1148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1140</v>
      </c>
      <c r="X1" s="2" t="s">
        <v>1141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1136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946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16.706008583690988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445.49356223175965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946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16.706008583690988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445.49356223175965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111.37339055793991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111.37339055793991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16.706008583690988</v>
      </c>
      <c r="V8" s="19"/>
      <c r="W8" s="8"/>
      <c r="X8" s="8"/>
      <c r="Y8" s="8">
        <f>10*Umrechnungsfaktoren!$B$15/Umrechnungsfaktoren!$B$7</f>
        <v>11.137339055793991</v>
      </c>
      <c r="Z8" s="97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16.706008583690988</v>
      </c>
      <c r="V9" s="19"/>
      <c r="W9" s="8"/>
      <c r="X9" s="8"/>
      <c r="Y9" s="8">
        <f>10*Umrechnungsfaktoren!$B$15/Umrechnungsfaktoren!$B$7</f>
        <v>11.137339055793991</v>
      </c>
      <c r="Z9" s="97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873</v>
      </c>
      <c r="H1" s="2" t="s">
        <v>874</v>
      </c>
      <c r="I1" s="2" t="s">
        <v>840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1145</v>
      </c>
      <c r="AC1" s="2" t="s">
        <v>1148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1153</v>
      </c>
      <c r="AN1" s="2" t="s">
        <v>1154</v>
      </c>
      <c r="AO1" s="2" t="s">
        <v>12</v>
      </c>
      <c r="AP1" s="2" t="s">
        <v>230</v>
      </c>
      <c r="AQ1" s="2" t="s">
        <v>1141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875</v>
      </c>
      <c r="AY1" s="2" t="s">
        <v>1</v>
      </c>
      <c r="AZ1" s="2" t="s">
        <v>2</v>
      </c>
      <c r="BA1" s="2" t="s">
        <v>1136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6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169.38507462686565</v>
      </c>
      <c r="AR2" s="8">
        <f>0.05*Umrechnungsfaktoren!$B$15/Umrechnungsfaktoren!$B$13</f>
        <v>5.1641791044776127E-2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6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169.38507462686565</v>
      </c>
      <c r="AR3" s="8">
        <f>0.05*Umrechnungsfaktoren!$B$15/Umrechnungsfaktoren!$B$13</f>
        <v>5.1641791044776127E-2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6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169.38507462686565</v>
      </c>
      <c r="AR4" s="8">
        <f>0.05*Umrechnungsfaktoren!$B$15/Umrechnungsfaktoren!$B$13</f>
        <v>5.1641791044776127E-2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6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169.38507462686565</v>
      </c>
      <c r="AR5" s="8">
        <f>0.05*Umrechnungsfaktoren!$B$15/Umrechnungsfaktoren!$B$13</f>
        <v>5.1641791044776127E-2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6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5.1641791044776127E-2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6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5.1641791044776127E-2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6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5.1641791044776127E-2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6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5.1641791044776127E-2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6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447.21791044776114</v>
      </c>
      <c r="AR10" s="8">
        <f>0.05*Umrechnungsfaktoren!$B$15/Umrechnungsfaktoren!$B$13</f>
        <v>5.1641791044776127E-2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6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447.21791044776114</v>
      </c>
      <c r="AR11" s="8">
        <f>0.05*Umrechnungsfaktoren!$B$15/Umrechnungsfaktoren!$B$13</f>
        <v>5.1641791044776127E-2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6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447.21791044776114</v>
      </c>
      <c r="AR12" s="8">
        <f>0.05*Umrechnungsfaktoren!$B$15/Umrechnungsfaktoren!$B$13</f>
        <v>5.1641791044776127E-2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6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447.21791044776114</v>
      </c>
      <c r="AR13" s="8">
        <f>0.05*Umrechnungsfaktoren!$B$15/Umrechnungsfaktoren!$B$13</f>
        <v>5.1641791044776127E-2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6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447.21791044776114</v>
      </c>
      <c r="AR14" s="8">
        <f>0.05*Umrechnungsfaktoren!$B$15/Umrechnungsfaktoren!$B$13</f>
        <v>5.1641791044776127E-2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6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447.21791044776114</v>
      </c>
      <c r="AR15" s="8">
        <f>0.05*Umrechnungsfaktoren!$B$15/Umrechnungsfaktoren!$B$13</f>
        <v>5.1641791044776127E-2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6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447.21791044776114</v>
      </c>
      <c r="AR16" s="8">
        <f>0.05*Umrechnungsfaktoren!$B$15/Umrechnungsfaktoren!$B$13</f>
        <v>5.1641791044776127E-2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6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447.21791044776114</v>
      </c>
      <c r="AR17" s="8">
        <f>0.05*Umrechnungsfaktoren!$B$15/Umrechnungsfaktoren!$B$13</f>
        <v>5.1641791044776127E-2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2"/>
      <c r="K18" s="22"/>
      <c r="L18" s="22">
        <f>753-40</f>
        <v>713</v>
      </c>
      <c r="M18" s="22">
        <v>1114</v>
      </c>
      <c r="N18" s="22"/>
      <c r="O18" s="22"/>
      <c r="P18" s="22"/>
      <c r="Q18" s="22">
        <v>753</v>
      </c>
      <c r="R18" s="22"/>
      <c r="S18" s="24">
        <v>0.75</v>
      </c>
      <c r="T18" s="24"/>
      <c r="U18" s="47">
        <v>6100</v>
      </c>
      <c r="V18" s="23">
        <v>1004</v>
      </c>
      <c r="W18" s="24"/>
      <c r="X18" s="1">
        <f t="shared" ref="X18:X25" si="1">5/60</f>
        <v>8.3333333333333329E-2</v>
      </c>
      <c r="Y18" s="21"/>
      <c r="Z18" s="21"/>
      <c r="AA18" s="1">
        <v>1</v>
      </c>
      <c r="AC18" s="1">
        <v>1</v>
      </c>
      <c r="AE18" s="21"/>
      <c r="AF18" s="1">
        <v>1</v>
      </c>
      <c r="AG18" s="21"/>
      <c r="AH18" s="21"/>
      <c r="AI18" s="21">
        <v>2</v>
      </c>
      <c r="AJ18" s="21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5">
        <f>0.05*Umrechnungsfaktoren!$B$15/Umrechnungsfaktoren!$B$13</f>
        <v>5.1641791044776127E-2</v>
      </c>
      <c r="AS18" s="25"/>
      <c r="AT18" s="21"/>
      <c r="AU18" s="21"/>
      <c r="AV18" s="1">
        <v>213</v>
      </c>
      <c r="AW18" s="1">
        <v>214</v>
      </c>
      <c r="AX18" s="21"/>
      <c r="AY18" s="13" t="s">
        <v>548</v>
      </c>
      <c r="AZ18" s="13" t="s">
        <v>547</v>
      </c>
      <c r="BA18" s="13">
        <v>213</v>
      </c>
      <c r="BB18" s="26"/>
      <c r="BC18" s="13">
        <v>213</v>
      </c>
      <c r="BD18" s="26"/>
      <c r="BE18" s="26"/>
      <c r="BF18" s="26">
        <v>242</v>
      </c>
      <c r="BG18" s="1">
        <v>213</v>
      </c>
      <c r="BH18" s="1">
        <v>213</v>
      </c>
      <c r="BI18" s="21"/>
      <c r="BJ18" s="1">
        <v>213</v>
      </c>
      <c r="BK18" s="1" t="s">
        <v>557</v>
      </c>
      <c r="BL18" s="1" t="s">
        <v>558</v>
      </c>
      <c r="BM18" s="1" t="s">
        <v>557</v>
      </c>
      <c r="BN18" s="21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2"/>
      <c r="K19" s="22"/>
      <c r="L19" s="22">
        <f>713/753*750</f>
        <v>710.15936254980079</v>
      </c>
      <c r="M19" s="22">
        <f>1164/1169*M18</f>
        <v>1109.2352437981181</v>
      </c>
      <c r="N19" s="22"/>
      <c r="O19" s="22"/>
      <c r="P19" s="22"/>
      <c r="Q19" s="22">
        <v>750</v>
      </c>
      <c r="R19" s="22"/>
      <c r="S19" s="24">
        <v>0.75</v>
      </c>
      <c r="T19" s="24"/>
      <c r="U19" s="47">
        <v>6100</v>
      </c>
      <c r="V19" s="23"/>
      <c r="W19" s="24"/>
      <c r="X19" s="1">
        <f t="shared" si="1"/>
        <v>8.3333333333333329E-2</v>
      </c>
      <c r="Y19" s="21"/>
      <c r="Z19" s="21"/>
      <c r="AA19" s="1">
        <v>1</v>
      </c>
      <c r="AC19" s="1">
        <v>1</v>
      </c>
      <c r="AE19" s="21"/>
      <c r="AF19" s="1">
        <v>1</v>
      </c>
      <c r="AG19" s="21"/>
      <c r="AH19" s="21"/>
      <c r="AI19" s="21">
        <v>2</v>
      </c>
      <c r="AJ19" s="21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5">
        <f>0.05*Umrechnungsfaktoren!$B$15/Umrechnungsfaktoren!$B$13</f>
        <v>5.1641791044776127E-2</v>
      </c>
      <c r="AS19" s="25"/>
      <c r="AT19" s="21"/>
      <c r="AU19" s="21"/>
      <c r="AV19" s="1">
        <v>213</v>
      </c>
      <c r="AW19" s="1">
        <v>214</v>
      </c>
      <c r="AX19" s="21"/>
      <c r="AY19" s="13" t="s">
        <v>548</v>
      </c>
      <c r="AZ19" s="13" t="s">
        <v>547</v>
      </c>
      <c r="BA19" s="13">
        <v>213</v>
      </c>
      <c r="BB19" s="26"/>
      <c r="BC19" s="13">
        <v>213</v>
      </c>
      <c r="BD19" s="26"/>
      <c r="BE19" s="26"/>
      <c r="BF19" s="26">
        <v>242</v>
      </c>
      <c r="BG19" s="1">
        <v>213</v>
      </c>
      <c r="BH19" s="1">
        <v>213</v>
      </c>
      <c r="BI19" s="21"/>
      <c r="BJ19" s="1">
        <v>213</v>
      </c>
      <c r="BK19" s="1" t="s">
        <v>557</v>
      </c>
      <c r="BL19" s="1" t="s">
        <v>558</v>
      </c>
      <c r="BM19" s="1" t="s">
        <v>557</v>
      </c>
      <c r="BN19" s="21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2"/>
      <c r="K20" s="22"/>
      <c r="L20" s="22">
        <f>713/753*773</f>
        <v>731.93758300132811</v>
      </c>
      <c r="M20" s="22">
        <f>1210/1169*M18</f>
        <v>1153.071000855432</v>
      </c>
      <c r="N20" s="22"/>
      <c r="O20" s="22"/>
      <c r="P20" s="22"/>
      <c r="Q20" s="22">
        <v>773</v>
      </c>
      <c r="R20" s="22"/>
      <c r="S20" s="24">
        <v>0.75</v>
      </c>
      <c r="T20" s="24"/>
      <c r="U20" s="47">
        <v>6100</v>
      </c>
      <c r="V20" s="23"/>
      <c r="W20" s="24"/>
      <c r="X20" s="1">
        <f t="shared" si="1"/>
        <v>8.3333333333333329E-2</v>
      </c>
      <c r="Y20" s="21"/>
      <c r="Z20" s="21"/>
      <c r="AA20" s="1">
        <v>1</v>
      </c>
      <c r="AC20" s="1">
        <v>1</v>
      </c>
      <c r="AE20" s="21"/>
      <c r="AF20" s="1">
        <v>1</v>
      </c>
      <c r="AG20" s="21"/>
      <c r="AH20" s="21"/>
      <c r="AI20" s="21">
        <v>2</v>
      </c>
      <c r="AJ20" s="21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5">
        <f>0.05*Umrechnungsfaktoren!$B$15/Umrechnungsfaktoren!$B$13</f>
        <v>5.1641791044776127E-2</v>
      </c>
      <c r="AS20" s="25"/>
      <c r="AT20" s="21"/>
      <c r="AU20" s="21"/>
      <c r="AV20" s="1">
        <v>213</v>
      </c>
      <c r="AW20" s="1">
        <v>214</v>
      </c>
      <c r="AX20" s="21"/>
      <c r="AY20" s="13" t="s">
        <v>548</v>
      </c>
      <c r="AZ20" s="13" t="s">
        <v>547</v>
      </c>
      <c r="BA20" s="13">
        <v>213</v>
      </c>
      <c r="BB20" s="26"/>
      <c r="BC20" s="13">
        <v>213</v>
      </c>
      <c r="BD20" s="26"/>
      <c r="BE20" s="26"/>
      <c r="BF20" s="26">
        <v>242</v>
      </c>
      <c r="BG20" s="1">
        <v>213</v>
      </c>
      <c r="BH20" s="1">
        <v>213</v>
      </c>
      <c r="BI20" s="21"/>
      <c r="BJ20" s="1">
        <v>213</v>
      </c>
      <c r="BK20" s="1" t="s">
        <v>557</v>
      </c>
      <c r="BL20" s="1" t="s">
        <v>558</v>
      </c>
      <c r="BM20" s="1" t="s">
        <v>557</v>
      </c>
      <c r="BN20" s="21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2"/>
      <c r="K21" s="22"/>
      <c r="L21" s="22">
        <f>713/753*755</f>
        <v>714.89375830013284</v>
      </c>
      <c r="M21" s="22">
        <f>1172/1169*M18</f>
        <v>1116.8588537211292</v>
      </c>
      <c r="N21" s="22"/>
      <c r="O21" s="22"/>
      <c r="P21" s="22"/>
      <c r="Q21" s="22">
        <v>755</v>
      </c>
      <c r="R21" s="22"/>
      <c r="S21" s="24">
        <v>0.75</v>
      </c>
      <c r="T21" s="24"/>
      <c r="U21" s="47">
        <v>6100</v>
      </c>
      <c r="V21" s="23"/>
      <c r="W21" s="24"/>
      <c r="X21" s="1">
        <f t="shared" si="1"/>
        <v>8.3333333333333329E-2</v>
      </c>
      <c r="Y21" s="21"/>
      <c r="Z21" s="21"/>
      <c r="AA21" s="1">
        <v>1</v>
      </c>
      <c r="AC21" s="1">
        <v>1</v>
      </c>
      <c r="AE21" s="21"/>
      <c r="AF21" s="1">
        <v>1</v>
      </c>
      <c r="AG21" s="21"/>
      <c r="AH21" s="21"/>
      <c r="AI21" s="21">
        <v>2</v>
      </c>
      <c r="AJ21" s="21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5">
        <f>0.05*Umrechnungsfaktoren!$B$15/Umrechnungsfaktoren!$B$13</f>
        <v>5.1641791044776127E-2</v>
      </c>
      <c r="AS21" s="25"/>
      <c r="AT21" s="21"/>
      <c r="AU21" s="21"/>
      <c r="AV21" s="1">
        <v>213</v>
      </c>
      <c r="AW21" s="1">
        <v>214</v>
      </c>
      <c r="AX21" s="21"/>
      <c r="AY21" s="13" t="s">
        <v>548</v>
      </c>
      <c r="AZ21" s="13" t="s">
        <v>547</v>
      </c>
      <c r="BA21" s="13">
        <v>213</v>
      </c>
      <c r="BB21" s="26"/>
      <c r="BC21" s="13">
        <v>213</v>
      </c>
      <c r="BD21" s="26"/>
      <c r="BE21" s="26"/>
      <c r="BF21" s="26">
        <v>242</v>
      </c>
      <c r="BG21" s="1">
        <v>213</v>
      </c>
      <c r="BH21" s="1">
        <v>213</v>
      </c>
      <c r="BI21" s="21"/>
      <c r="BJ21" s="1">
        <v>213</v>
      </c>
      <c r="BK21" s="1" t="s">
        <v>557</v>
      </c>
      <c r="BL21" s="1" t="s">
        <v>558</v>
      </c>
      <c r="BM21" s="1" t="s">
        <v>557</v>
      </c>
      <c r="BN21" s="21"/>
    </row>
    <row r="22" spans="1:66" x14ac:dyDescent="0.2">
      <c r="A22" s="1" t="s">
        <v>946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2"/>
      <c r="K22" s="22"/>
      <c r="L22" s="22">
        <f>53+121-20</f>
        <v>154</v>
      </c>
      <c r="M22" s="22">
        <v>921</v>
      </c>
      <c r="N22" s="22"/>
      <c r="O22" s="22"/>
      <c r="P22" s="22"/>
      <c r="Q22" s="22">
        <v>174</v>
      </c>
      <c r="R22" s="22"/>
      <c r="S22" s="24">
        <v>0.4</v>
      </c>
      <c r="T22" s="24"/>
      <c r="U22" s="47">
        <v>5500</v>
      </c>
      <c r="V22" s="23">
        <f>131+301</f>
        <v>432</v>
      </c>
      <c r="W22" s="24"/>
      <c r="X22" s="1">
        <f t="shared" si="1"/>
        <v>8.3333333333333329E-2</v>
      </c>
      <c r="Y22" s="21"/>
      <c r="Z22" s="21"/>
      <c r="AA22" s="1">
        <v>1</v>
      </c>
      <c r="AC22" s="1">
        <v>1</v>
      </c>
      <c r="AE22" s="21"/>
      <c r="AF22" s="1">
        <v>1</v>
      </c>
      <c r="AG22" s="21"/>
      <c r="AH22" s="21"/>
      <c r="AI22" s="21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5">
        <f>0.05*Umrechnungsfaktoren!$B$15/Umrechnungsfaktoren!$B$13</f>
        <v>5.1641791044776127E-2</v>
      </c>
      <c r="AS22" s="25"/>
      <c r="AT22" s="21"/>
      <c r="AU22" s="21"/>
      <c r="AV22" s="1">
        <v>213</v>
      </c>
      <c r="AW22" s="1">
        <v>214</v>
      </c>
      <c r="AX22" s="21"/>
      <c r="AY22" s="13" t="s">
        <v>548</v>
      </c>
      <c r="AZ22" s="13" t="s">
        <v>547</v>
      </c>
      <c r="BA22" s="13">
        <v>213</v>
      </c>
      <c r="BB22" s="26"/>
      <c r="BC22" s="13">
        <v>213</v>
      </c>
      <c r="BD22" s="26"/>
      <c r="BE22" s="26"/>
      <c r="BF22" s="26">
        <v>242</v>
      </c>
      <c r="BG22" s="1">
        <v>213</v>
      </c>
      <c r="BH22" s="1">
        <v>213</v>
      </c>
      <c r="BI22" s="21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1"/>
    </row>
    <row r="23" spans="1:66" x14ac:dyDescent="0.2">
      <c r="A23" s="1" t="s">
        <v>946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2"/>
      <c r="K23" s="22"/>
      <c r="L23" s="22">
        <f>154/174*172</f>
        <v>152.22988505747128</v>
      </c>
      <c r="M23" s="22">
        <f>1040/1045*M22</f>
        <v>916.59330143540672</v>
      </c>
      <c r="N23" s="22"/>
      <c r="O23" s="22"/>
      <c r="P23" s="22"/>
      <c r="Q23" s="22">
        <v>172</v>
      </c>
      <c r="R23" s="22"/>
      <c r="S23" s="24">
        <v>0.4</v>
      </c>
      <c r="T23" s="24"/>
      <c r="U23" s="47">
        <v>5500</v>
      </c>
      <c r="V23" s="23"/>
      <c r="W23" s="24"/>
      <c r="X23" s="1">
        <f t="shared" si="1"/>
        <v>8.3333333333333329E-2</v>
      </c>
      <c r="Y23" s="21"/>
      <c r="Z23" s="21"/>
      <c r="AA23" s="1">
        <v>1</v>
      </c>
      <c r="AC23" s="1">
        <v>1</v>
      </c>
      <c r="AE23" s="21"/>
      <c r="AF23" s="1">
        <v>1</v>
      </c>
      <c r="AG23" s="21"/>
      <c r="AH23" s="21"/>
      <c r="AI23" s="21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5">
        <f>0.05*Umrechnungsfaktoren!$B$15/Umrechnungsfaktoren!$B$13</f>
        <v>5.1641791044776127E-2</v>
      </c>
      <c r="AS23" s="25"/>
      <c r="AT23" s="21"/>
      <c r="AU23" s="21"/>
      <c r="AV23" s="1">
        <v>213</v>
      </c>
      <c r="AW23" s="1">
        <v>214</v>
      </c>
      <c r="AX23" s="21"/>
      <c r="AY23" s="13" t="s">
        <v>548</v>
      </c>
      <c r="AZ23" s="13" t="s">
        <v>547</v>
      </c>
      <c r="BA23" s="13">
        <v>213</v>
      </c>
      <c r="BB23" s="26"/>
      <c r="BC23" s="13">
        <v>213</v>
      </c>
      <c r="BD23" s="26"/>
      <c r="BE23" s="26"/>
      <c r="BF23" s="26">
        <v>242</v>
      </c>
      <c r="BG23" s="1">
        <v>213</v>
      </c>
      <c r="BH23" s="1">
        <v>213</v>
      </c>
      <c r="BI23" s="21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1"/>
    </row>
    <row r="24" spans="1:66" x14ac:dyDescent="0.2">
      <c r="A24" s="1" t="s">
        <v>946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2"/>
      <c r="K24" s="22"/>
      <c r="L24" s="22">
        <f>154/174*171</f>
        <v>151.34482758620689</v>
      </c>
      <c r="M24" s="22">
        <f>1033/1045*M22</f>
        <v>910.42392344497603</v>
      </c>
      <c r="N24" s="22"/>
      <c r="O24" s="22"/>
      <c r="P24" s="22"/>
      <c r="Q24" s="22">
        <v>171</v>
      </c>
      <c r="R24" s="22"/>
      <c r="S24" s="24">
        <v>0.4</v>
      </c>
      <c r="T24" s="24"/>
      <c r="U24" s="47">
        <v>5500</v>
      </c>
      <c r="V24" s="23"/>
      <c r="W24" s="24"/>
      <c r="X24" s="1">
        <f t="shared" si="1"/>
        <v>8.3333333333333329E-2</v>
      </c>
      <c r="Y24" s="21"/>
      <c r="Z24" s="21"/>
      <c r="AA24" s="1">
        <v>1</v>
      </c>
      <c r="AC24" s="1">
        <v>1</v>
      </c>
      <c r="AE24" s="21"/>
      <c r="AF24" s="1">
        <v>1</v>
      </c>
      <c r="AG24" s="21"/>
      <c r="AH24" s="21"/>
      <c r="AI24" s="21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5">
        <f>0.05*Umrechnungsfaktoren!$B$15/Umrechnungsfaktoren!$B$13</f>
        <v>5.1641791044776127E-2</v>
      </c>
      <c r="AS24" s="25"/>
      <c r="AT24" s="21"/>
      <c r="AU24" s="21"/>
      <c r="AV24" s="1">
        <v>213</v>
      </c>
      <c r="AW24" s="1">
        <v>214</v>
      </c>
      <c r="AX24" s="21"/>
      <c r="AY24" s="13" t="s">
        <v>548</v>
      </c>
      <c r="AZ24" s="13" t="s">
        <v>547</v>
      </c>
      <c r="BA24" s="13">
        <v>213</v>
      </c>
      <c r="BB24" s="26"/>
      <c r="BC24" s="13">
        <v>213</v>
      </c>
      <c r="BD24" s="26"/>
      <c r="BE24" s="26"/>
      <c r="BF24" s="26">
        <v>242</v>
      </c>
      <c r="BG24" s="1">
        <v>213</v>
      </c>
      <c r="BH24" s="1">
        <v>213</v>
      </c>
      <c r="BI24" s="21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1"/>
    </row>
    <row r="25" spans="1:66" x14ac:dyDescent="0.2">
      <c r="A25" s="1" t="s">
        <v>946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2"/>
      <c r="K25" s="22"/>
      <c r="L25" s="22">
        <f>154/174*169</f>
        <v>149.57471264367817</v>
      </c>
      <c r="M25" s="22">
        <f>1023/1045*M22</f>
        <v>901.61052631578957</v>
      </c>
      <c r="N25" s="22"/>
      <c r="O25" s="22"/>
      <c r="P25" s="22"/>
      <c r="Q25" s="22">
        <v>169</v>
      </c>
      <c r="R25" s="22"/>
      <c r="S25" s="24">
        <v>0.4</v>
      </c>
      <c r="T25" s="24"/>
      <c r="U25" s="47">
        <v>5500</v>
      </c>
      <c r="V25" s="23"/>
      <c r="W25" s="24"/>
      <c r="X25" s="1">
        <f t="shared" si="1"/>
        <v>8.3333333333333329E-2</v>
      </c>
      <c r="Y25" s="21"/>
      <c r="Z25" s="21"/>
      <c r="AA25" s="1">
        <v>1</v>
      </c>
      <c r="AC25" s="1">
        <v>1</v>
      </c>
      <c r="AE25" s="21"/>
      <c r="AF25" s="1">
        <v>1</v>
      </c>
      <c r="AG25" s="21"/>
      <c r="AH25" s="21"/>
      <c r="AI25" s="21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5">
        <f>0.05*Umrechnungsfaktoren!$B$15/Umrechnungsfaktoren!$B$13</f>
        <v>5.1641791044776127E-2</v>
      </c>
      <c r="AS25" s="25"/>
      <c r="AT25" s="21"/>
      <c r="AU25" s="21"/>
      <c r="AV25" s="1">
        <v>213</v>
      </c>
      <c r="AW25" s="1">
        <v>214</v>
      </c>
      <c r="AX25" s="21"/>
      <c r="AY25" s="13" t="s">
        <v>548</v>
      </c>
      <c r="AZ25" s="13" t="s">
        <v>547</v>
      </c>
      <c r="BA25" s="13">
        <v>213</v>
      </c>
      <c r="BB25" s="26"/>
      <c r="BC25" s="13">
        <v>213</v>
      </c>
      <c r="BD25" s="26"/>
      <c r="BE25" s="26"/>
      <c r="BF25" s="26">
        <v>242</v>
      </c>
      <c r="BG25" s="1">
        <v>213</v>
      </c>
      <c r="BH25" s="1">
        <v>213</v>
      </c>
      <c r="BI25" s="21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1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6"/>
      <c r="V26" s="20"/>
      <c r="W26" s="9"/>
      <c r="AO26" s="22">
        <f>6.2*Umrechnungsfaktoren!$B$15/Umrechnungsfaktoren!$B$13</f>
        <v>6.4035820895522386</v>
      </c>
      <c r="AP26" s="8"/>
      <c r="AQ26" s="8"/>
      <c r="AR26" s="8"/>
      <c r="AS26" s="8"/>
      <c r="AT26" s="22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6"/>
      <c r="V27" s="20"/>
      <c r="W27" s="9"/>
      <c r="AO27" s="22">
        <v>5.6</v>
      </c>
      <c r="AP27" s="8"/>
      <c r="AQ27" s="8"/>
      <c r="AR27" s="8"/>
      <c r="AS27" s="8"/>
      <c r="AT27" s="22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6"/>
      <c r="V28" s="20"/>
      <c r="W28" s="9"/>
      <c r="AO28" s="22">
        <v>5.3</v>
      </c>
      <c r="AP28" s="8"/>
      <c r="AQ28" s="8"/>
      <c r="AR28" s="8"/>
      <c r="AS28" s="8"/>
      <c r="AT28" s="22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6"/>
      <c r="V29" s="20"/>
      <c r="W29" s="9"/>
      <c r="AO29" s="22">
        <v>4.9000000000000004</v>
      </c>
      <c r="AP29" s="8"/>
      <c r="AQ29" s="8"/>
      <c r="AR29" s="8"/>
      <c r="AS29" s="8"/>
      <c r="AT29" s="22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6"/>
      <c r="V30" s="20"/>
      <c r="W30" s="9"/>
      <c r="Y30" s="65"/>
      <c r="Z30" s="65"/>
      <c r="AB30" s="1">
        <v>0.25</v>
      </c>
      <c r="AC30" s="1">
        <v>2</v>
      </c>
      <c r="AO30" s="22">
        <f>6.2*Umrechnungsfaktoren!$B$15/Umrechnungsfaktoren!$B$13</f>
        <v>6.4035820895522386</v>
      </c>
      <c r="AP30" s="8"/>
      <c r="AQ30" s="8"/>
      <c r="AR30" s="8"/>
      <c r="AS30" s="8"/>
      <c r="AT30" s="22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6"/>
      <c r="V31" s="20"/>
      <c r="W31" s="9"/>
      <c r="AO31" s="22">
        <v>5.6</v>
      </c>
      <c r="AP31" s="8"/>
      <c r="AQ31" s="8"/>
      <c r="AR31" s="8"/>
      <c r="AS31" s="8"/>
      <c r="AT31" s="22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6"/>
      <c r="V32" s="20"/>
      <c r="W32" s="9"/>
      <c r="AO32" s="22">
        <v>5.3</v>
      </c>
      <c r="AP32" s="8"/>
      <c r="AQ32" s="8"/>
      <c r="AR32" s="8"/>
      <c r="AS32" s="8"/>
      <c r="AT32" s="22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6"/>
      <c r="V33" s="20"/>
      <c r="W33" s="9"/>
      <c r="AO33" s="22">
        <v>4.9000000000000004</v>
      </c>
      <c r="AP33" s="8"/>
      <c r="AQ33" s="8"/>
      <c r="AR33" s="8"/>
      <c r="AS33" s="8"/>
      <c r="AT33" s="22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6"/>
      <c r="V34" s="20"/>
      <c r="W34" s="9"/>
      <c r="AO34" s="22">
        <f>6.2*Umrechnungsfaktoren!$B$15/Umrechnungsfaktoren!$B$13</f>
        <v>6.4035820895522386</v>
      </c>
      <c r="AP34" s="8"/>
      <c r="AQ34" s="8"/>
      <c r="AR34" s="8"/>
      <c r="AS34" s="8"/>
      <c r="AT34" s="22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6"/>
      <c r="V35" s="20"/>
      <c r="W35" s="9"/>
      <c r="X35" s="1">
        <f>5/60</f>
        <v>8.3333333333333329E-2</v>
      </c>
      <c r="AO35" s="22">
        <v>5.6</v>
      </c>
      <c r="AP35" s="8"/>
      <c r="AQ35" s="8"/>
      <c r="AR35" s="8"/>
      <c r="AS35" s="8"/>
      <c r="AT35" s="22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6"/>
      <c r="V36" s="20"/>
      <c r="W36" s="9"/>
      <c r="X36" s="1">
        <f>5/60</f>
        <v>8.3333333333333329E-2</v>
      </c>
      <c r="AO36" s="22">
        <v>5.3</v>
      </c>
      <c r="AP36" s="8"/>
      <c r="AQ36" s="8"/>
      <c r="AR36" s="8"/>
      <c r="AS36" s="8"/>
      <c r="AT36" s="22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6"/>
      <c r="V37" s="20"/>
      <c r="W37" s="9"/>
      <c r="X37" s="1">
        <f>5/60</f>
        <v>8.3333333333333329E-2</v>
      </c>
      <c r="AO37" s="22">
        <v>4.9000000000000004</v>
      </c>
      <c r="AP37" s="8"/>
      <c r="AQ37" s="8"/>
      <c r="AR37" s="8"/>
      <c r="AS37" s="8"/>
      <c r="AT37" s="22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6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6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6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6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6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6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6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6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6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6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6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6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6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6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6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6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6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69.199999999999989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6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6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6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6"/>
      <c r="V58" s="20"/>
      <c r="W58" s="9"/>
      <c r="Y58" s="65"/>
      <c r="Z58" s="65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6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6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6">
        <v>500</v>
      </c>
      <c r="V61" s="20"/>
      <c r="W61" s="9"/>
      <c r="AJ61" s="1" t="s">
        <v>555</v>
      </c>
      <c r="AO61" s="22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6">
        <v>500</v>
      </c>
      <c r="V62" s="20"/>
      <c r="W62" s="9"/>
      <c r="AJ62" s="1" t="s">
        <v>555</v>
      </c>
      <c r="AO62" s="22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6">
        <v>500</v>
      </c>
      <c r="V63" s="20"/>
      <c r="W63" s="9"/>
      <c r="AJ63" s="1" t="s">
        <v>555</v>
      </c>
      <c r="AO63" s="22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6">
        <v>500</v>
      </c>
      <c r="V64" s="20"/>
      <c r="W64" s="9"/>
      <c r="AJ64" s="1" t="s">
        <v>555</v>
      </c>
      <c r="AO64" s="22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6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1149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1136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946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37">
        <v>-5.0000000000000001E-3</v>
      </c>
      <c r="H2" s="37">
        <v>-5.0000000000000001E-3</v>
      </c>
      <c r="I2" s="37"/>
      <c r="J2" s="37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37">
        <v>-5.0000000000000001E-3</v>
      </c>
      <c r="H3" s="37">
        <v>-5.0000000000000001E-3</v>
      </c>
      <c r="I3" s="37"/>
      <c r="J3" s="37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37">
        <v>-5.0000000000000001E-3</v>
      </c>
      <c r="H4" s="37">
        <v>-5.0000000000000001E-3</v>
      </c>
      <c r="I4" s="37"/>
      <c r="J4" s="37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37">
        <v>-5.0000000000000001E-3</v>
      </c>
      <c r="H5" s="37">
        <v>-5.0000000000000001E-3</v>
      </c>
      <c r="I5" s="37"/>
      <c r="J5" s="37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37">
        <v>-5.0000000000000001E-3</v>
      </c>
      <c r="H6" s="37">
        <v>-2E-3</v>
      </c>
      <c r="I6" s="37"/>
      <c r="J6" s="37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37">
        <v>-5.0000000000000001E-3</v>
      </c>
      <c r="H7" s="37">
        <v>-2E-3</v>
      </c>
      <c r="I7" s="37"/>
      <c r="J7" s="37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37">
        <v>-5.0000000000000001E-3</v>
      </c>
      <c r="H8" s="37">
        <v>-2E-3</v>
      </c>
      <c r="I8" s="37"/>
      <c r="J8" s="37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37">
        <v>-5.0000000000000001E-3</v>
      </c>
      <c r="H9" s="37">
        <v>-2E-3</v>
      </c>
      <c r="I9" s="37"/>
      <c r="J9" s="37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37">
        <v>-3.0000000000000001E-3</v>
      </c>
      <c r="H10" s="37">
        <v>0</v>
      </c>
      <c r="I10" s="37"/>
      <c r="J10" s="37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37">
        <v>-3.0000000000000001E-3</v>
      </c>
      <c r="H11" s="37">
        <v>0</v>
      </c>
      <c r="I11" s="37"/>
      <c r="J11" s="37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37">
        <v>-3.0000000000000001E-3</v>
      </c>
      <c r="H12" s="37">
        <v>0</v>
      </c>
      <c r="I12" s="37"/>
      <c r="J12" s="37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37">
        <v>-3.0000000000000001E-3</v>
      </c>
      <c r="H13" s="37">
        <v>0</v>
      </c>
      <c r="I13" s="37"/>
      <c r="J13" s="37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37">
        <v>-3.0000000000000001E-3</v>
      </c>
      <c r="H14" s="37">
        <v>0</v>
      </c>
      <c r="I14" s="37"/>
      <c r="J14" s="37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37">
        <v>-3.0000000000000001E-3</v>
      </c>
      <c r="H15" s="37">
        <v>0</v>
      </c>
      <c r="I15" s="37"/>
      <c r="J15" s="37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37">
        <v>-3.0000000000000001E-3</v>
      </c>
      <c r="H16" s="37">
        <v>0</v>
      </c>
      <c r="I16" s="37"/>
      <c r="J16" s="37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37">
        <v>-3.0000000000000001E-3</v>
      </c>
      <c r="H17" s="37">
        <v>0</v>
      </c>
      <c r="I17" s="37"/>
      <c r="J17" s="37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37">
        <v>-3.0000000000000001E-3</v>
      </c>
      <c r="H18" s="37">
        <v>0</v>
      </c>
      <c r="I18" s="37"/>
      <c r="J18" s="37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37">
        <v>-3.0000000000000001E-3</v>
      </c>
      <c r="H19" s="37">
        <v>0</v>
      </c>
      <c r="I19" s="37"/>
      <c r="J19" s="37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37">
        <v>-3.0000000000000001E-3</v>
      </c>
      <c r="H20" s="37">
        <v>0</v>
      </c>
      <c r="I20" s="37"/>
      <c r="J20" s="37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37">
        <v>-3.0000000000000001E-3</v>
      </c>
      <c r="H21" s="37">
        <v>0</v>
      </c>
      <c r="I21" s="37"/>
      <c r="J21" s="37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37">
        <v>0</v>
      </c>
      <c r="H22" s="37">
        <v>0.03</v>
      </c>
      <c r="I22" s="37"/>
      <c r="J22" s="37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37">
        <v>0</v>
      </c>
      <c r="H23" s="37">
        <v>1.4999999999999999E-2</v>
      </c>
      <c r="I23" s="37"/>
      <c r="J23" s="37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37">
        <v>0</v>
      </c>
      <c r="H24" s="37">
        <v>1.4999999999999999E-2</v>
      </c>
      <c r="I24" s="37"/>
      <c r="J24" s="37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37">
        <v>0</v>
      </c>
      <c r="H25" s="37">
        <v>1.4999999999999999E-2</v>
      </c>
      <c r="I25" s="37"/>
      <c r="J25" s="37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37">
        <v>-3.0000000000000001E-3</v>
      </c>
      <c r="H26" s="37">
        <v>1.4999999999999999E-2</v>
      </c>
      <c r="I26" s="37"/>
      <c r="J26" s="37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37">
        <v>-3.0000000000000001E-3</v>
      </c>
      <c r="H27" s="37">
        <v>1.0999999999999999E-2</v>
      </c>
      <c r="I27" s="37"/>
      <c r="J27" s="37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37">
        <v>-3.0000000000000001E-3</v>
      </c>
      <c r="H28" s="37">
        <v>1.0999999999999999E-2</v>
      </c>
      <c r="I28" s="37"/>
      <c r="J28" s="37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37">
        <v>-3.0000000000000001E-3</v>
      </c>
      <c r="H29" s="37">
        <v>1.0999999999999999E-2</v>
      </c>
      <c r="I29" s="37"/>
      <c r="J29" s="37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37">
        <v>-5.0000000000000001E-3</v>
      </c>
      <c r="H30" s="37">
        <v>5.0000000000000001E-3</v>
      </c>
      <c r="I30" s="37"/>
      <c r="J30" s="37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37">
        <v>-5.0000000000000001E-3</v>
      </c>
      <c r="H31" s="37">
        <v>5.0000000000000001E-3</v>
      </c>
      <c r="I31" s="37"/>
      <c r="J31" s="37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37">
        <v>-5.0000000000000001E-3</v>
      </c>
      <c r="H32" s="37">
        <v>5.0000000000000001E-3</v>
      </c>
      <c r="I32" s="37"/>
      <c r="J32" s="37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37">
        <v>-5.0000000000000001E-3</v>
      </c>
      <c r="H33" s="37">
        <v>5.0000000000000001E-3</v>
      </c>
      <c r="I33" s="37"/>
      <c r="J33" s="37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37">
        <v>-5.0000000000000001E-3</v>
      </c>
      <c r="H34" s="37">
        <v>0</v>
      </c>
      <c r="I34" s="37"/>
      <c r="J34" s="37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37">
        <v>-5.0000000000000001E-3</v>
      </c>
      <c r="H35" s="37">
        <v>0</v>
      </c>
      <c r="I35" s="37"/>
      <c r="J35" s="37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37">
        <v>-5.0000000000000001E-3</v>
      </c>
      <c r="H36" s="37">
        <v>0</v>
      </c>
      <c r="I36" s="37"/>
      <c r="J36" s="37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37">
        <v>-5.0000000000000001E-3</v>
      </c>
      <c r="H37" s="37">
        <v>0</v>
      </c>
      <c r="I37" s="37"/>
      <c r="J37" s="37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37">
        <v>-3.0000000000000001E-3</v>
      </c>
      <c r="H38" s="37">
        <v>-0.01</v>
      </c>
      <c r="I38" s="37"/>
      <c r="J38" s="37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37">
        <v>-3.0000000000000001E-3</v>
      </c>
      <c r="H39" s="37">
        <v>-0.01</v>
      </c>
      <c r="I39" s="37"/>
      <c r="J39" s="37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37">
        <v>-3.0000000000000001E-3</v>
      </c>
      <c r="H40" s="37">
        <v>-0.01</v>
      </c>
      <c r="I40" s="37"/>
      <c r="J40" s="37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37">
        <v>-3.0000000000000001E-3</v>
      </c>
      <c r="H41" s="37">
        <v>-0.01</v>
      </c>
      <c r="I41" s="37"/>
      <c r="J41" s="37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37">
        <v>-3.0000000000000001E-3</v>
      </c>
      <c r="H42" s="37">
        <v>5.0000000000000001E-3</v>
      </c>
      <c r="I42" s="37"/>
      <c r="J42" s="37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37">
        <v>-3.0000000000000001E-3</v>
      </c>
      <c r="H43" s="37">
        <v>5.0000000000000001E-3</v>
      </c>
      <c r="I43" s="37"/>
      <c r="J43" s="37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37">
        <v>-3.0000000000000001E-3</v>
      </c>
      <c r="H44" s="37">
        <v>5.0000000000000001E-3</v>
      </c>
      <c r="I44" s="37"/>
      <c r="J44" s="37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37">
        <v>-3.0000000000000001E-3</v>
      </c>
      <c r="H45" s="37">
        <v>5.0000000000000001E-3</v>
      </c>
      <c r="I45" s="37"/>
      <c r="J45" s="37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38">
        <v>8.6999999999999994E-2</v>
      </c>
      <c r="J58" s="38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38">
        <f>I58+(Tabelle223[[#This Row],[Jahr]]-C58)*($I$61-$I$58)/($C$61-$C$58)</f>
        <v>9.0249999999999997E-2</v>
      </c>
      <c r="J59" s="38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38">
        <f>I59+(Tabelle223[[#This Row],[Jahr]]-C59)*($I$61-$I$58)/($C$61-$C$58)</f>
        <v>9.35E-2</v>
      </c>
      <c r="J60" s="38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37">
        <v>0.126</v>
      </c>
      <c r="J62" s="37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38">
        <f>I62+(Tabelle223[[#This Row],[Jahr]]-C62)*($I$65-$I$62)/($C$65-$C$62)</f>
        <v>0.127</v>
      </c>
      <c r="J63" s="37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38">
        <f>I63+(Tabelle223[[#This Row],[Jahr]]-C63)*($I$65-$I$62)/($C$65-$C$62)</f>
        <v>0.128</v>
      </c>
      <c r="J64" s="37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37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38"/>
      <c r="J67" s="38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38"/>
      <c r="J68" s="38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39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39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37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0" t="s">
        <v>364</v>
      </c>
      <c r="B2" s="30" t="s">
        <v>141</v>
      </c>
      <c r="C2" s="6">
        <v>2010</v>
      </c>
      <c r="D2" s="6">
        <v>39.799999999999997</v>
      </c>
      <c r="E2" s="27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27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2"/>
      <c r="J2" s="43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0" t="s">
        <v>364</v>
      </c>
      <c r="B3" s="30" t="s">
        <v>141</v>
      </c>
      <c r="C3" s="1">
        <v>2020</v>
      </c>
      <c r="D3" s="1">
        <v>40.659999999999997</v>
      </c>
      <c r="E3" s="27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27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2"/>
      <c r="J3" s="43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0" t="s">
        <v>364</v>
      </c>
      <c r="B4" s="30" t="s">
        <v>141</v>
      </c>
      <c r="C4" s="6">
        <v>2030</v>
      </c>
      <c r="D4" s="6">
        <v>41.2</v>
      </c>
      <c r="E4" s="27">
        <f>Tabelle234[[#This Row],[Leistung je Einheit (kW)]]*Tabelle234[[#This Row],[Anzahl Haushalte (Mio.)]]*Tabelle234[[#This Row],[Vollbenutzungsstunden]]*Tabelle234[[#This Row],[Ausstattungsraten]]/10^3</f>
        <v>1.00116</v>
      </c>
      <c r="F4" s="27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2"/>
      <c r="J4" s="43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0" t="s">
        <v>364</v>
      </c>
      <c r="B5" s="30" t="s">
        <v>141</v>
      </c>
      <c r="C5" s="1">
        <v>2050</v>
      </c>
      <c r="D5" s="1">
        <v>39.68</v>
      </c>
      <c r="E5" s="27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27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2"/>
      <c r="J5" s="43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0" t="s">
        <v>152</v>
      </c>
      <c r="B6" s="30" t="s">
        <v>141</v>
      </c>
      <c r="C6" s="6">
        <v>2010</v>
      </c>
      <c r="D6" s="6">
        <v>39.799999999999997</v>
      </c>
      <c r="E6" s="27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27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1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0" t="s">
        <v>152</v>
      </c>
      <c r="B7" s="30" t="s">
        <v>141</v>
      </c>
      <c r="C7" s="1">
        <v>2020</v>
      </c>
      <c r="D7" s="1">
        <v>40.659999999999997</v>
      </c>
      <c r="E7" s="27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27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2"/>
      <c r="J7" s="43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0" t="s">
        <v>152</v>
      </c>
      <c r="B8" s="30" t="s">
        <v>141</v>
      </c>
      <c r="C8" s="6">
        <v>2030</v>
      </c>
      <c r="D8" s="6">
        <v>41.2</v>
      </c>
      <c r="E8" s="27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27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2"/>
      <c r="J8" s="43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0" t="s">
        <v>152</v>
      </c>
      <c r="B9" s="30" t="s">
        <v>141</v>
      </c>
      <c r="C9" s="1">
        <v>2050</v>
      </c>
      <c r="D9" s="1">
        <v>39.68</v>
      </c>
      <c r="E9" s="27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27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1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0" t="s">
        <v>134</v>
      </c>
      <c r="B10" s="30" t="s">
        <v>141</v>
      </c>
      <c r="C10" s="6">
        <v>2010</v>
      </c>
      <c r="D10" s="6">
        <v>39.799999999999997</v>
      </c>
      <c r="E10" s="27">
        <f>Tabelle234[[#This Row],[Anzahl Haushalte (Mio.)]]*Tabelle234[[#This Row],[Ausstattungsraten]]*Tabelle234[[#This Row],[Stromverbrauch je Einheit (kWh)]]/10^3</f>
        <v>15.740899999999996</v>
      </c>
      <c r="F10" s="27">
        <f>Tabelle234[[#This Row],[Stromverbrauch gesamt (TWh)]]+E14</f>
        <v>25.213299999999997</v>
      </c>
      <c r="G10" s="11"/>
      <c r="H10" s="7">
        <v>1.1299999999999999</v>
      </c>
      <c r="I10" s="41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0" t="s">
        <v>134</v>
      </c>
      <c r="B11" s="30" t="s">
        <v>141</v>
      </c>
      <c r="C11" s="1">
        <v>2020</v>
      </c>
      <c r="D11" s="1">
        <v>40.659999999999997</v>
      </c>
      <c r="E11" s="27">
        <f>Tabelle234[[#This Row],[Anzahl Haushalte (Mio.)]]*Tabelle234[[#This Row],[Ausstattungsraten]]*Tabelle234[[#This Row],[Stromverbrauch je Einheit (kWh)]]/10^3</f>
        <v>11.156087499999998</v>
      </c>
      <c r="F11" s="27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2">
        <v>250</v>
      </c>
      <c r="J11" s="43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0" t="s">
        <v>134</v>
      </c>
      <c r="B12" s="30" t="s">
        <v>141</v>
      </c>
      <c r="C12" s="6">
        <v>2030</v>
      </c>
      <c r="D12" s="6">
        <v>41.2</v>
      </c>
      <c r="E12" s="27">
        <f>Tabelle234[[#This Row],[Anzahl Haushalte (Mio.)]]*Tabelle234[[#This Row],[Ausstattungsraten]]*Tabelle234[[#This Row],[Stromverbrauch je Einheit (kWh)]]/10^3</f>
        <v>7.6786499999999993</v>
      </c>
      <c r="F12" s="27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2">
        <v>175</v>
      </c>
      <c r="J12" s="43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0" t="s">
        <v>134</v>
      </c>
      <c r="B13" s="30" t="s">
        <v>141</v>
      </c>
      <c r="C13" s="1">
        <v>2050</v>
      </c>
      <c r="D13" s="1">
        <v>39.68</v>
      </c>
      <c r="E13" s="27">
        <f>Tabelle234[[#This Row],[Anzahl Haushalte (Mio.)]]*Tabelle234[[#This Row],[Ausstattungsraten]]*Tabelle234[[#This Row],[Stromverbrauch je Einheit (kWh)]]/10^3</f>
        <v>3.968</v>
      </c>
      <c r="F13" s="27">
        <f>Tabelle234[[#This Row],[Stromverbrauch gesamt (TWh)]]+E17</f>
        <v>7.1424000000000003</v>
      </c>
      <c r="G13" s="11"/>
      <c r="H13" s="7">
        <v>1</v>
      </c>
      <c r="I13" s="41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0" t="s">
        <v>135</v>
      </c>
      <c r="B14" s="30" t="s">
        <v>141</v>
      </c>
      <c r="C14" s="6">
        <v>2010</v>
      </c>
      <c r="D14" s="6">
        <v>39.799999999999997</v>
      </c>
      <c r="E14" s="27">
        <f>Tabelle234[[#This Row],[Anzahl Haushalte (Mio.)]]*Tabelle234[[#This Row],[Ausstattungsraten]]*Tabelle234[[#This Row],[Stromverbrauch je Einheit (kWh)]]/10^3</f>
        <v>9.4724000000000004</v>
      </c>
      <c r="F14" s="27"/>
      <c r="G14" s="11"/>
      <c r="H14" s="7">
        <v>0.68</v>
      </c>
      <c r="I14" s="41">
        <v>350</v>
      </c>
      <c r="J14" s="3"/>
      <c r="K14" s="19"/>
      <c r="L14" s="19"/>
      <c r="M14" s="1" t="s">
        <v>494</v>
      </c>
    </row>
    <row r="15" spans="1:13" x14ac:dyDescent="0.2">
      <c r="A15" s="30" t="s">
        <v>135</v>
      </c>
      <c r="B15" s="30" t="s">
        <v>141</v>
      </c>
      <c r="C15" s="1">
        <v>2020</v>
      </c>
      <c r="D15" s="1">
        <v>40.659999999999997</v>
      </c>
      <c r="E15" s="27">
        <f>Tabelle234[[#This Row],[Anzahl Haushalte (Mio.)]]*Tabelle234[[#This Row],[Ausstattungsraten]]*Tabelle234[[#This Row],[Stromverbrauch je Einheit (kWh)]]/10^3</f>
        <v>7.2171500000000002</v>
      </c>
      <c r="F15" s="27"/>
      <c r="G15" s="11"/>
      <c r="H15" s="9">
        <f>$H$14+(Tabelle234[[#This Row],[Jahr]]-$C$14)*($H$17-$H$14)/($C$17-$C$14)</f>
        <v>0.71000000000000008</v>
      </c>
      <c r="I15" s="42">
        <v>250</v>
      </c>
      <c r="J15" s="43"/>
      <c r="K15" s="19"/>
      <c r="L15" s="19"/>
      <c r="M15" s="1" t="s">
        <v>494</v>
      </c>
    </row>
    <row r="16" spans="1:13" x14ac:dyDescent="0.2">
      <c r="A16" s="30" t="s">
        <v>135</v>
      </c>
      <c r="B16" s="30" t="s">
        <v>141</v>
      </c>
      <c r="C16" s="6">
        <v>2030</v>
      </c>
      <c r="D16" s="6">
        <v>41.2</v>
      </c>
      <c r="E16" s="27">
        <f>Tabelle234[[#This Row],[Anzahl Haushalte (Mio.)]]*Tabelle234[[#This Row],[Ausstattungsraten]]*Tabelle234[[#This Row],[Stromverbrauch je Einheit (kWh)]]/10^3</f>
        <v>5.3354000000000008</v>
      </c>
      <c r="F16" s="27"/>
      <c r="G16" s="11"/>
      <c r="H16" s="9">
        <f>$H$14+(Tabelle234[[#This Row],[Jahr]]-$C$14)*($H$17-$H$14)/($C$17-$C$14)</f>
        <v>0.74</v>
      </c>
      <c r="I16" s="42">
        <v>175</v>
      </c>
      <c r="J16" s="43"/>
      <c r="K16" s="19"/>
      <c r="L16" s="19"/>
      <c r="M16" s="1" t="s">
        <v>494</v>
      </c>
    </row>
    <row r="17" spans="1:13" x14ac:dyDescent="0.2">
      <c r="A17" s="30" t="s">
        <v>135</v>
      </c>
      <c r="B17" s="30" t="s">
        <v>141</v>
      </c>
      <c r="C17" s="1">
        <v>2050</v>
      </c>
      <c r="D17" s="1">
        <v>39.68</v>
      </c>
      <c r="E17" s="27">
        <f>Tabelle234[[#This Row],[Anzahl Haushalte (Mio.)]]*Tabelle234[[#This Row],[Ausstattungsraten]]*Tabelle234[[#This Row],[Stromverbrauch je Einheit (kWh)]]/10^3</f>
        <v>3.1743999999999999</v>
      </c>
      <c r="F17" s="27"/>
      <c r="G17" s="11"/>
      <c r="H17" s="7">
        <v>0.8</v>
      </c>
      <c r="I17" s="41">
        <v>100</v>
      </c>
      <c r="J17" s="3"/>
      <c r="K17" s="19"/>
      <c r="L17" s="19"/>
      <c r="M17" s="1" t="s">
        <v>494</v>
      </c>
    </row>
    <row r="18" spans="1:13" x14ac:dyDescent="0.2">
      <c r="A18" s="30" t="s">
        <v>131</v>
      </c>
      <c r="B18" s="30" t="s">
        <v>141</v>
      </c>
      <c r="C18" s="6">
        <v>2010</v>
      </c>
      <c r="D18" s="6">
        <v>39.799999999999997</v>
      </c>
      <c r="E18" s="27">
        <f>Tabelle234[[#This Row],[Anzahl Haushalte (Mio.)]]*Tabelle234[[#This Row],[Ausstattungsraten]]*Tabelle234[[#This Row],[Stromverbrauch je Einheit (kWh)]]/10^3</f>
        <v>7.4959319999999989</v>
      </c>
      <c r="F18" s="27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1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0" t="s">
        <v>131</v>
      </c>
      <c r="B19" s="30" t="s">
        <v>141</v>
      </c>
      <c r="C19" s="1">
        <v>2020</v>
      </c>
      <c r="D19" s="1">
        <v>40.659999999999997</v>
      </c>
      <c r="E19" s="27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27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2"/>
      <c r="J19" s="43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0" t="s">
        <v>131</v>
      </c>
      <c r="B20" s="30" t="s">
        <v>141</v>
      </c>
      <c r="C20" s="6">
        <v>2030</v>
      </c>
      <c r="D20" s="6">
        <v>41.2</v>
      </c>
      <c r="E20" s="27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27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2"/>
      <c r="J20" s="43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0" t="s">
        <v>131</v>
      </c>
      <c r="B21" s="30" t="s">
        <v>141</v>
      </c>
      <c r="C21" s="1">
        <v>2050</v>
      </c>
      <c r="D21" s="1">
        <v>39.68</v>
      </c>
      <c r="E21" s="27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27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1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0" t="s">
        <v>132</v>
      </c>
      <c r="B22" s="30" t="s">
        <v>141</v>
      </c>
      <c r="C22" s="6">
        <v>2010</v>
      </c>
      <c r="D22" s="6">
        <v>39.799999999999997</v>
      </c>
      <c r="E22" s="27">
        <f>Tabelle234[[#This Row],[Anzahl Haushalte (Mio.)]]*Tabelle234[[#This Row],[Ausstattungsraten]]*Tabelle234[[#This Row],[Stromverbrauch je Einheit (kWh)]]/10^3</f>
        <v>4.7497319999999998</v>
      </c>
      <c r="F22" s="27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1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0" t="s">
        <v>132</v>
      </c>
      <c r="B23" s="30" t="s">
        <v>141</v>
      </c>
      <c r="C23" s="1">
        <v>2020</v>
      </c>
      <c r="D23" s="1">
        <v>40.659999999999997</v>
      </c>
      <c r="E23" s="27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27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2"/>
      <c r="J23" s="43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0" t="s">
        <v>132</v>
      </c>
      <c r="B24" s="30" t="s">
        <v>141</v>
      </c>
      <c r="C24" s="6">
        <v>2030</v>
      </c>
      <c r="D24" s="6">
        <v>41.2</v>
      </c>
      <c r="E24" s="27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27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2"/>
      <c r="J24" s="43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0" t="s">
        <v>132</v>
      </c>
      <c r="B25" s="30" t="s">
        <v>141</v>
      </c>
      <c r="C25" s="1">
        <v>2050</v>
      </c>
      <c r="D25" s="1">
        <v>39.68</v>
      </c>
      <c r="E25" s="27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27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1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0" t="s">
        <v>133</v>
      </c>
      <c r="B26" s="30" t="s">
        <v>141</v>
      </c>
      <c r="C26" s="6">
        <v>2010</v>
      </c>
      <c r="D26" s="6">
        <v>39.799999999999997</v>
      </c>
      <c r="E26" s="27">
        <f>Tabelle234[[#This Row],[Anzahl Haushalte (Mio.)]]*Tabelle234[[#This Row],[Ausstattungsraten]]*Tabelle234[[#This Row],[Stromverbrauch je Einheit (kWh)]]/10^3</f>
        <v>6.87744</v>
      </c>
      <c r="F26" s="27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1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0" t="s">
        <v>133</v>
      </c>
      <c r="B27" s="30" t="s">
        <v>141</v>
      </c>
      <c r="C27" s="1">
        <v>2020</v>
      </c>
      <c r="D27" s="1">
        <v>40.659999999999997</v>
      </c>
      <c r="E27" s="27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27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2"/>
      <c r="J27" s="43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0" t="s">
        <v>133</v>
      </c>
      <c r="B28" s="30" t="s">
        <v>141</v>
      </c>
      <c r="C28" s="6">
        <v>2030</v>
      </c>
      <c r="D28" s="6">
        <v>41.2</v>
      </c>
      <c r="E28" s="27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27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2"/>
      <c r="J28" s="43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0" t="s">
        <v>133</v>
      </c>
      <c r="B29" s="30" t="s">
        <v>141</v>
      </c>
      <c r="C29" s="1">
        <v>2050</v>
      </c>
      <c r="D29" s="1">
        <v>39.68</v>
      </c>
      <c r="E29" s="27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27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1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0" t="s">
        <v>137</v>
      </c>
      <c r="B30" s="30" t="s">
        <v>141</v>
      </c>
      <c r="C30" s="6">
        <v>2010</v>
      </c>
      <c r="D30" s="6">
        <v>39.799999999999997</v>
      </c>
      <c r="E30" s="27"/>
      <c r="F30" s="27"/>
      <c r="G30" s="11"/>
      <c r="H30" s="7">
        <v>0.11</v>
      </c>
      <c r="I30" s="41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0" t="s">
        <v>137</v>
      </c>
      <c r="B31" s="30" t="s">
        <v>141</v>
      </c>
      <c r="C31" s="1">
        <v>2020</v>
      </c>
      <c r="D31" s="1">
        <v>40.659999999999997</v>
      </c>
      <c r="E31" s="27"/>
      <c r="F31" s="27"/>
      <c r="G31" s="11"/>
      <c r="H31" s="9">
        <f>$H$30+(Tabelle234[[#This Row],[Jahr]]-$C$30)*($H$33-$H$30)/($C$33-$C$30)</f>
        <v>9.5000000000000001E-2</v>
      </c>
      <c r="I31" s="42"/>
      <c r="J31" s="43"/>
      <c r="K31" s="19"/>
      <c r="L31" s="19"/>
      <c r="M31" s="1" t="s">
        <v>494</v>
      </c>
    </row>
    <row r="32" spans="1:13" x14ac:dyDescent="0.2">
      <c r="A32" s="30" t="s">
        <v>137</v>
      </c>
      <c r="B32" s="30" t="s">
        <v>141</v>
      </c>
      <c r="C32" s="6">
        <v>2030</v>
      </c>
      <c r="D32" s="6">
        <v>41.2</v>
      </c>
      <c r="E32" s="27"/>
      <c r="F32" s="27"/>
      <c r="G32" s="11"/>
      <c r="H32" s="9">
        <f>$H$30+(Tabelle234[[#This Row],[Jahr]]-$C$30)*($H$33-$H$30)/($C$33-$C$30)</f>
        <v>0.08</v>
      </c>
      <c r="I32" s="42"/>
      <c r="J32" s="43"/>
      <c r="K32" s="19"/>
      <c r="L32" s="19"/>
      <c r="M32" s="1" t="s">
        <v>494</v>
      </c>
    </row>
    <row r="33" spans="1:13" x14ac:dyDescent="0.2">
      <c r="A33" s="30" t="s">
        <v>137</v>
      </c>
      <c r="B33" s="30" t="s">
        <v>141</v>
      </c>
      <c r="C33" s="1">
        <v>2050</v>
      </c>
      <c r="D33" s="1">
        <v>39.68</v>
      </c>
      <c r="E33" s="27"/>
      <c r="F33" s="27"/>
      <c r="G33" s="11"/>
      <c r="H33" s="7">
        <v>0.05</v>
      </c>
      <c r="I33" s="41"/>
      <c r="J33" s="3"/>
      <c r="K33" s="19"/>
      <c r="L33" s="19"/>
      <c r="M33" s="1" t="s">
        <v>494</v>
      </c>
    </row>
    <row r="34" spans="1:13" x14ac:dyDescent="0.2">
      <c r="A34" s="30" t="s">
        <v>140</v>
      </c>
      <c r="B34" s="30" t="s">
        <v>141</v>
      </c>
      <c r="C34" s="6">
        <v>2010</v>
      </c>
      <c r="D34" s="6">
        <v>39.799999999999997</v>
      </c>
      <c r="E34" s="27"/>
      <c r="F34" s="27"/>
      <c r="G34" s="11"/>
      <c r="H34" s="7">
        <v>0.04</v>
      </c>
      <c r="I34" s="41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0" t="s">
        <v>140</v>
      </c>
      <c r="B35" s="30" t="s">
        <v>141</v>
      </c>
      <c r="C35" s="1">
        <v>2020</v>
      </c>
      <c r="D35" s="1">
        <v>40.659999999999997</v>
      </c>
      <c r="E35" s="27"/>
      <c r="F35" s="27"/>
      <c r="G35" s="11"/>
      <c r="H35" s="9">
        <f>$H$34+(Tabelle234[[#This Row],[Jahr]]-$C$34)*($H$37-$H$34)/($C$37-$C$34)</f>
        <v>3.2500000000000001E-2</v>
      </c>
      <c r="I35" s="42"/>
      <c r="J35" s="43"/>
      <c r="K35" s="19"/>
      <c r="L35" s="19"/>
      <c r="M35" s="1" t="s">
        <v>494</v>
      </c>
    </row>
    <row r="36" spans="1:13" x14ac:dyDescent="0.2">
      <c r="A36" s="30" t="s">
        <v>140</v>
      </c>
      <c r="B36" s="30" t="s">
        <v>141</v>
      </c>
      <c r="C36" s="6">
        <v>2030</v>
      </c>
      <c r="D36" s="6">
        <v>41.2</v>
      </c>
      <c r="E36" s="27"/>
      <c r="F36" s="27"/>
      <c r="G36" s="11"/>
      <c r="H36" s="9">
        <f>$H$34+(Tabelle234[[#This Row],[Jahr]]-$C$34)*($H$37-$H$34)/($C$37-$C$34)</f>
        <v>2.5000000000000001E-2</v>
      </c>
      <c r="I36" s="42"/>
      <c r="J36" s="43"/>
      <c r="K36" s="19"/>
      <c r="L36" s="19"/>
      <c r="M36" s="1" t="s">
        <v>494</v>
      </c>
    </row>
    <row r="37" spans="1:13" x14ac:dyDescent="0.2">
      <c r="A37" s="30" t="s">
        <v>140</v>
      </c>
      <c r="B37" s="30" t="s">
        <v>141</v>
      </c>
      <c r="C37" s="1">
        <v>2050</v>
      </c>
      <c r="D37" s="1">
        <v>39.68</v>
      </c>
      <c r="E37" s="27"/>
      <c r="F37" s="27"/>
      <c r="G37" s="11"/>
      <c r="H37" s="7">
        <v>0.01</v>
      </c>
      <c r="I37" s="41"/>
      <c r="J37" s="3"/>
      <c r="K37" s="19"/>
      <c r="L37" s="19"/>
      <c r="M37" s="1" t="s">
        <v>494</v>
      </c>
    </row>
    <row r="38" spans="1:13" x14ac:dyDescent="0.2">
      <c r="A38" s="30"/>
      <c r="B38" s="30" t="s">
        <v>129</v>
      </c>
      <c r="C38" s="6">
        <v>2010</v>
      </c>
      <c r="D38" s="6"/>
      <c r="E38" s="6">
        <v>136.16999999999999</v>
      </c>
      <c r="F38" s="27"/>
      <c r="G38" s="11"/>
      <c r="H38" s="7"/>
      <c r="I38" s="41"/>
      <c r="J38" s="3"/>
      <c r="K38" s="19"/>
      <c r="L38" s="19"/>
      <c r="M38" s="1">
        <v>192</v>
      </c>
    </row>
    <row r="39" spans="1:13" x14ac:dyDescent="0.2">
      <c r="A39" s="30"/>
      <c r="B39" s="30" t="s">
        <v>129</v>
      </c>
      <c r="C39" s="1">
        <v>2020</v>
      </c>
      <c r="E39" s="1">
        <v>146.46</v>
      </c>
      <c r="F39" s="27"/>
      <c r="G39" s="11"/>
      <c r="H39" s="9"/>
      <c r="I39" s="42"/>
      <c r="J39" s="43"/>
      <c r="K39" s="19"/>
      <c r="L39" s="19"/>
      <c r="M39" s="1">
        <v>192</v>
      </c>
    </row>
    <row r="40" spans="1:13" x14ac:dyDescent="0.2">
      <c r="A40" s="30"/>
      <c r="B40" s="30" t="s">
        <v>129</v>
      </c>
      <c r="C40" s="6">
        <v>2030</v>
      </c>
      <c r="D40" s="6"/>
      <c r="E40" s="6">
        <v>150.86000000000001</v>
      </c>
      <c r="F40" s="27"/>
      <c r="G40" s="11"/>
      <c r="H40" s="9"/>
      <c r="I40" s="42"/>
      <c r="J40" s="43"/>
      <c r="K40" s="19"/>
      <c r="L40" s="19"/>
      <c r="M40" s="1">
        <v>192</v>
      </c>
    </row>
    <row r="41" spans="1:13" x14ac:dyDescent="0.2">
      <c r="A41" s="30"/>
      <c r="B41" s="30" t="s">
        <v>129</v>
      </c>
      <c r="C41" s="1">
        <v>2050</v>
      </c>
      <c r="E41" s="1">
        <v>131.83000000000001</v>
      </c>
      <c r="F41" s="27"/>
      <c r="G41" s="11"/>
      <c r="H41" s="7"/>
      <c r="I41" s="41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EA0B4-1B32-44CC-A1BD-118A7704A6BF}">
  <dimension ref="A1:L2"/>
  <sheetViews>
    <sheetView tabSelected="1"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1148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/>
      <c r="G2" s="19"/>
      <c r="J2" s="13"/>
      <c r="K2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F53CB36-3C5B-4B16-9558-ABB7DFE383FE}">
          <x14:formula1>
            <xm:f>Dropdown!$A$2:$A$54</xm:f>
          </x14:formula1>
          <xm:sqref>A2</xm:sqref>
        </x14:dataValidation>
        <x14:dataValidation type="list" allowBlank="1" showInputMessage="1" showErrorMessage="1" xr:uid="{84FA0C2E-FFA8-4087-88DA-C07A4985234A}">
          <x14:formula1>
            <xm:f>Dropdown!$C$2:$C$4</xm:f>
          </x14:formula1>
          <xm:sqref>B2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891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922</v>
      </c>
      <c r="I1" s="2" t="s">
        <v>923</v>
      </c>
      <c r="J1" s="2" t="s">
        <v>921</v>
      </c>
      <c r="K1" s="2" t="s">
        <v>840</v>
      </c>
      <c r="L1" s="2" t="s">
        <v>924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909</v>
      </c>
      <c r="AE1" s="2" t="s">
        <v>875</v>
      </c>
      <c r="AF1" s="2" t="s">
        <v>925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0">
        <v>1996</v>
      </c>
      <c r="E2" s="30">
        <v>1</v>
      </c>
      <c r="F2" s="30">
        <v>0</v>
      </c>
      <c r="G2" s="30">
        <v>0</v>
      </c>
      <c r="H2" s="30">
        <v>60</v>
      </c>
      <c r="I2" s="30">
        <v>130</v>
      </c>
      <c r="J2" s="30">
        <v>2.5920000000000001</v>
      </c>
      <c r="K2" s="30">
        <v>26.68</v>
      </c>
      <c r="L2" s="30"/>
      <c r="M2" s="19"/>
      <c r="N2" s="19"/>
      <c r="O2" s="19"/>
      <c r="P2" s="31"/>
      <c r="Q2" s="31"/>
      <c r="R2" s="31"/>
      <c r="S2" s="32"/>
      <c r="T2" s="31">
        <v>39910</v>
      </c>
      <c r="U2" s="31">
        <v>39910</v>
      </c>
      <c r="V2" s="30"/>
      <c r="W2" s="30"/>
      <c r="X2" s="30"/>
      <c r="Y2" s="30"/>
      <c r="Z2" s="30"/>
      <c r="AA2" s="30"/>
      <c r="AB2" s="30"/>
      <c r="AC2" s="30"/>
      <c r="AD2" s="30">
        <v>49</v>
      </c>
      <c r="AE2" s="30">
        <v>49</v>
      </c>
      <c r="AF2" s="30"/>
      <c r="AG2" s="35"/>
      <c r="AH2" s="30"/>
      <c r="AI2" s="30">
        <v>49</v>
      </c>
      <c r="AJ2" s="35">
        <v>49</v>
      </c>
      <c r="AK2" s="30"/>
    </row>
    <row r="3" spans="1:37" x14ac:dyDescent="0.25">
      <c r="A3" s="74" t="s">
        <v>929</v>
      </c>
      <c r="B3" s="1" t="s">
        <v>884</v>
      </c>
      <c r="C3" s="1"/>
      <c r="D3" s="30">
        <v>1996</v>
      </c>
      <c r="E3" s="74">
        <v>1</v>
      </c>
      <c r="F3" s="74">
        <v>0</v>
      </c>
      <c r="G3" s="1">
        <v>0</v>
      </c>
      <c r="H3" s="1"/>
      <c r="I3" s="1"/>
      <c r="J3" s="1">
        <v>15000</v>
      </c>
      <c r="K3" s="1">
        <v>28</v>
      </c>
      <c r="L3" s="65">
        <v>7</v>
      </c>
      <c r="M3" s="75">
        <v>70</v>
      </c>
      <c r="N3" s="75"/>
      <c r="O3" s="75">
        <v>770</v>
      </c>
      <c r="P3" s="75"/>
      <c r="Q3" s="75">
        <v>4950</v>
      </c>
      <c r="R3" s="75"/>
      <c r="S3" s="76"/>
      <c r="T3" s="75"/>
      <c r="U3" s="75"/>
      <c r="V3" s="77"/>
      <c r="W3" s="77"/>
      <c r="X3" s="74"/>
      <c r="Y3" s="74"/>
      <c r="Z3" s="74"/>
      <c r="AA3" s="74"/>
      <c r="AB3" s="74"/>
      <c r="AC3" s="74"/>
      <c r="AD3" s="30">
        <v>62</v>
      </c>
      <c r="AE3" s="30">
        <v>62</v>
      </c>
      <c r="AF3" s="30">
        <v>64</v>
      </c>
      <c r="AG3" s="78">
        <v>68</v>
      </c>
      <c r="AH3" s="74">
        <v>69</v>
      </c>
      <c r="AI3" s="74"/>
      <c r="AJ3" s="78"/>
      <c r="AK3" s="74"/>
    </row>
    <row r="4" spans="1:37" x14ac:dyDescent="0.25">
      <c r="A4" s="74" t="s">
        <v>210</v>
      </c>
      <c r="B4" s="74" t="s">
        <v>128</v>
      </c>
      <c r="C4" s="1"/>
      <c r="D4" s="74">
        <v>1997</v>
      </c>
      <c r="E4" s="74">
        <v>1</v>
      </c>
      <c r="F4" s="74">
        <v>0</v>
      </c>
      <c r="G4" s="1">
        <v>0</v>
      </c>
      <c r="H4" s="1"/>
      <c r="I4" s="1"/>
      <c r="J4" s="1"/>
      <c r="K4" s="65">
        <v>43.216999999999999</v>
      </c>
      <c r="M4" s="75">
        <v>0</v>
      </c>
      <c r="N4" s="75"/>
      <c r="O4" s="75">
        <f>6000+4000</f>
        <v>10000</v>
      </c>
      <c r="P4" s="75">
        <v>0</v>
      </c>
      <c r="Q4" s="75"/>
      <c r="R4" s="75">
        <f>10000+16000</f>
        <v>26000</v>
      </c>
      <c r="S4" s="76"/>
      <c r="T4" s="75"/>
      <c r="U4" s="75"/>
      <c r="V4" s="77">
        <v>0.5</v>
      </c>
      <c r="W4" s="77">
        <v>2</v>
      </c>
      <c r="X4" s="74"/>
      <c r="Y4" s="74">
        <f>10/60</f>
        <v>0.16666666666666666</v>
      </c>
      <c r="Z4" s="74">
        <v>1</v>
      </c>
      <c r="AA4" s="74"/>
      <c r="AB4" s="74"/>
      <c r="AC4" s="74"/>
      <c r="AD4" s="1"/>
      <c r="AE4" s="1">
        <v>88</v>
      </c>
      <c r="AF4" s="1"/>
      <c r="AG4" s="13" t="s">
        <v>926</v>
      </c>
      <c r="AH4" s="1" t="s">
        <v>927</v>
      </c>
      <c r="AI4" s="74"/>
      <c r="AJ4" s="78"/>
      <c r="AK4" s="1" t="s">
        <v>928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5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5">
        <v>4</v>
      </c>
      <c r="W5" s="65">
        <v>5</v>
      </c>
      <c r="X5" s="1"/>
      <c r="Y5" s="65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5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5">
        <v>2</v>
      </c>
      <c r="W6" s="65">
        <v>3</v>
      </c>
      <c r="X6" s="1"/>
      <c r="Y6" s="65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5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5">
        <v>1</v>
      </c>
      <c r="W7" s="65">
        <v>2</v>
      </c>
      <c r="X7" s="1"/>
      <c r="Y7" s="65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884</v>
      </c>
      <c r="C8" s="1"/>
      <c r="D8" s="30">
        <v>1996</v>
      </c>
      <c r="E8" s="1">
        <v>0</v>
      </c>
      <c r="F8" s="1">
        <v>1</v>
      </c>
      <c r="G8" s="1">
        <v>0</v>
      </c>
      <c r="H8" s="1"/>
      <c r="I8" s="1"/>
      <c r="J8" s="1"/>
      <c r="K8" s="65">
        <v>15</v>
      </c>
      <c r="M8" s="19"/>
      <c r="N8" s="19"/>
      <c r="O8" s="19"/>
      <c r="P8" s="19"/>
      <c r="Q8" s="19"/>
      <c r="R8" s="19"/>
      <c r="S8" s="20"/>
      <c r="T8" s="19"/>
      <c r="U8" s="19"/>
      <c r="V8" s="65"/>
      <c r="W8" s="65"/>
      <c r="X8" s="1"/>
      <c r="Y8" s="65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0">
        <v>1996</v>
      </c>
      <c r="E9" s="1">
        <v>1</v>
      </c>
      <c r="F9" s="1">
        <v>0</v>
      </c>
      <c r="G9" s="1">
        <v>0</v>
      </c>
      <c r="H9" s="1"/>
      <c r="I9" s="1"/>
      <c r="J9" s="1"/>
      <c r="K9" s="65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5"/>
      <c r="W9" s="65"/>
      <c r="X9" s="1"/>
      <c r="Y9" s="65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5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5"/>
      <c r="W10" s="65"/>
      <c r="X10" s="1">
        <v>2</v>
      </c>
      <c r="Y10" s="65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930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5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5"/>
      <c r="W11" s="65"/>
      <c r="X11" s="1">
        <v>2</v>
      </c>
      <c r="Y11" s="65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930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5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5"/>
      <c r="W12" s="65"/>
      <c r="X12" s="1">
        <v>2</v>
      </c>
      <c r="Y12" s="65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930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5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5"/>
      <c r="W13" s="65"/>
      <c r="X13" s="1">
        <v>2</v>
      </c>
      <c r="Y13" s="65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1155</v>
      </c>
      <c r="O1" s="2" t="s">
        <v>1147</v>
      </c>
      <c r="P1" s="2" t="s">
        <v>1156</v>
      </c>
      <c r="Q1" s="2" t="s">
        <v>757</v>
      </c>
      <c r="R1" s="2" t="s">
        <v>758</v>
      </c>
      <c r="S1" s="2" t="s">
        <v>759</v>
      </c>
      <c r="T1" s="2" t="s">
        <v>1178</v>
      </c>
      <c r="U1" s="2" t="s">
        <v>1179</v>
      </c>
      <c r="V1" s="2" t="s">
        <v>1180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1175</v>
      </c>
      <c r="AD1" s="2" t="s">
        <v>1176</v>
      </c>
      <c r="AE1" s="2" t="s">
        <v>1177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1172</v>
      </c>
      <c r="AS1" s="2" t="s">
        <v>1173</v>
      </c>
      <c r="AT1" s="2" t="s">
        <v>1174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1169</v>
      </c>
      <c r="BB1" s="2" t="s">
        <v>1170</v>
      </c>
      <c r="BC1" s="2" t="s">
        <v>1171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1166</v>
      </c>
      <c r="BK1" s="2" t="s">
        <v>1167</v>
      </c>
      <c r="BL1" s="2" t="s">
        <v>1168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1163</v>
      </c>
      <c r="BT1" s="2" t="s">
        <v>1164</v>
      </c>
      <c r="BU1" s="2" t="s">
        <v>1165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1160</v>
      </c>
      <c r="CC1" s="2" t="s">
        <v>1161</v>
      </c>
      <c r="CD1" s="2" t="s">
        <v>1162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1157</v>
      </c>
      <c r="CL1" s="2" t="s">
        <v>1158</v>
      </c>
      <c r="CM1" s="2" t="s">
        <v>1159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3" t="s">
        <v>719</v>
      </c>
      <c r="DC1" s="53" t="s">
        <v>720</v>
      </c>
      <c r="DD1" s="53" t="s">
        <v>721</v>
      </c>
      <c r="DE1" s="53" t="s">
        <v>722</v>
      </c>
      <c r="DF1" s="53" t="s">
        <v>723</v>
      </c>
      <c r="DG1" s="53" t="s">
        <v>724</v>
      </c>
      <c r="DH1" s="53" t="s">
        <v>725</v>
      </c>
      <c r="DI1" s="53" t="s">
        <v>726</v>
      </c>
      <c r="DJ1" s="53" t="s">
        <v>727</v>
      </c>
      <c r="DK1" s="53" t="s">
        <v>728</v>
      </c>
      <c r="DL1" s="53" t="s">
        <v>729</v>
      </c>
      <c r="DM1" s="53" t="s">
        <v>730</v>
      </c>
      <c r="DN1" s="53" t="s">
        <v>731</v>
      </c>
      <c r="DO1" s="53" t="s">
        <v>732</v>
      </c>
      <c r="DP1" s="53" t="s">
        <v>733</v>
      </c>
      <c r="DQ1" s="53" t="s">
        <v>734</v>
      </c>
      <c r="DR1" s="53" t="s">
        <v>735</v>
      </c>
      <c r="DS1" s="53" t="s">
        <v>736</v>
      </c>
      <c r="DT1" s="53" t="s">
        <v>737</v>
      </c>
      <c r="DU1" s="53" t="s">
        <v>738</v>
      </c>
      <c r="DV1" s="53" t="s">
        <v>739</v>
      </c>
      <c r="DW1" s="53" t="s">
        <v>740</v>
      </c>
      <c r="DX1" s="53" t="s">
        <v>741</v>
      </c>
      <c r="DY1" s="53" t="s">
        <v>742</v>
      </c>
      <c r="DZ1" s="53" t="s">
        <v>743</v>
      </c>
      <c r="EA1" s="53" t="s">
        <v>744</v>
      </c>
      <c r="EB1" s="53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1148</v>
      </c>
      <c r="FB1" s="2" t="s">
        <v>1145</v>
      </c>
      <c r="FC1" s="2" t="s">
        <v>1146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1130</v>
      </c>
      <c r="GC1" s="2" t="s">
        <v>1131</v>
      </c>
      <c r="GD1" s="2" t="s">
        <v>1132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1136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79" customFormat="1" ht="12.75" customHeight="1" x14ac:dyDescent="0.2">
      <c r="A2" s="79" t="s">
        <v>539</v>
      </c>
      <c r="B2" s="79" t="s">
        <v>539</v>
      </c>
      <c r="E2" s="79" t="s">
        <v>129</v>
      </c>
      <c r="F2" s="79">
        <v>2</v>
      </c>
      <c r="G2" s="79">
        <v>2015</v>
      </c>
      <c r="H2" s="79">
        <v>1</v>
      </c>
      <c r="I2" s="79">
        <v>0</v>
      </c>
      <c r="J2" s="79">
        <v>0</v>
      </c>
      <c r="K2" s="80"/>
      <c r="L2" s="80"/>
      <c r="M2" s="80"/>
      <c r="N2" s="80"/>
      <c r="O2" s="80"/>
      <c r="P2" s="80"/>
      <c r="Q2" s="80">
        <v>0</v>
      </c>
      <c r="R2" s="80">
        <v>0</v>
      </c>
      <c r="S2" s="80">
        <v>0</v>
      </c>
      <c r="T2" s="80"/>
      <c r="U2" s="80"/>
      <c r="V2" s="80"/>
      <c r="W2" s="80">
        <v>7.9539999999999997</v>
      </c>
      <c r="X2" s="80">
        <v>4.4400000000000004</v>
      </c>
      <c r="Y2" s="80">
        <v>12.06</v>
      </c>
      <c r="Z2" s="80">
        <v>0</v>
      </c>
      <c r="AA2" s="80">
        <v>0</v>
      </c>
      <c r="AB2" s="80">
        <v>0</v>
      </c>
      <c r="AC2" s="80"/>
      <c r="AD2" s="80"/>
      <c r="AE2" s="80"/>
      <c r="AF2" s="80">
        <v>7.9539999999999997</v>
      </c>
      <c r="AG2" s="80">
        <v>4.4400000000000004</v>
      </c>
      <c r="AH2" s="80">
        <v>12.06</v>
      </c>
      <c r="AI2" s="80">
        <v>0</v>
      </c>
      <c r="AJ2" s="80">
        <v>0</v>
      </c>
      <c r="AK2" s="80">
        <v>0</v>
      </c>
      <c r="AL2" s="80">
        <v>7.9539999999999997</v>
      </c>
      <c r="AM2" s="80">
        <v>4.4400000000000004</v>
      </c>
      <c r="AN2" s="80">
        <v>12.06</v>
      </c>
      <c r="AO2" s="80">
        <v>3.1040000000000001</v>
      </c>
      <c r="AP2" s="80">
        <v>1.92</v>
      </c>
      <c r="AQ2" s="80">
        <v>4.2880000000000003</v>
      </c>
      <c r="AR2" s="80"/>
      <c r="AS2" s="80"/>
      <c r="AT2" s="80"/>
      <c r="AU2" s="80">
        <v>4.8499999999999996</v>
      </c>
      <c r="AV2" s="80">
        <v>2.52</v>
      </c>
      <c r="AW2" s="80">
        <v>7.7720000000000002</v>
      </c>
      <c r="AX2" s="80">
        <v>3.1040000000000001</v>
      </c>
      <c r="AY2" s="80">
        <v>1.92</v>
      </c>
      <c r="AZ2" s="80">
        <v>4.2880000000000003</v>
      </c>
      <c r="BA2" s="80"/>
      <c r="BB2" s="80"/>
      <c r="BC2" s="80"/>
      <c r="BD2" s="80">
        <v>4.8499999999999996</v>
      </c>
      <c r="BE2" s="80">
        <v>2.52</v>
      </c>
      <c r="BF2" s="80">
        <v>7.7720000000000002</v>
      </c>
      <c r="BG2" s="80">
        <v>1.746</v>
      </c>
      <c r="BH2" s="80">
        <v>1.08</v>
      </c>
      <c r="BI2" s="80">
        <v>2.4119999999999999</v>
      </c>
      <c r="BJ2" s="80"/>
      <c r="BK2" s="80"/>
      <c r="BL2" s="80"/>
      <c r="BM2" s="80">
        <v>6.2079999999999993</v>
      </c>
      <c r="BN2" s="80">
        <v>3.36</v>
      </c>
      <c r="BO2" s="80">
        <v>9.6480000000000015</v>
      </c>
      <c r="BP2" s="80">
        <v>15.907999999999999</v>
      </c>
      <c r="BQ2" s="80">
        <v>9.84</v>
      </c>
      <c r="BR2" s="80">
        <v>21.975999999999999</v>
      </c>
      <c r="BS2" s="80"/>
      <c r="BT2" s="80"/>
      <c r="BU2" s="80"/>
      <c r="BV2" s="80">
        <v>0</v>
      </c>
      <c r="BW2" s="80">
        <v>0</v>
      </c>
      <c r="BX2" s="80">
        <v>0</v>
      </c>
      <c r="BY2" s="80">
        <v>15.907999999999999</v>
      </c>
      <c r="BZ2" s="80">
        <v>9.84</v>
      </c>
      <c r="CA2" s="80">
        <v>21.975999999999999</v>
      </c>
      <c r="CB2" s="80"/>
      <c r="CC2" s="80"/>
      <c r="CD2" s="80"/>
      <c r="CE2" s="80">
        <v>0</v>
      </c>
      <c r="CF2" s="80">
        <v>0</v>
      </c>
      <c r="CG2" s="80">
        <v>0</v>
      </c>
      <c r="CH2" s="80">
        <v>8.3419999999999987</v>
      </c>
      <c r="CI2" s="80">
        <v>5.16</v>
      </c>
      <c r="CJ2" s="80">
        <v>11.523999999999999</v>
      </c>
      <c r="CK2" s="80"/>
      <c r="CL2" s="80"/>
      <c r="CM2" s="80"/>
      <c r="CN2" s="80">
        <v>0</v>
      </c>
      <c r="CO2" s="80">
        <v>0</v>
      </c>
      <c r="CP2" s="80">
        <v>0.53600000000000003</v>
      </c>
      <c r="CQ2" s="80"/>
      <c r="CR2" s="80"/>
      <c r="CS2" s="80"/>
      <c r="CT2" s="80"/>
      <c r="CU2" s="81">
        <f>Tabelle58971121[[#This Row],[Mindestauslastung durch]]*Tabelle58971121[[#This Row],[installierte Leistung MW durch]]</f>
        <v>0</v>
      </c>
      <c r="CV2" s="81">
        <f>Tabelle58971121[[#This Row],[Mindestauslastung min]]*Tabelle58971121[[#This Row],[installierte Leistung MW min]]</f>
        <v>0</v>
      </c>
      <c r="CW2" s="81">
        <f>Tabelle58971121[[#This Row],[Mindestauslastung max]]*Tabelle58971121[[#This Row],[installierte Leistung MW max]]</f>
        <v>0</v>
      </c>
      <c r="CX2" s="82">
        <v>0</v>
      </c>
      <c r="CY2" s="82">
        <v>0</v>
      </c>
      <c r="CZ2" s="82">
        <v>0</v>
      </c>
      <c r="DA2" s="82"/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0.16</v>
      </c>
      <c r="DL2" s="82">
        <v>0.16</v>
      </c>
      <c r="DM2" s="82">
        <v>0.16</v>
      </c>
      <c r="DN2" s="82">
        <v>0.16</v>
      </c>
      <c r="DO2" s="82">
        <v>0.16</v>
      </c>
      <c r="DP2" s="82">
        <v>0.16</v>
      </c>
      <c r="DQ2" s="82">
        <v>0.09</v>
      </c>
      <c r="DR2" s="82">
        <v>0.09</v>
      </c>
      <c r="DS2" s="82">
        <v>0.09</v>
      </c>
      <c r="DT2" s="82">
        <v>0.82</v>
      </c>
      <c r="DU2" s="82">
        <v>0.82</v>
      </c>
      <c r="DV2" s="82">
        <v>0.82</v>
      </c>
      <c r="DW2" s="82">
        <v>0.82</v>
      </c>
      <c r="DX2" s="82">
        <v>0.82</v>
      </c>
      <c r="DY2" s="82">
        <v>0.82</v>
      </c>
      <c r="DZ2" s="82">
        <v>0.43</v>
      </c>
      <c r="EA2" s="82">
        <v>0.43</v>
      </c>
      <c r="EB2" s="82">
        <v>0.43</v>
      </c>
      <c r="EC2" s="82"/>
      <c r="ED2" s="82"/>
      <c r="EE2" s="82"/>
      <c r="EF2" s="83">
        <f>Tabelle58971121[[#This Row],[Durchschnittsauslastung min]]*Tabelle58971121[[#This Row],[installierte Leistung MW min]]</f>
        <v>0</v>
      </c>
      <c r="EG2" s="83">
        <f>Tabelle58971121[[#This Row],[Durchschnittsauslastung durch]]*Tabelle58971121[[#This Row],[installierte Leistung MW durch]]</f>
        <v>0</v>
      </c>
      <c r="EH2" s="83">
        <f>Tabelle58971121[[#This Row],[Durchschnittsauslastung max]]*Tabelle58971121[[#This Row],[installierte Leistung MW max]]</f>
        <v>0</v>
      </c>
      <c r="EI2" s="83">
        <f>Tabelle58971121[[#This Row],[Maximalauslastung durch]]*Tabelle58971121[[#This Row],[installierte Leistung MW min]]</f>
        <v>4.92</v>
      </c>
      <c r="EJ2" s="83">
        <f>Tabelle58971121[[#This Row],[Maximalauslastung durch]]*Tabelle58971121[[#This Row],[installierte Leistung MW durch]]</f>
        <v>7.9539999999999988</v>
      </c>
      <c r="EK2" s="80">
        <f>Tabelle58971121[[#This Row],[Maximalauslastung max]]*Tabelle58971121[[#This Row],[installierte Leistung MW durch]]</f>
        <v>8.73</v>
      </c>
      <c r="EL2" s="82">
        <v>0.41</v>
      </c>
      <c r="EM2" s="82">
        <v>0.37</v>
      </c>
      <c r="EN2" s="82">
        <v>0.45</v>
      </c>
      <c r="EO2" s="79">
        <v>19.399999999999999</v>
      </c>
      <c r="EP2" s="79">
        <v>12</v>
      </c>
      <c r="EQ2" s="79">
        <v>26.8</v>
      </c>
      <c r="ER2" s="80"/>
      <c r="ES2" s="80"/>
      <c r="EX2" s="79">
        <v>2</v>
      </c>
      <c r="EY2" s="79">
        <v>1.6</v>
      </c>
      <c r="EZ2" s="79">
        <v>2.4</v>
      </c>
      <c r="FD2" s="79">
        <v>2</v>
      </c>
      <c r="FE2" s="79">
        <v>1.6</v>
      </c>
      <c r="FF2" s="79">
        <v>2.4</v>
      </c>
      <c r="FG2" s="79">
        <v>24</v>
      </c>
      <c r="FJ2" s="79">
        <v>2.6</v>
      </c>
      <c r="FK2" s="79">
        <v>1.8</v>
      </c>
      <c r="FL2" s="79">
        <v>3.4</v>
      </c>
      <c r="FP2" s="79">
        <v>243</v>
      </c>
      <c r="FQ2" s="79">
        <v>219</v>
      </c>
      <c r="FR2" s="79">
        <v>267</v>
      </c>
      <c r="FS2" s="81"/>
      <c r="FT2" s="81"/>
      <c r="FU2" s="81"/>
      <c r="FV2" s="79">
        <v>243</v>
      </c>
      <c r="FW2" s="79">
        <v>219</v>
      </c>
      <c r="FX2" s="79">
        <v>267</v>
      </c>
      <c r="FZ2" s="80"/>
      <c r="GA2" s="80"/>
      <c r="GB2" s="80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 t="s">
        <v>1094</v>
      </c>
      <c r="GO2" s="84" t="s">
        <v>1094</v>
      </c>
      <c r="GP2" s="84" t="s">
        <v>1094</v>
      </c>
      <c r="GS2" s="79">
        <v>67</v>
      </c>
      <c r="GT2" s="79">
        <v>67</v>
      </c>
      <c r="GU2" s="79">
        <v>67</v>
      </c>
      <c r="GV2" s="85" t="s">
        <v>813</v>
      </c>
      <c r="GW2" s="85" t="s">
        <v>813</v>
      </c>
      <c r="GX2" s="85" t="s">
        <v>813</v>
      </c>
      <c r="GY2" s="85"/>
      <c r="GZ2" s="85" t="s">
        <v>813</v>
      </c>
      <c r="HA2" s="85" t="s">
        <v>813</v>
      </c>
      <c r="HB2" s="85" t="s">
        <v>813</v>
      </c>
      <c r="HC2" s="85" t="s">
        <v>813</v>
      </c>
      <c r="HD2" s="85" t="s">
        <v>813</v>
      </c>
      <c r="HE2" s="85" t="s">
        <v>813</v>
      </c>
      <c r="HF2" s="85" t="s">
        <v>813</v>
      </c>
      <c r="HI2" s="85" t="s">
        <v>813</v>
      </c>
      <c r="HJ2" s="85" t="s">
        <v>813</v>
      </c>
      <c r="HL2" s="85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6">
        <f>Tabelle58971121[[#This Row],[Durchschnittsauslastung min]]*Tabelle58971121[[#This Row],[installierte Leistung MW min]]</f>
        <v>0</v>
      </c>
      <c r="EG3" s="46">
        <f>Tabelle58971121[[#This Row],[Durchschnittsauslastung durch]]*Tabelle58971121[[#This Row],[installierte Leistung MW durch]]</f>
        <v>0</v>
      </c>
      <c r="EH3" s="46">
        <f>Tabelle58971121[[#This Row],[Durchschnittsauslastung max]]*Tabelle58971121[[#This Row],[installierte Leistung MW max]]</f>
        <v>0</v>
      </c>
      <c r="EI3" s="83">
        <f>Tabelle58971121[[#This Row],[Maximalauslastung durch]]*Tabelle58971121[[#This Row],[installierte Leistung MW min]]</f>
        <v>4.92</v>
      </c>
      <c r="EJ3" s="46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1094</v>
      </c>
      <c r="GO3" s="8" t="s">
        <v>1094</v>
      </c>
      <c r="GP3" s="8" t="s">
        <v>1094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6">
        <f>Tabelle58971121[[#This Row],[Durchschnittsauslastung min]]*Tabelle58971121[[#This Row],[installierte Leistung MW min]]</f>
        <v>0</v>
      </c>
      <c r="EG4" s="46">
        <f>Tabelle58971121[[#This Row],[Durchschnittsauslastung durch]]*Tabelle58971121[[#This Row],[installierte Leistung MW durch]]</f>
        <v>0</v>
      </c>
      <c r="EH4" s="46">
        <f>Tabelle58971121[[#This Row],[Durchschnittsauslastung max]]*Tabelle58971121[[#This Row],[installierte Leistung MW max]]</f>
        <v>0</v>
      </c>
      <c r="EI4" s="83">
        <f>Tabelle58971121[[#This Row],[Maximalauslastung durch]]*Tabelle58971121[[#This Row],[installierte Leistung MW min]]</f>
        <v>4.92</v>
      </c>
      <c r="EJ4" s="46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1094</v>
      </c>
      <c r="GO4" s="8" t="s">
        <v>1094</v>
      </c>
      <c r="GP4" s="8" t="s">
        <v>1094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6">
        <f>Tabelle58971121[[#This Row],[Durchschnittsauslastung min]]*Tabelle58971121[[#This Row],[installierte Leistung MW min]]</f>
        <v>0</v>
      </c>
      <c r="EG5" s="46">
        <f>Tabelle58971121[[#This Row],[Durchschnittsauslastung durch]]*Tabelle58971121[[#This Row],[installierte Leistung MW durch]]</f>
        <v>0</v>
      </c>
      <c r="EH5" s="46">
        <f>Tabelle58971121[[#This Row],[Durchschnittsauslastung max]]*Tabelle58971121[[#This Row],[installierte Leistung MW max]]</f>
        <v>0</v>
      </c>
      <c r="EI5" s="83">
        <f>Tabelle58971121[[#This Row],[Maximalauslastung durch]]*Tabelle58971121[[#This Row],[installierte Leistung MW min]]</f>
        <v>4.92</v>
      </c>
      <c r="EJ5" s="46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1094</v>
      </c>
      <c r="GO5" s="8" t="s">
        <v>1094</v>
      </c>
      <c r="GP5" s="8" t="s">
        <v>1094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6">
        <f>Tabelle58971121[[#This Row],[Durchschnittsauslastung min]]*Tabelle58971121[[#This Row],[installierte Leistung MW min]]</f>
        <v>0</v>
      </c>
      <c r="EG6" s="46">
        <f>Tabelle58971121[[#This Row],[Durchschnittsauslastung durch]]*Tabelle58971121[[#This Row],[installierte Leistung MW durch]]</f>
        <v>0</v>
      </c>
      <c r="EH6" s="46">
        <f>Tabelle58971121[[#This Row],[Durchschnittsauslastung max]]*Tabelle58971121[[#This Row],[installierte Leistung MW max]]</f>
        <v>0</v>
      </c>
      <c r="EI6" s="83">
        <f>Tabelle58971121[[#This Row],[Maximalauslastung durch]]*Tabelle58971121[[#This Row],[installierte Leistung MW min]]</f>
        <v>4.92</v>
      </c>
      <c r="EJ6" s="46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1094</v>
      </c>
      <c r="GO6" s="8" t="s">
        <v>1094</v>
      </c>
      <c r="GP6" s="8" t="s">
        <v>1094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6">
        <f>Tabelle58971121[[#This Row],[Durchschnittsauslastung min]]*Tabelle58971121[[#This Row],[installierte Leistung MW min]]</f>
        <v>0</v>
      </c>
      <c r="EG7" s="46">
        <f>Tabelle58971121[[#This Row],[Durchschnittsauslastung durch]]*Tabelle58971121[[#This Row],[installierte Leistung MW durch]]</f>
        <v>0</v>
      </c>
      <c r="EH7" s="46">
        <f>Tabelle58971121[[#This Row],[Durchschnittsauslastung max]]*Tabelle58971121[[#This Row],[installierte Leistung MW max]]</f>
        <v>0</v>
      </c>
      <c r="EI7" s="83">
        <f>Tabelle58971121[[#This Row],[Maximalauslastung durch]]*Tabelle58971121[[#This Row],[installierte Leistung MW min]]</f>
        <v>4.92</v>
      </c>
      <c r="EJ7" s="46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1094</v>
      </c>
      <c r="GO7" s="8" t="s">
        <v>1094</v>
      </c>
      <c r="GP7" s="8" t="s">
        <v>1094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6">
        <f>Tabelle58971121[[#This Row],[Durchschnittsauslastung min]]*Tabelle58971121[[#This Row],[installierte Leistung MW min]]</f>
        <v>0</v>
      </c>
      <c r="EG8" s="46">
        <f>Tabelle58971121[[#This Row],[Durchschnittsauslastung durch]]*Tabelle58971121[[#This Row],[installierte Leistung MW durch]]</f>
        <v>0</v>
      </c>
      <c r="EH8" s="46">
        <f>Tabelle58971121[[#This Row],[Durchschnittsauslastung max]]*Tabelle58971121[[#This Row],[installierte Leistung MW max]]</f>
        <v>0</v>
      </c>
      <c r="EI8" s="83">
        <f>Tabelle58971121[[#This Row],[Maximalauslastung durch]]*Tabelle58971121[[#This Row],[installierte Leistung MW min]]</f>
        <v>4.92</v>
      </c>
      <c r="EJ8" s="46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1094</v>
      </c>
      <c r="GO8" s="8" t="s">
        <v>1094</v>
      </c>
      <c r="GP8" s="8" t="s">
        <v>1094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6">
        <f>Tabelle58971121[[#This Row],[Durchschnittsauslastung min]]*Tabelle58971121[[#This Row],[installierte Leistung MW min]]</f>
        <v>0</v>
      </c>
      <c r="EG9" s="46">
        <f>Tabelle58971121[[#This Row],[Durchschnittsauslastung durch]]*Tabelle58971121[[#This Row],[installierte Leistung MW durch]]</f>
        <v>0</v>
      </c>
      <c r="EH9" s="46">
        <f>Tabelle58971121[[#This Row],[Durchschnittsauslastung max]]*Tabelle58971121[[#This Row],[installierte Leistung MW max]]</f>
        <v>0</v>
      </c>
      <c r="EI9" s="83">
        <f>Tabelle58971121[[#This Row],[Maximalauslastung durch]]*Tabelle58971121[[#This Row],[installierte Leistung MW min]]</f>
        <v>4.92</v>
      </c>
      <c r="EJ9" s="46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1094</v>
      </c>
      <c r="GO9" s="8" t="s">
        <v>1094</v>
      </c>
      <c r="GP9" s="8" t="s">
        <v>1094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6">
        <f>Tabelle58971121[[#This Row],[Durchschnittsauslastung min]]*Tabelle58971121[[#This Row],[installierte Leistung MW min]]</f>
        <v>0</v>
      </c>
      <c r="EG10" s="46">
        <f>Tabelle58971121[[#This Row],[Durchschnittsauslastung durch]]*Tabelle58971121[[#This Row],[installierte Leistung MW durch]]</f>
        <v>0</v>
      </c>
      <c r="EH10" s="46">
        <f>Tabelle58971121[[#This Row],[Durchschnittsauslastung max]]*Tabelle58971121[[#This Row],[installierte Leistung MW max]]</f>
        <v>0</v>
      </c>
      <c r="EI10" s="83">
        <f>Tabelle58971121[[#This Row],[Maximalauslastung durch]]*Tabelle58971121[[#This Row],[installierte Leistung MW min]]</f>
        <v>548.72</v>
      </c>
      <c r="EJ10" s="46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1094</v>
      </c>
      <c r="GO10" s="8" t="s">
        <v>1094</v>
      </c>
      <c r="GP10" s="8" t="s">
        <v>1094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6">
        <f>Tabelle58971121[[#This Row],[Durchschnittsauslastung min]]*Tabelle58971121[[#This Row],[installierte Leistung MW min]]</f>
        <v>0</v>
      </c>
      <c r="EG11" s="46">
        <f>Tabelle58971121[[#This Row],[Durchschnittsauslastung durch]]*Tabelle58971121[[#This Row],[installierte Leistung MW durch]]</f>
        <v>0</v>
      </c>
      <c r="EH11" s="46">
        <f>Tabelle58971121[[#This Row],[Durchschnittsauslastung max]]*Tabelle58971121[[#This Row],[installierte Leistung MW max]]</f>
        <v>0</v>
      </c>
      <c r="EI11" s="83">
        <f>Tabelle58971121[[#This Row],[Maximalauslastung durch]]*Tabelle58971121[[#This Row],[installierte Leistung MW min]]</f>
        <v>593.08271999999999</v>
      </c>
      <c r="EJ11" s="46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1094</v>
      </c>
      <c r="GO11" s="8" t="s">
        <v>1094</v>
      </c>
      <c r="GP11" s="8" t="s">
        <v>1094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6">
        <f>Tabelle58971121[[#This Row],[Durchschnittsauslastung min]]*Tabelle58971121[[#This Row],[installierte Leistung MW min]]</f>
        <v>0</v>
      </c>
      <c r="EG12" s="46">
        <f>Tabelle58971121[[#This Row],[Durchschnittsauslastung durch]]*Tabelle58971121[[#This Row],[installierte Leistung MW durch]]</f>
        <v>0</v>
      </c>
      <c r="EH12" s="46">
        <f>Tabelle58971121[[#This Row],[Durchschnittsauslastung max]]*Tabelle58971121[[#This Row],[installierte Leistung MW max]]</f>
        <v>0</v>
      </c>
      <c r="EI12" s="83">
        <f>Tabelle58971121[[#This Row],[Maximalauslastung durch]]*Tabelle58971121[[#This Row],[installierte Leistung MW min]]</f>
        <v>643.27920000000006</v>
      </c>
      <c r="EJ12" s="46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1094</v>
      </c>
      <c r="GO12" s="8" t="s">
        <v>1094</v>
      </c>
      <c r="GP12" s="8" t="s">
        <v>1094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6">
        <f>Tabelle58971121[[#This Row],[Durchschnittsauslastung min]]*Tabelle58971121[[#This Row],[installierte Leistung MW min]]</f>
        <v>0</v>
      </c>
      <c r="EG13" s="46">
        <f>Tabelle58971121[[#This Row],[Durchschnittsauslastung durch]]*Tabelle58971121[[#This Row],[installierte Leistung MW durch]]</f>
        <v>0</v>
      </c>
      <c r="EH13" s="46">
        <f>Tabelle58971121[[#This Row],[Durchschnittsauslastung max]]*Tabelle58971121[[#This Row],[installierte Leistung MW max]]</f>
        <v>0</v>
      </c>
      <c r="EI13" s="83">
        <f>Tabelle58971121[[#This Row],[Maximalauslastung durch]]*Tabelle58971121[[#This Row],[installierte Leistung MW min]]</f>
        <v>703.41647999999998</v>
      </c>
      <c r="EJ13" s="46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1094</v>
      </c>
      <c r="GO13" s="8" t="s">
        <v>1094</v>
      </c>
      <c r="GP13" s="8" t="s">
        <v>1094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6">
        <f>Tabelle58971121[[#This Row],[Durchschnittsauslastung min]]*Tabelle58971121[[#This Row],[installierte Leistung MW min]]</f>
        <v>0</v>
      </c>
      <c r="EG14" s="46">
        <f>Tabelle58971121[[#This Row],[Durchschnittsauslastung durch]]*Tabelle58971121[[#This Row],[installierte Leistung MW durch]]</f>
        <v>0</v>
      </c>
      <c r="EH14" s="46">
        <f>Tabelle58971121[[#This Row],[Durchschnittsauslastung max]]*Tabelle58971121[[#This Row],[installierte Leistung MW max]]</f>
        <v>0</v>
      </c>
      <c r="EI14" s="83">
        <f>Tabelle58971121[[#This Row],[Maximalauslastung durch]]*Tabelle58971121[[#This Row],[installierte Leistung MW min]]</f>
        <v>772.93823999999972</v>
      </c>
      <c r="EJ14" s="46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1094</v>
      </c>
      <c r="GO14" s="8" t="s">
        <v>1094</v>
      </c>
      <c r="GP14" s="8" t="s">
        <v>1094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6">
        <f>Tabelle58971121[[#This Row],[Durchschnittsauslastung min]]*Tabelle58971121[[#This Row],[installierte Leistung MW min]]</f>
        <v>0</v>
      </c>
      <c r="EG15" s="46">
        <f>Tabelle58971121[[#This Row],[Durchschnittsauslastung durch]]*Tabelle58971121[[#This Row],[installierte Leistung MW durch]]</f>
        <v>0</v>
      </c>
      <c r="EH15" s="46">
        <f>Tabelle58971121[[#This Row],[Durchschnittsauslastung max]]*Tabelle58971121[[#This Row],[installierte Leistung MW max]]</f>
        <v>0</v>
      </c>
      <c r="EI15" s="83">
        <f>Tabelle58971121[[#This Row],[Maximalauslastung durch]]*Tabelle58971121[[#This Row],[installierte Leistung MW min]]</f>
        <v>853.82655999999997</v>
      </c>
      <c r="EJ15" s="46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1094</v>
      </c>
      <c r="GO15" s="8" t="s">
        <v>1094</v>
      </c>
      <c r="GP15" s="8" t="s">
        <v>1094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6">
        <f>Tabelle58971121[[#This Row],[Durchschnittsauslastung min]]*Tabelle58971121[[#This Row],[installierte Leistung MW min]]</f>
        <v>0</v>
      </c>
      <c r="EG16" s="46">
        <f>Tabelle58971121[[#This Row],[Durchschnittsauslastung durch]]*Tabelle58971121[[#This Row],[installierte Leistung MW durch]]</f>
        <v>0</v>
      </c>
      <c r="EH16" s="46">
        <f>Tabelle58971121[[#This Row],[Durchschnittsauslastung max]]*Tabelle58971121[[#This Row],[installierte Leistung MW max]]</f>
        <v>0</v>
      </c>
      <c r="EI16" s="83">
        <f>Tabelle58971121[[#This Row],[Maximalauslastung durch]]*Tabelle58971121[[#This Row],[installierte Leistung MW min]]</f>
        <v>951.38319999999999</v>
      </c>
      <c r="EJ16" s="46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1094</v>
      </c>
      <c r="GO16" s="8" t="s">
        <v>1094</v>
      </c>
      <c r="GP16" s="8" t="s">
        <v>1094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6">
        <f>Tabelle58971121[[#This Row],[Durchschnittsauslastung min]]*Tabelle58971121[[#This Row],[installierte Leistung MW min]]</f>
        <v>0</v>
      </c>
      <c r="EG17" s="46">
        <f>Tabelle58971121[[#This Row],[Durchschnittsauslastung durch]]*Tabelle58971121[[#This Row],[installierte Leistung MW durch]]</f>
        <v>0</v>
      </c>
      <c r="EH17" s="46">
        <f>Tabelle58971121[[#This Row],[Durchschnittsauslastung max]]*Tabelle58971121[[#This Row],[installierte Leistung MW max]]</f>
        <v>0</v>
      </c>
      <c r="EI17" s="83">
        <f>Tabelle58971121[[#This Row],[Maximalauslastung durch]]*Tabelle58971121[[#This Row],[installierte Leistung MW min]]</f>
        <v>1064.2036800000001</v>
      </c>
      <c r="EJ17" s="46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1094</v>
      </c>
      <c r="GO17" s="8" t="s">
        <v>1094</v>
      </c>
      <c r="GP17" s="8" t="s">
        <v>1094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6">
        <f>Tabelle58971121[[#This Row],[Durchschnittsauslastung min]]*Tabelle58971121[[#This Row],[installierte Leistung MW min]]</f>
        <v>0</v>
      </c>
      <c r="EG18" s="46">
        <f>Tabelle58971121[[#This Row],[Durchschnittsauslastung durch]]*Tabelle58971121[[#This Row],[installierte Leistung MW durch]]</f>
        <v>0</v>
      </c>
      <c r="EH18" s="46">
        <f>Tabelle58971121[[#This Row],[Durchschnittsauslastung max]]*Tabelle58971121[[#This Row],[installierte Leistung MW max]]</f>
        <v>0</v>
      </c>
      <c r="EI18" s="83">
        <f>Tabelle58971121[[#This Row],[Maximalauslastung durch]]*Tabelle58971121[[#This Row],[installierte Leistung MW min]]</f>
        <v>1517</v>
      </c>
      <c r="EJ18" s="46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1094</v>
      </c>
      <c r="GO18" s="8" t="s">
        <v>1094</v>
      </c>
      <c r="GP18" s="8" t="s">
        <v>1094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6">
        <f>Tabelle58971121[[#This Row],[Durchschnittsauslastung min]]*Tabelle58971121[[#This Row],[installierte Leistung MW min]]</f>
        <v>0</v>
      </c>
      <c r="EG19" s="46">
        <f>Tabelle58971121[[#This Row],[Durchschnittsauslastung durch]]*Tabelle58971121[[#This Row],[installierte Leistung MW durch]]</f>
        <v>0</v>
      </c>
      <c r="EH19" s="46">
        <f>Tabelle58971121[[#This Row],[Durchschnittsauslastung max]]*Tabelle58971121[[#This Row],[installierte Leistung MW max]]</f>
        <v>0</v>
      </c>
      <c r="EI19" s="83">
        <f>Tabelle58971121[[#This Row],[Maximalauslastung durch]]*Tabelle58971121[[#This Row],[installierte Leistung MW min]]</f>
        <v>1605.83</v>
      </c>
      <c r="EJ19" s="46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1094</v>
      </c>
      <c r="GO19" s="8" t="s">
        <v>1094</v>
      </c>
      <c r="GP19" s="8" t="s">
        <v>1094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6">
        <f>Tabelle58971121[[#This Row],[Durchschnittsauslastung min]]*Tabelle58971121[[#This Row],[installierte Leistung MW min]]</f>
        <v>0</v>
      </c>
      <c r="EG20" s="46">
        <f>Tabelle58971121[[#This Row],[Durchschnittsauslastung durch]]*Tabelle58971121[[#This Row],[installierte Leistung MW durch]]</f>
        <v>0</v>
      </c>
      <c r="EH20" s="46">
        <f>Tabelle58971121[[#This Row],[Durchschnittsauslastung max]]*Tabelle58971121[[#This Row],[installierte Leistung MW max]]</f>
        <v>0</v>
      </c>
      <c r="EI20" s="83">
        <f>Tabelle58971121[[#This Row],[Maximalauslastung durch]]*Tabelle58971121[[#This Row],[installierte Leistung MW min]]</f>
        <v>1707.61</v>
      </c>
      <c r="EJ20" s="46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1094</v>
      </c>
      <c r="GO20" s="8" t="s">
        <v>1094</v>
      </c>
      <c r="GP20" s="8" t="s">
        <v>1094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6">
        <f>Tabelle58971121[[#This Row],[Durchschnittsauslastung min]]*Tabelle58971121[[#This Row],[installierte Leistung MW min]]</f>
        <v>0</v>
      </c>
      <c r="EG21" s="46">
        <f>Tabelle58971121[[#This Row],[Durchschnittsauslastung durch]]*Tabelle58971121[[#This Row],[installierte Leistung MW durch]]</f>
        <v>0</v>
      </c>
      <c r="EH21" s="46">
        <f>Tabelle58971121[[#This Row],[Durchschnittsauslastung max]]*Tabelle58971121[[#This Row],[installierte Leistung MW max]]</f>
        <v>0</v>
      </c>
      <c r="EI21" s="83">
        <f>Tabelle58971121[[#This Row],[Maximalauslastung durch]]*Tabelle58971121[[#This Row],[installierte Leistung MW min]]</f>
        <v>1832.85</v>
      </c>
      <c r="EJ21" s="46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1094</v>
      </c>
      <c r="GO21" s="8" t="s">
        <v>1094</v>
      </c>
      <c r="GP21" s="8" t="s">
        <v>1094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6">
        <f>Tabelle58971121[[#This Row],[Durchschnittsauslastung min]]*Tabelle58971121[[#This Row],[installierte Leistung MW min]]</f>
        <v>0</v>
      </c>
      <c r="EG22" s="46">
        <f>Tabelle58971121[[#This Row],[Durchschnittsauslastung durch]]*Tabelle58971121[[#This Row],[installierte Leistung MW durch]]</f>
        <v>0</v>
      </c>
      <c r="EH22" s="46">
        <f>Tabelle58971121[[#This Row],[Durchschnittsauslastung max]]*Tabelle58971121[[#This Row],[installierte Leistung MW max]]</f>
        <v>0</v>
      </c>
      <c r="EI22" s="83">
        <f>Tabelle58971121[[#This Row],[Maximalauslastung durch]]*Tabelle58971121[[#This Row],[installierte Leistung MW min]]</f>
        <v>1978.53</v>
      </c>
      <c r="EJ22" s="46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1094</v>
      </c>
      <c r="GO22" s="8" t="s">
        <v>1094</v>
      </c>
      <c r="GP22" s="8" t="s">
        <v>1094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6">
        <f>Tabelle58971121[[#This Row],[Durchschnittsauslastung min]]*Tabelle58971121[[#This Row],[installierte Leistung MW min]]</f>
        <v>0</v>
      </c>
      <c r="EG23" s="46">
        <f>Tabelle58971121[[#This Row],[Durchschnittsauslastung durch]]*Tabelle58971121[[#This Row],[installierte Leistung MW durch]]</f>
        <v>0</v>
      </c>
      <c r="EH23" s="46">
        <f>Tabelle58971121[[#This Row],[Durchschnittsauslastung max]]*Tabelle58971121[[#This Row],[installierte Leistung MW max]]</f>
        <v>0</v>
      </c>
      <c r="EI23" s="83">
        <f>Tabelle58971121[[#This Row],[Maximalauslastung durch]]*Tabelle58971121[[#This Row],[installierte Leistung MW min]]</f>
        <v>2152.329999999999</v>
      </c>
      <c r="EJ23" s="46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1094</v>
      </c>
      <c r="GO23" s="8" t="s">
        <v>1094</v>
      </c>
      <c r="GP23" s="8" t="s">
        <v>1094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6">
        <f>Tabelle58971121[[#This Row],[Durchschnittsauslastung min]]*Tabelle58971121[[#This Row],[installierte Leistung MW min]]</f>
        <v>0</v>
      </c>
      <c r="EG24" s="46">
        <f>Tabelle58971121[[#This Row],[Durchschnittsauslastung durch]]*Tabelle58971121[[#This Row],[installierte Leistung MW durch]]</f>
        <v>0</v>
      </c>
      <c r="EH24" s="46">
        <f>Tabelle58971121[[#This Row],[Durchschnittsauslastung max]]*Tabelle58971121[[#This Row],[installierte Leistung MW max]]</f>
        <v>0</v>
      </c>
      <c r="EI24" s="83">
        <f>Tabelle58971121[[#This Row],[Maximalauslastung durch]]*Tabelle58971121[[#This Row],[installierte Leistung MW min]]</f>
        <v>2369.1999999999998</v>
      </c>
      <c r="EJ24" s="46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1094</v>
      </c>
      <c r="GO24" s="8" t="s">
        <v>1094</v>
      </c>
      <c r="GP24" s="8" t="s">
        <v>1094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6">
        <f>Tabelle58971121[[#This Row],[Durchschnittsauslastung min]]*Tabelle58971121[[#This Row],[installierte Leistung MW min]]</f>
        <v>0</v>
      </c>
      <c r="EG25" s="46">
        <f>Tabelle58971121[[#This Row],[Durchschnittsauslastung durch]]*Tabelle58971121[[#This Row],[installierte Leistung MW durch]]</f>
        <v>0</v>
      </c>
      <c r="EH25" s="46">
        <f>Tabelle58971121[[#This Row],[Durchschnittsauslastung max]]*Tabelle58971121[[#This Row],[installierte Leistung MW max]]</f>
        <v>0</v>
      </c>
      <c r="EI25" s="83">
        <f>Tabelle58971121[[#This Row],[Maximalauslastung durch]]*Tabelle58971121[[#This Row],[installierte Leistung MW min]]</f>
        <v>2622.46</v>
      </c>
      <c r="EJ25" s="46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1094</v>
      </c>
      <c r="GO25" s="8" t="s">
        <v>1094</v>
      </c>
      <c r="GP25" s="8" t="s">
        <v>1094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6">
        <f>Tabelle58971121[[#This Row],[Durchschnittsauslastung min]]*Tabelle58971121[[#This Row],[installierte Leistung MW min]]</f>
        <v>0</v>
      </c>
      <c r="EG26" s="46">
        <f>Tabelle58971121[[#This Row],[Durchschnittsauslastung durch]]*Tabelle58971121[[#This Row],[installierte Leistung MW durch]]</f>
        <v>0</v>
      </c>
      <c r="EH26" s="46">
        <f>Tabelle58971121[[#This Row],[Durchschnittsauslastung max]]*Tabelle58971121[[#This Row],[installierte Leistung MW max]]</f>
        <v>0</v>
      </c>
      <c r="EI26" s="83">
        <f>Tabelle58971121[[#This Row],[Maximalauslastung durch]]*Tabelle58971121[[#This Row],[installierte Leistung MW min]]</f>
        <v>594.40333333333331</v>
      </c>
      <c r="EJ26" s="46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1094</v>
      </c>
      <c r="GO26" s="8" t="s">
        <v>1094</v>
      </c>
      <c r="GP26" s="8" t="s">
        <v>1094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6">
        <f>Tabelle58971121[[#This Row],[Durchschnittsauslastung min]]*Tabelle58971121[[#This Row],[installierte Leistung MW min]]</f>
        <v>0</v>
      </c>
      <c r="EG27" s="46">
        <f>Tabelle58971121[[#This Row],[Durchschnittsauslastung durch]]*Tabelle58971121[[#This Row],[installierte Leistung MW durch]]</f>
        <v>0</v>
      </c>
      <c r="EH27" s="46">
        <f>Tabelle58971121[[#This Row],[Durchschnittsauslastung max]]*Tabelle58971121[[#This Row],[installierte Leistung MW max]]</f>
        <v>0</v>
      </c>
      <c r="EI27" s="83">
        <f>Tabelle58971121[[#This Row],[Maximalauslastung durch]]*Tabelle58971121[[#This Row],[installierte Leistung MW min]]</f>
        <v>612.45616666666672</v>
      </c>
      <c r="EJ27" s="46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1094</v>
      </c>
      <c r="GO27" s="8" t="s">
        <v>1094</v>
      </c>
      <c r="GP27" s="8" t="s">
        <v>1094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6">
        <f>Tabelle58971121[[#This Row],[Durchschnittsauslastung min]]*Tabelle58971121[[#This Row],[installierte Leistung MW min]]</f>
        <v>0</v>
      </c>
      <c r="EG28" s="46">
        <f>Tabelle58971121[[#This Row],[Durchschnittsauslastung durch]]*Tabelle58971121[[#This Row],[installierte Leistung MW durch]]</f>
        <v>0</v>
      </c>
      <c r="EH28" s="46">
        <f>Tabelle58971121[[#This Row],[Durchschnittsauslastung max]]*Tabelle58971121[[#This Row],[installierte Leistung MW max]]</f>
        <v>0</v>
      </c>
      <c r="EI28" s="83">
        <f>Tabelle58971121[[#This Row],[Maximalauslastung durch]]*Tabelle58971121[[#This Row],[installierte Leistung MW min]]</f>
        <v>636.85508333333337</v>
      </c>
      <c r="EJ28" s="46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1094</v>
      </c>
      <c r="GO28" s="8" t="s">
        <v>1094</v>
      </c>
      <c r="GP28" s="8" t="s">
        <v>1094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6">
        <f>Tabelle58971121[[#This Row],[Durchschnittsauslastung min]]*Tabelle58971121[[#This Row],[installierte Leistung MW min]]</f>
        <v>0</v>
      </c>
      <c r="EG29" s="46">
        <f>Tabelle58971121[[#This Row],[Durchschnittsauslastung durch]]*Tabelle58971121[[#This Row],[installierte Leistung MW durch]]</f>
        <v>0</v>
      </c>
      <c r="EH29" s="46">
        <f>Tabelle58971121[[#This Row],[Durchschnittsauslastung max]]*Tabelle58971121[[#This Row],[installierte Leistung MW max]]</f>
        <v>0</v>
      </c>
      <c r="EI29" s="83">
        <f>Tabelle58971121[[#This Row],[Maximalauslastung durch]]*Tabelle58971121[[#This Row],[installierte Leistung MW min]]</f>
        <v>665.08530000000007</v>
      </c>
      <c r="EJ29" s="46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1094</v>
      </c>
      <c r="GO29" s="8" t="s">
        <v>1094</v>
      </c>
      <c r="GP29" s="8" t="s">
        <v>1094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6">
        <f>Tabelle58971121[[#This Row],[Durchschnittsauslastung min]]*Tabelle58971121[[#This Row],[installierte Leistung MW min]]</f>
        <v>0</v>
      </c>
      <c r="EG30" s="46">
        <f>Tabelle58971121[[#This Row],[Durchschnittsauslastung durch]]*Tabelle58971121[[#This Row],[installierte Leistung MW durch]]</f>
        <v>0</v>
      </c>
      <c r="EH30" s="46">
        <f>Tabelle58971121[[#This Row],[Durchschnittsauslastung max]]*Tabelle58971121[[#This Row],[installierte Leistung MW max]]</f>
        <v>0</v>
      </c>
      <c r="EI30" s="83">
        <f>Tabelle58971121[[#This Row],[Maximalauslastung durch]]*Tabelle58971121[[#This Row],[installierte Leistung MW min]]</f>
        <v>699.5906500000001</v>
      </c>
      <c r="EJ30" s="46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1094</v>
      </c>
      <c r="GO30" s="8" t="s">
        <v>1094</v>
      </c>
      <c r="GP30" s="8" t="s">
        <v>1094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6">
        <f>Tabelle58971121[[#This Row],[Durchschnittsauslastung min]]*Tabelle58971121[[#This Row],[installierte Leistung MW min]]</f>
        <v>0</v>
      </c>
      <c r="EG31" s="46">
        <f>Tabelle58971121[[#This Row],[Durchschnittsauslastung durch]]*Tabelle58971121[[#This Row],[installierte Leistung MW durch]]</f>
        <v>0</v>
      </c>
      <c r="EH31" s="46">
        <f>Tabelle58971121[[#This Row],[Durchschnittsauslastung max]]*Tabelle58971121[[#This Row],[installierte Leistung MW max]]</f>
        <v>0</v>
      </c>
      <c r="EI31" s="83">
        <f>Tabelle58971121[[#This Row],[Maximalauslastung durch]]*Tabelle58971121[[#This Row],[installierte Leistung MW min]]</f>
        <v>744.28915000000006</v>
      </c>
      <c r="EJ31" s="46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1094</v>
      </c>
      <c r="GO31" s="8" t="s">
        <v>1094</v>
      </c>
      <c r="GP31" s="8" t="s">
        <v>1094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6">
        <f>Tabelle58971121[[#This Row],[Durchschnittsauslastung min]]*Tabelle58971121[[#This Row],[installierte Leistung MW min]]</f>
        <v>0</v>
      </c>
      <c r="EG32" s="46">
        <f>Tabelle58971121[[#This Row],[Durchschnittsauslastung durch]]*Tabelle58971121[[#This Row],[installierte Leistung MW durch]]</f>
        <v>0</v>
      </c>
      <c r="EH32" s="46">
        <f>Tabelle58971121[[#This Row],[Durchschnittsauslastung max]]*Tabelle58971121[[#This Row],[installierte Leistung MW max]]</f>
        <v>0</v>
      </c>
      <c r="EI32" s="83">
        <f>Tabelle58971121[[#This Row],[Maximalauslastung durch]]*Tabelle58971121[[#This Row],[installierte Leistung MW min]]</f>
        <v>797.7066166666666</v>
      </c>
      <c r="EJ32" s="46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1094</v>
      </c>
      <c r="GO32" s="8" t="s">
        <v>1094</v>
      </c>
      <c r="GP32" s="8" t="s">
        <v>1094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6">
        <f>Tabelle58971121[[#This Row],[Durchschnittsauslastung min]]*Tabelle58971121[[#This Row],[installierte Leistung MW min]]</f>
        <v>0</v>
      </c>
      <c r="EG33" s="46">
        <f>Tabelle58971121[[#This Row],[Durchschnittsauslastung durch]]*Tabelle58971121[[#This Row],[installierte Leistung MW durch]]</f>
        <v>0</v>
      </c>
      <c r="EH33" s="46">
        <f>Tabelle58971121[[#This Row],[Durchschnittsauslastung max]]*Tabelle58971121[[#This Row],[installierte Leistung MW max]]</f>
        <v>0</v>
      </c>
      <c r="EI33" s="83">
        <f>Tabelle58971121[[#This Row],[Maximalauslastung durch]]*Tabelle58971121[[#This Row],[installierte Leistung MW min]]</f>
        <v>864.31290000000013</v>
      </c>
      <c r="EJ33" s="46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1094</v>
      </c>
      <c r="GO33" s="8" t="s">
        <v>1094</v>
      </c>
      <c r="GP33" s="8" t="s">
        <v>1094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6">
        <f>Tabelle58971121[[#This Row],[Durchschnittsauslastung min]]*Tabelle58971121[[#This Row],[installierte Leistung MW min]]</f>
        <v>0</v>
      </c>
      <c r="EG34" s="46">
        <f>Tabelle58971121[[#This Row],[Durchschnittsauslastung durch]]*Tabelle58971121[[#This Row],[installierte Leistung MW durch]]</f>
        <v>0</v>
      </c>
      <c r="EH34" s="46">
        <f>Tabelle58971121[[#This Row],[Durchschnittsauslastung max]]*Tabelle58971121[[#This Row],[installierte Leistung MW max]]</f>
        <v>0</v>
      </c>
      <c r="EI34" s="83">
        <f>Tabelle58971121[[#This Row],[Maximalauslastung durch]]*Tabelle58971121[[#This Row],[installierte Leistung MW min]]</f>
        <v>386.5</v>
      </c>
      <c r="EJ34" s="46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1094</v>
      </c>
      <c r="GO34" s="8" t="s">
        <v>1094</v>
      </c>
      <c r="GP34" s="8" t="s">
        <v>1094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6">
        <f>Tabelle58971121[[#This Row],[Durchschnittsauslastung min]]*Tabelle58971121[[#This Row],[installierte Leistung MW min]]</f>
        <v>0</v>
      </c>
      <c r="EG35" s="46">
        <f>Tabelle58971121[[#This Row],[Durchschnittsauslastung durch]]*Tabelle58971121[[#This Row],[installierte Leistung MW durch]]</f>
        <v>0</v>
      </c>
      <c r="EH35" s="46">
        <f>Tabelle58971121[[#This Row],[Durchschnittsauslastung max]]*Tabelle58971121[[#This Row],[installierte Leistung MW max]]</f>
        <v>0</v>
      </c>
      <c r="EI35" s="83">
        <f>Tabelle58971121[[#This Row],[Maximalauslastung durch]]*Tabelle58971121[[#This Row],[installierte Leistung MW min]]</f>
        <v>386.5</v>
      </c>
      <c r="EJ35" s="46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1094</v>
      </c>
      <c r="GO35" s="8" t="s">
        <v>1094</v>
      </c>
      <c r="GP35" s="8" t="s">
        <v>1094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6">
        <f>Tabelle58971121[[#This Row],[Durchschnittsauslastung min]]*Tabelle58971121[[#This Row],[installierte Leistung MW min]]</f>
        <v>0</v>
      </c>
      <c r="EG36" s="46">
        <f>Tabelle58971121[[#This Row],[Durchschnittsauslastung durch]]*Tabelle58971121[[#This Row],[installierte Leistung MW durch]]</f>
        <v>0</v>
      </c>
      <c r="EH36" s="46">
        <f>Tabelle58971121[[#This Row],[Durchschnittsauslastung max]]*Tabelle58971121[[#This Row],[installierte Leistung MW max]]</f>
        <v>0</v>
      </c>
      <c r="EI36" s="83">
        <f>Tabelle58971121[[#This Row],[Maximalauslastung durch]]*Tabelle58971121[[#This Row],[installierte Leistung MW min]]</f>
        <v>386.5</v>
      </c>
      <c r="EJ36" s="46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1094</v>
      </c>
      <c r="GO36" s="8" t="s">
        <v>1094</v>
      </c>
      <c r="GP36" s="8" t="s">
        <v>1094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6">
        <f>Tabelle58971121[[#This Row],[Durchschnittsauslastung min]]*Tabelle58971121[[#This Row],[installierte Leistung MW min]]</f>
        <v>0</v>
      </c>
      <c r="EG37" s="46">
        <f>Tabelle58971121[[#This Row],[Durchschnittsauslastung durch]]*Tabelle58971121[[#This Row],[installierte Leistung MW durch]]</f>
        <v>0</v>
      </c>
      <c r="EH37" s="46">
        <f>Tabelle58971121[[#This Row],[Durchschnittsauslastung max]]*Tabelle58971121[[#This Row],[installierte Leistung MW max]]</f>
        <v>0</v>
      </c>
      <c r="EI37" s="83">
        <f>Tabelle58971121[[#This Row],[Maximalauslastung durch]]*Tabelle58971121[[#This Row],[installierte Leistung MW min]]</f>
        <v>386.5</v>
      </c>
      <c r="EJ37" s="46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1094</v>
      </c>
      <c r="GO37" s="8" t="s">
        <v>1094</v>
      </c>
      <c r="GP37" s="8" t="s">
        <v>1094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6">
        <f>Tabelle58971121[[#This Row],[Durchschnittsauslastung min]]*Tabelle58971121[[#This Row],[installierte Leistung MW min]]</f>
        <v>0</v>
      </c>
      <c r="EG38" s="46">
        <f>Tabelle58971121[[#This Row],[Durchschnittsauslastung durch]]*Tabelle58971121[[#This Row],[installierte Leistung MW durch]]</f>
        <v>0</v>
      </c>
      <c r="EH38" s="46">
        <f>Tabelle58971121[[#This Row],[Durchschnittsauslastung max]]*Tabelle58971121[[#This Row],[installierte Leistung MW max]]</f>
        <v>0</v>
      </c>
      <c r="EI38" s="83">
        <f>Tabelle58971121[[#This Row],[Maximalauslastung durch]]*Tabelle58971121[[#This Row],[installierte Leistung MW min]]</f>
        <v>386.5</v>
      </c>
      <c r="EJ38" s="46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1094</v>
      </c>
      <c r="GO38" s="8" t="s">
        <v>1094</v>
      </c>
      <c r="GP38" s="8" t="s">
        <v>1094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6">
        <f>Tabelle58971121[[#This Row],[Durchschnittsauslastung min]]*Tabelle58971121[[#This Row],[installierte Leistung MW min]]</f>
        <v>0</v>
      </c>
      <c r="EG39" s="46">
        <f>Tabelle58971121[[#This Row],[Durchschnittsauslastung durch]]*Tabelle58971121[[#This Row],[installierte Leistung MW durch]]</f>
        <v>0</v>
      </c>
      <c r="EH39" s="46">
        <f>Tabelle58971121[[#This Row],[Durchschnittsauslastung max]]*Tabelle58971121[[#This Row],[installierte Leistung MW max]]</f>
        <v>0</v>
      </c>
      <c r="EI39" s="83">
        <f>Tabelle58971121[[#This Row],[Maximalauslastung durch]]*Tabelle58971121[[#This Row],[installierte Leistung MW min]]</f>
        <v>386.5</v>
      </c>
      <c r="EJ39" s="46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1094</v>
      </c>
      <c r="GO39" s="8" t="s">
        <v>1094</v>
      </c>
      <c r="GP39" s="8" t="s">
        <v>1094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6">
        <f>Tabelle58971121[[#This Row],[Durchschnittsauslastung min]]*Tabelle58971121[[#This Row],[installierte Leistung MW min]]</f>
        <v>0</v>
      </c>
      <c r="EG40" s="46">
        <f>Tabelle58971121[[#This Row],[Durchschnittsauslastung durch]]*Tabelle58971121[[#This Row],[installierte Leistung MW durch]]</f>
        <v>0</v>
      </c>
      <c r="EH40" s="46">
        <f>Tabelle58971121[[#This Row],[Durchschnittsauslastung max]]*Tabelle58971121[[#This Row],[installierte Leistung MW max]]</f>
        <v>0</v>
      </c>
      <c r="EI40" s="83">
        <f>Tabelle58971121[[#This Row],[Maximalauslastung durch]]*Tabelle58971121[[#This Row],[installierte Leistung MW min]]</f>
        <v>386.5</v>
      </c>
      <c r="EJ40" s="46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1094</v>
      </c>
      <c r="GO40" s="8" t="s">
        <v>1094</v>
      </c>
      <c r="GP40" s="8" t="s">
        <v>1094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6">
        <f>Tabelle58971121[[#This Row],[Durchschnittsauslastung min]]*Tabelle58971121[[#This Row],[installierte Leistung MW min]]</f>
        <v>0</v>
      </c>
      <c r="EG41" s="46">
        <f>Tabelle58971121[[#This Row],[Durchschnittsauslastung durch]]*Tabelle58971121[[#This Row],[installierte Leistung MW durch]]</f>
        <v>0</v>
      </c>
      <c r="EH41" s="46">
        <f>Tabelle58971121[[#This Row],[Durchschnittsauslastung max]]*Tabelle58971121[[#This Row],[installierte Leistung MW max]]</f>
        <v>0</v>
      </c>
      <c r="EI41" s="83">
        <f>Tabelle58971121[[#This Row],[Maximalauslastung durch]]*Tabelle58971121[[#This Row],[installierte Leistung MW min]]</f>
        <v>386.5</v>
      </c>
      <c r="EJ41" s="46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1094</v>
      </c>
      <c r="GO41" s="8" t="s">
        <v>1094</v>
      </c>
      <c r="GP41" s="8" t="s">
        <v>1094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6">
        <f>Tabelle58971121[[#This Row],[Durchschnittsauslastung min]]*Tabelle58971121[[#This Row],[installierte Leistung MW min]]</f>
        <v>0</v>
      </c>
      <c r="EG42" s="46">
        <f>Tabelle58971121[[#This Row],[Durchschnittsauslastung durch]]*Tabelle58971121[[#This Row],[installierte Leistung MW durch]]</f>
        <v>0</v>
      </c>
      <c r="EH42" s="46">
        <f>Tabelle58971121[[#This Row],[Durchschnittsauslastung max]]*Tabelle58971121[[#This Row],[installierte Leistung MW max]]</f>
        <v>0</v>
      </c>
      <c r="EI42" s="83">
        <f>Tabelle58971121[[#This Row],[Maximalauslastung durch]]*Tabelle58971121[[#This Row],[installierte Leistung MW min]]</f>
        <v>27</v>
      </c>
      <c r="EJ42" s="46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1094</v>
      </c>
      <c r="GO42" s="8" t="s">
        <v>1094</v>
      </c>
      <c r="GP42" s="8" t="s">
        <v>1094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6">
        <f>Tabelle58971121[[#This Row],[Durchschnittsauslastung min]]*Tabelle58971121[[#This Row],[installierte Leistung MW min]]</f>
        <v>0</v>
      </c>
      <c r="EG43" s="46">
        <f>Tabelle58971121[[#This Row],[Durchschnittsauslastung durch]]*Tabelle58971121[[#This Row],[installierte Leistung MW durch]]</f>
        <v>0</v>
      </c>
      <c r="EH43" s="46">
        <f>Tabelle58971121[[#This Row],[Durchschnittsauslastung max]]*Tabelle58971121[[#This Row],[installierte Leistung MW max]]</f>
        <v>0</v>
      </c>
      <c r="EI43" s="83">
        <f>Tabelle58971121[[#This Row],[Maximalauslastung durch]]*Tabelle58971121[[#This Row],[installierte Leistung MW min]]</f>
        <v>27</v>
      </c>
      <c r="EJ43" s="46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1094</v>
      </c>
      <c r="GO43" s="8" t="s">
        <v>1094</v>
      </c>
      <c r="GP43" s="8" t="s">
        <v>1094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6">
        <f>Tabelle58971121[[#This Row],[Durchschnittsauslastung min]]*Tabelle58971121[[#This Row],[installierte Leistung MW min]]</f>
        <v>0</v>
      </c>
      <c r="EG44" s="46">
        <f>Tabelle58971121[[#This Row],[Durchschnittsauslastung durch]]*Tabelle58971121[[#This Row],[installierte Leistung MW durch]]</f>
        <v>0</v>
      </c>
      <c r="EH44" s="46">
        <f>Tabelle58971121[[#This Row],[Durchschnittsauslastung max]]*Tabelle58971121[[#This Row],[installierte Leistung MW max]]</f>
        <v>0</v>
      </c>
      <c r="EI44" s="83">
        <f>Tabelle58971121[[#This Row],[Maximalauslastung durch]]*Tabelle58971121[[#This Row],[installierte Leistung MW min]]</f>
        <v>27</v>
      </c>
      <c r="EJ44" s="46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1094</v>
      </c>
      <c r="GO44" s="8" t="s">
        <v>1094</v>
      </c>
      <c r="GP44" s="8" t="s">
        <v>1094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6">
        <f>Tabelle58971121[[#This Row],[Durchschnittsauslastung min]]*Tabelle58971121[[#This Row],[installierte Leistung MW min]]</f>
        <v>0</v>
      </c>
      <c r="EG45" s="46">
        <f>Tabelle58971121[[#This Row],[Durchschnittsauslastung durch]]*Tabelle58971121[[#This Row],[installierte Leistung MW durch]]</f>
        <v>0</v>
      </c>
      <c r="EH45" s="46">
        <f>Tabelle58971121[[#This Row],[Durchschnittsauslastung max]]*Tabelle58971121[[#This Row],[installierte Leistung MW max]]</f>
        <v>0</v>
      </c>
      <c r="EI45" s="83">
        <f>Tabelle58971121[[#This Row],[Maximalauslastung durch]]*Tabelle58971121[[#This Row],[installierte Leistung MW min]]</f>
        <v>27</v>
      </c>
      <c r="EJ45" s="46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1094</v>
      </c>
      <c r="GO45" s="8" t="s">
        <v>1094</v>
      </c>
      <c r="GP45" s="8" t="s">
        <v>1094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6">
        <f>Tabelle58971121[[#This Row],[Durchschnittsauslastung min]]*Tabelle58971121[[#This Row],[installierte Leistung MW min]]</f>
        <v>0</v>
      </c>
      <c r="EG46" s="46">
        <f>Tabelle58971121[[#This Row],[Durchschnittsauslastung durch]]*Tabelle58971121[[#This Row],[installierte Leistung MW durch]]</f>
        <v>0</v>
      </c>
      <c r="EH46" s="46">
        <f>Tabelle58971121[[#This Row],[Durchschnittsauslastung max]]*Tabelle58971121[[#This Row],[installierte Leistung MW max]]</f>
        <v>0</v>
      </c>
      <c r="EI46" s="83">
        <f>Tabelle58971121[[#This Row],[Maximalauslastung durch]]*Tabelle58971121[[#This Row],[installierte Leistung MW min]]</f>
        <v>27</v>
      </c>
      <c r="EJ46" s="46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1094</v>
      </c>
      <c r="GO46" s="8" t="s">
        <v>1094</v>
      </c>
      <c r="GP46" s="8" t="s">
        <v>1094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6">
        <f>Tabelle58971121[[#This Row],[Durchschnittsauslastung min]]*Tabelle58971121[[#This Row],[installierte Leistung MW min]]</f>
        <v>0</v>
      </c>
      <c r="EG47" s="46">
        <f>Tabelle58971121[[#This Row],[Durchschnittsauslastung durch]]*Tabelle58971121[[#This Row],[installierte Leistung MW durch]]</f>
        <v>0</v>
      </c>
      <c r="EH47" s="46">
        <f>Tabelle58971121[[#This Row],[Durchschnittsauslastung max]]*Tabelle58971121[[#This Row],[installierte Leistung MW max]]</f>
        <v>0</v>
      </c>
      <c r="EI47" s="83">
        <f>Tabelle58971121[[#This Row],[Maximalauslastung durch]]*Tabelle58971121[[#This Row],[installierte Leistung MW min]]</f>
        <v>27</v>
      </c>
      <c r="EJ47" s="46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1094</v>
      </c>
      <c r="GO47" s="8" t="s">
        <v>1094</v>
      </c>
      <c r="GP47" s="8" t="s">
        <v>1094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6">
        <f>Tabelle58971121[[#This Row],[Durchschnittsauslastung min]]*Tabelle58971121[[#This Row],[installierte Leistung MW min]]</f>
        <v>0</v>
      </c>
      <c r="EG48" s="46">
        <f>Tabelle58971121[[#This Row],[Durchschnittsauslastung durch]]*Tabelle58971121[[#This Row],[installierte Leistung MW durch]]</f>
        <v>0</v>
      </c>
      <c r="EH48" s="46">
        <f>Tabelle58971121[[#This Row],[Durchschnittsauslastung max]]*Tabelle58971121[[#This Row],[installierte Leistung MW max]]</f>
        <v>0</v>
      </c>
      <c r="EI48" s="83">
        <f>Tabelle58971121[[#This Row],[Maximalauslastung durch]]*Tabelle58971121[[#This Row],[installierte Leistung MW min]]</f>
        <v>27</v>
      </c>
      <c r="EJ48" s="46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1094</v>
      </c>
      <c r="GO48" s="8" t="s">
        <v>1094</v>
      </c>
      <c r="GP48" s="8" t="s">
        <v>1094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6">
        <f>Tabelle58971121[[#This Row],[Durchschnittsauslastung min]]*Tabelle58971121[[#This Row],[installierte Leistung MW min]]</f>
        <v>0</v>
      </c>
      <c r="EG49" s="46">
        <f>Tabelle58971121[[#This Row],[Durchschnittsauslastung durch]]*Tabelle58971121[[#This Row],[installierte Leistung MW durch]]</f>
        <v>0</v>
      </c>
      <c r="EH49" s="46">
        <f>Tabelle58971121[[#This Row],[Durchschnittsauslastung max]]*Tabelle58971121[[#This Row],[installierte Leistung MW max]]</f>
        <v>0</v>
      </c>
      <c r="EI49" s="83">
        <f>Tabelle58971121[[#This Row],[Maximalauslastung durch]]*Tabelle58971121[[#This Row],[installierte Leistung MW min]]</f>
        <v>27</v>
      </c>
      <c r="EJ49" s="46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1094</v>
      </c>
      <c r="GO49" s="8" t="s">
        <v>1094</v>
      </c>
      <c r="GP49" s="8" t="s">
        <v>1094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6">
        <f>Tabelle58971121[[#This Row],[Durchschnittsauslastung min]]*Tabelle58971121[[#This Row],[installierte Leistung MW min]]</f>
        <v>0</v>
      </c>
      <c r="EG50" s="46">
        <f>Tabelle58971121[[#This Row],[Durchschnittsauslastung durch]]*Tabelle58971121[[#This Row],[installierte Leistung MW durch]]</f>
        <v>0</v>
      </c>
      <c r="EH50" s="46">
        <f>Tabelle58971121[[#This Row],[Durchschnittsauslastung max]]*Tabelle58971121[[#This Row],[installierte Leistung MW max]]</f>
        <v>0</v>
      </c>
      <c r="EI50" s="83">
        <f>Tabelle58971121[[#This Row],[Maximalauslastung durch]]*Tabelle58971121[[#This Row],[installierte Leistung MW min]]</f>
        <v>12787.5</v>
      </c>
      <c r="EJ50" s="46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6">
        <f>Tabelle58971121[[#This Row],[Durchschnittsauslastung min]]*Tabelle58971121[[#This Row],[installierte Leistung MW min]]</f>
        <v>0</v>
      </c>
      <c r="EG51" s="46">
        <f>Tabelle58971121[[#This Row],[Durchschnittsauslastung durch]]*Tabelle58971121[[#This Row],[installierte Leistung MW durch]]</f>
        <v>0</v>
      </c>
      <c r="EH51" s="46">
        <f>Tabelle58971121[[#This Row],[Durchschnittsauslastung max]]*Tabelle58971121[[#This Row],[installierte Leistung MW max]]</f>
        <v>0</v>
      </c>
      <c r="EI51" s="83">
        <f>Tabelle58971121[[#This Row],[Maximalauslastung durch]]*Tabelle58971121[[#This Row],[installierte Leistung MW min]]</f>
        <v>10357.875</v>
      </c>
      <c r="EJ51" s="46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6">
        <f>Tabelle58971121[[#This Row],[Durchschnittsauslastung min]]*Tabelle58971121[[#This Row],[installierte Leistung MW min]]</f>
        <v>0</v>
      </c>
      <c r="EG52" s="46">
        <f>Tabelle58971121[[#This Row],[Durchschnittsauslastung durch]]*Tabelle58971121[[#This Row],[installierte Leistung MW durch]]</f>
        <v>0</v>
      </c>
      <c r="EH52" s="46">
        <f>Tabelle58971121[[#This Row],[Durchschnittsauslastung max]]*Tabelle58971121[[#This Row],[installierte Leistung MW max]]</f>
        <v>0</v>
      </c>
      <c r="EI52" s="83">
        <f>Tabelle58971121[[#This Row],[Maximalauslastung durch]]*Tabelle58971121[[#This Row],[installierte Leistung MW min]]</f>
        <v>8567.625</v>
      </c>
      <c r="EJ52" s="46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6">
        <f>Tabelle58971121[[#This Row],[Durchschnittsauslastung min]]*Tabelle58971121[[#This Row],[installierte Leistung MW min]]</f>
        <v>0</v>
      </c>
      <c r="EG53" s="46">
        <f>Tabelle58971121[[#This Row],[Durchschnittsauslastung durch]]*Tabelle58971121[[#This Row],[installierte Leistung MW durch]]</f>
        <v>0</v>
      </c>
      <c r="EH53" s="46">
        <f>Tabelle58971121[[#This Row],[Durchschnittsauslastung max]]*Tabelle58971121[[#This Row],[installierte Leistung MW max]]</f>
        <v>0</v>
      </c>
      <c r="EI53" s="83">
        <f>Tabelle58971121[[#This Row],[Maximalauslastung durch]]*Tabelle58971121[[#This Row],[installierte Leistung MW min]]</f>
        <v>6905.25</v>
      </c>
      <c r="EJ53" s="46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6">
        <f>Tabelle58971121[[#This Row],[Durchschnittsauslastung min]]*Tabelle58971121[[#This Row],[installierte Leistung MW min]]</f>
        <v>0</v>
      </c>
      <c r="EG54" s="46">
        <f>Tabelle58971121[[#This Row],[Durchschnittsauslastung durch]]*Tabelle58971121[[#This Row],[installierte Leistung MW durch]]</f>
        <v>0</v>
      </c>
      <c r="EH54" s="46">
        <f>Tabelle58971121[[#This Row],[Durchschnittsauslastung max]]*Tabelle58971121[[#This Row],[installierte Leistung MW max]]</f>
        <v>0</v>
      </c>
      <c r="EI54" s="83">
        <f>Tabelle58971121[[#This Row],[Maximalauslastung durch]]*Tabelle58971121[[#This Row],[installierte Leistung MW min]]</f>
        <v>4092</v>
      </c>
      <c r="EJ54" s="46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6">
        <f>Tabelle58971121[[#This Row],[Durchschnittsauslastung min]]*Tabelle58971121[[#This Row],[installierte Leistung MW min]]</f>
        <v>0</v>
      </c>
      <c r="EG55" s="46">
        <f>Tabelle58971121[[#This Row],[Durchschnittsauslastung durch]]*Tabelle58971121[[#This Row],[installierte Leistung MW durch]]</f>
        <v>0</v>
      </c>
      <c r="EH55" s="46">
        <f>Tabelle58971121[[#This Row],[Durchschnittsauslastung max]]*Tabelle58971121[[#This Row],[installierte Leistung MW max]]</f>
        <v>0</v>
      </c>
      <c r="EI55" s="83">
        <f>Tabelle58971121[[#This Row],[Maximalauslastung durch]]*Tabelle58971121[[#This Row],[installierte Leistung MW min]]</f>
        <v>2429.625</v>
      </c>
      <c r="EJ55" s="46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6">
        <f>Tabelle58971121[[#This Row],[Durchschnittsauslastung min]]*Tabelle58971121[[#This Row],[installierte Leistung MW min]]</f>
        <v>0</v>
      </c>
      <c r="EG56" s="46">
        <f>Tabelle58971121[[#This Row],[Durchschnittsauslastung durch]]*Tabelle58971121[[#This Row],[installierte Leistung MW durch]]</f>
        <v>0</v>
      </c>
      <c r="EH56" s="46">
        <f>Tabelle58971121[[#This Row],[Durchschnittsauslastung max]]*Tabelle58971121[[#This Row],[installierte Leistung MW max]]</f>
        <v>0</v>
      </c>
      <c r="EI56" s="83">
        <f>Tabelle58971121[[#This Row],[Maximalauslastung durch]]*Tabelle58971121[[#This Row],[installierte Leistung MW min]]</f>
        <v>1406.625</v>
      </c>
      <c r="EJ56" s="46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6">
        <f>Tabelle58971121[[#This Row],[Durchschnittsauslastung min]]*Tabelle58971121[[#This Row],[installierte Leistung MW min]]</f>
        <v>0</v>
      </c>
      <c r="EG57" s="46">
        <f>Tabelle58971121[[#This Row],[Durchschnittsauslastung durch]]*Tabelle58971121[[#This Row],[installierte Leistung MW durch]]</f>
        <v>0</v>
      </c>
      <c r="EH57" s="46">
        <f>Tabelle58971121[[#This Row],[Durchschnittsauslastung max]]*Tabelle58971121[[#This Row],[installierte Leistung MW max]]</f>
        <v>0</v>
      </c>
      <c r="EI57" s="83">
        <f>Tabelle58971121[[#This Row],[Maximalauslastung durch]]*Tabelle58971121[[#This Row],[installierte Leistung MW min]]</f>
        <v>767.25</v>
      </c>
      <c r="EJ57" s="46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6">
        <f>Tabelle58971121[[#This Row],[Durchschnittsauslastung min]]*Tabelle58971121[[#This Row],[installierte Leistung MW min]]</f>
        <v>0</v>
      </c>
      <c r="EG58" s="46">
        <f>Tabelle58971121[[#This Row],[Durchschnittsauslastung durch]]*Tabelle58971121[[#This Row],[installierte Leistung MW durch]]</f>
        <v>0</v>
      </c>
      <c r="EH58" s="46">
        <f>Tabelle58971121[[#This Row],[Durchschnittsauslastung max]]*Tabelle58971121[[#This Row],[installierte Leistung MW max]]</f>
        <v>0</v>
      </c>
      <c r="EI58" s="83">
        <f>Tabelle58971121[[#This Row],[Maximalauslastung durch]]*Tabelle58971121[[#This Row],[installierte Leistung MW min]]</f>
        <v>2158</v>
      </c>
      <c r="EJ58" s="46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6">
        <f>Tabelle58971121[[#This Row],[Durchschnittsauslastung min]]*Tabelle58971121[[#This Row],[installierte Leistung MW min]]</f>
        <v>0</v>
      </c>
      <c r="EG59" s="46">
        <f>Tabelle58971121[[#This Row],[Durchschnittsauslastung durch]]*Tabelle58971121[[#This Row],[installierte Leistung MW durch]]</f>
        <v>0</v>
      </c>
      <c r="EH59" s="46">
        <f>Tabelle58971121[[#This Row],[Durchschnittsauslastung max]]*Tabelle58971121[[#This Row],[installierte Leistung MW max]]</f>
        <v>0</v>
      </c>
      <c r="EI59" s="83">
        <f>Tabelle58971121[[#This Row],[Maximalauslastung durch]]*Tabelle58971121[[#This Row],[installierte Leistung MW min]]</f>
        <v>1920.62</v>
      </c>
      <c r="EJ59" s="46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6">
        <f>Tabelle58971121[[#This Row],[Durchschnittsauslastung min]]*Tabelle58971121[[#This Row],[installierte Leistung MW min]]</f>
        <v>0</v>
      </c>
      <c r="EG60" s="46">
        <f>Tabelle58971121[[#This Row],[Durchschnittsauslastung durch]]*Tabelle58971121[[#This Row],[installierte Leistung MW durch]]</f>
        <v>0</v>
      </c>
      <c r="EH60" s="46">
        <f>Tabelle58971121[[#This Row],[Durchschnittsauslastung max]]*Tabelle58971121[[#This Row],[installierte Leistung MW max]]</f>
        <v>0</v>
      </c>
      <c r="EI60" s="83">
        <f>Tabelle58971121[[#This Row],[Maximalauslastung durch]]*Tabelle58971121[[#This Row],[installierte Leistung MW min]]</f>
        <v>1877.46</v>
      </c>
      <c r="EJ60" s="46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6">
        <f>Tabelle58971121[[#This Row],[Durchschnittsauslastung min]]*Tabelle58971121[[#This Row],[installierte Leistung MW min]]</f>
        <v>0</v>
      </c>
      <c r="EG61" s="46">
        <f>Tabelle58971121[[#This Row],[Durchschnittsauslastung durch]]*Tabelle58971121[[#This Row],[installierte Leistung MW durch]]</f>
        <v>0</v>
      </c>
      <c r="EH61" s="46">
        <f>Tabelle58971121[[#This Row],[Durchschnittsauslastung max]]*Tabelle58971121[[#This Row],[installierte Leistung MW max]]</f>
        <v>0</v>
      </c>
      <c r="EI61" s="83">
        <f>Tabelle58971121[[#This Row],[Maximalauslastung durch]]*Tabelle58971121[[#This Row],[installierte Leistung MW min]]</f>
        <v>1791.14</v>
      </c>
      <c r="EJ61" s="46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6">
        <f>Tabelle58971121[[#This Row],[Durchschnittsauslastung min]]*Tabelle58971121[[#This Row],[installierte Leistung MW min]]</f>
        <v>0</v>
      </c>
      <c r="EG62" s="46">
        <f>Tabelle58971121[[#This Row],[Durchschnittsauslastung durch]]*Tabelle58971121[[#This Row],[installierte Leistung MW durch]]</f>
        <v>0</v>
      </c>
      <c r="EH62" s="46">
        <f>Tabelle58971121[[#This Row],[Durchschnittsauslastung max]]*Tabelle58971121[[#This Row],[installierte Leistung MW max]]</f>
        <v>0</v>
      </c>
      <c r="EI62" s="83">
        <f>Tabelle58971121[[#This Row],[Maximalauslastung durch]]*Tabelle58971121[[#This Row],[installierte Leistung MW min]]</f>
        <v>1661.66</v>
      </c>
      <c r="EJ62" s="46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6">
        <f>Tabelle58971121[[#This Row],[Durchschnittsauslastung min]]*Tabelle58971121[[#This Row],[installierte Leistung MW min]]</f>
        <v>0</v>
      </c>
      <c r="EG63" s="46">
        <f>Tabelle58971121[[#This Row],[Durchschnittsauslastung durch]]*Tabelle58971121[[#This Row],[installierte Leistung MW durch]]</f>
        <v>0</v>
      </c>
      <c r="EH63" s="46">
        <f>Tabelle58971121[[#This Row],[Durchschnittsauslastung max]]*Tabelle58971121[[#This Row],[installierte Leistung MW max]]</f>
        <v>0</v>
      </c>
      <c r="EI63" s="83">
        <f>Tabelle58971121[[#This Row],[Maximalauslastung durch]]*Tabelle58971121[[#This Row],[installierte Leistung MW min]]</f>
        <v>1510.6</v>
      </c>
      <c r="EJ63" s="46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6">
        <f>Tabelle58971121[[#This Row],[Durchschnittsauslastung min]]*Tabelle58971121[[#This Row],[installierte Leistung MW min]]</f>
        <v>0</v>
      </c>
      <c r="EG64" s="46">
        <f>Tabelle58971121[[#This Row],[Durchschnittsauslastung durch]]*Tabelle58971121[[#This Row],[installierte Leistung MW durch]]</f>
        <v>0</v>
      </c>
      <c r="EH64" s="46">
        <f>Tabelle58971121[[#This Row],[Durchschnittsauslastung max]]*Tabelle58971121[[#This Row],[installierte Leistung MW max]]</f>
        <v>0</v>
      </c>
      <c r="EI64" s="83">
        <f>Tabelle58971121[[#This Row],[Maximalauslastung durch]]*Tabelle58971121[[#This Row],[installierte Leistung MW min]]</f>
        <v>1402.7</v>
      </c>
      <c r="EJ64" s="46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6">
        <f>Tabelle58971121[[#This Row],[Durchschnittsauslastung min]]*Tabelle58971121[[#This Row],[installierte Leistung MW min]]</f>
        <v>0</v>
      </c>
      <c r="EG65" s="46">
        <f>Tabelle58971121[[#This Row],[Durchschnittsauslastung durch]]*Tabelle58971121[[#This Row],[installierte Leistung MW durch]]</f>
        <v>0</v>
      </c>
      <c r="EH65" s="46">
        <f>Tabelle58971121[[#This Row],[Durchschnittsauslastung max]]*Tabelle58971121[[#This Row],[installierte Leistung MW max]]</f>
        <v>0</v>
      </c>
      <c r="EI65" s="83">
        <f>Tabelle58971121[[#This Row],[Maximalauslastung durch]]*Tabelle58971121[[#This Row],[installierte Leistung MW min]]</f>
        <v>1273.22</v>
      </c>
      <c r="EJ65" s="46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6">
        <f>Tabelle58971121[[#This Row],[Durchschnittsauslastung min]]*Tabelle58971121[[#This Row],[installierte Leistung MW min]]</f>
        <v>0</v>
      </c>
      <c r="EG66" s="46">
        <f>Tabelle58971121[[#This Row],[Durchschnittsauslastung durch]]*Tabelle58971121[[#This Row],[installierte Leistung MW durch]]</f>
        <v>0</v>
      </c>
      <c r="EH66" s="46">
        <f>Tabelle58971121[[#This Row],[Durchschnittsauslastung max]]*Tabelle58971121[[#This Row],[installierte Leistung MW max]]</f>
        <v>0</v>
      </c>
      <c r="EI66" s="83">
        <f>Tabelle58971121[[#This Row],[Maximalauslastung durch]]*Tabelle58971121[[#This Row],[installierte Leistung MW min]]</f>
        <v>1145.54</v>
      </c>
      <c r="EJ66" s="46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1094</v>
      </c>
      <c r="FQ66" s="1" t="s">
        <v>1094</v>
      </c>
      <c r="FR66" s="1" t="s">
        <v>1094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6">
        <f>Tabelle58971121[[#This Row],[Durchschnittsauslastung min]]*Tabelle58971121[[#This Row],[installierte Leistung MW min]]</f>
        <v>0</v>
      </c>
      <c r="EG67" s="46">
        <f>Tabelle58971121[[#This Row],[Durchschnittsauslastung durch]]*Tabelle58971121[[#This Row],[installierte Leistung MW durch]]</f>
        <v>0</v>
      </c>
      <c r="EH67" s="46">
        <f>Tabelle58971121[[#This Row],[Durchschnittsauslastung max]]*Tabelle58971121[[#This Row],[installierte Leistung MW max]]</f>
        <v>0</v>
      </c>
      <c r="EI67" s="83">
        <f>Tabelle58971121[[#This Row],[Maximalauslastung durch]]*Tabelle58971121[[#This Row],[installierte Leistung MW min]]</f>
        <v>1019.5306</v>
      </c>
      <c r="EJ67" s="46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1094</v>
      </c>
      <c r="FQ67" s="1" t="s">
        <v>1094</v>
      </c>
      <c r="FR67" s="1" t="s">
        <v>1094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6">
        <f>Tabelle58971121[[#This Row],[Durchschnittsauslastung min]]*Tabelle58971121[[#This Row],[installierte Leistung MW min]]</f>
        <v>0</v>
      </c>
      <c r="EG68" s="46">
        <f>Tabelle58971121[[#This Row],[Durchschnittsauslastung durch]]*Tabelle58971121[[#This Row],[installierte Leistung MW durch]]</f>
        <v>0</v>
      </c>
      <c r="EH68" s="46">
        <f>Tabelle58971121[[#This Row],[Durchschnittsauslastung max]]*Tabelle58971121[[#This Row],[installierte Leistung MW max]]</f>
        <v>0</v>
      </c>
      <c r="EI68" s="83">
        <f>Tabelle58971121[[#This Row],[Maximalauslastung durch]]*Tabelle58971121[[#This Row],[installierte Leistung MW min]]</f>
        <v>939.34280000000001</v>
      </c>
      <c r="EJ68" s="46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1094</v>
      </c>
      <c r="FQ68" s="1" t="s">
        <v>1094</v>
      </c>
      <c r="FR68" s="1" t="s">
        <v>1094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6">
        <f>Tabelle58971121[[#This Row],[Durchschnittsauslastung min]]*Tabelle58971121[[#This Row],[installierte Leistung MW min]]</f>
        <v>0</v>
      </c>
      <c r="EG69" s="46">
        <f>Tabelle58971121[[#This Row],[Durchschnittsauslastung durch]]*Tabelle58971121[[#This Row],[installierte Leistung MW durch]]</f>
        <v>0</v>
      </c>
      <c r="EH69" s="46">
        <f>Tabelle58971121[[#This Row],[Durchschnittsauslastung max]]*Tabelle58971121[[#This Row],[installierte Leistung MW max]]</f>
        <v>0</v>
      </c>
      <c r="EI69" s="83">
        <f>Tabelle58971121[[#This Row],[Maximalauslastung durch]]*Tabelle58971121[[#This Row],[installierte Leistung MW min]]</f>
        <v>847.69960000000003</v>
      </c>
      <c r="EJ69" s="46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1094</v>
      </c>
      <c r="FQ69" s="1" t="s">
        <v>1094</v>
      </c>
      <c r="FR69" s="1" t="s">
        <v>1094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6">
        <f>Tabelle58971121[[#This Row],[Durchschnittsauslastung min]]*Tabelle58971121[[#This Row],[installierte Leistung MW min]]</f>
        <v>0</v>
      </c>
      <c r="EG70" s="46">
        <f>Tabelle58971121[[#This Row],[Durchschnittsauslastung durch]]*Tabelle58971121[[#This Row],[installierte Leistung MW durch]]</f>
        <v>0</v>
      </c>
      <c r="EH70" s="46">
        <f>Tabelle58971121[[#This Row],[Durchschnittsauslastung max]]*Tabelle58971121[[#This Row],[installierte Leistung MW max]]</f>
        <v>0</v>
      </c>
      <c r="EI70" s="83">
        <f>Tabelle58971121[[#This Row],[Maximalauslastung durch]]*Tabelle58971121[[#This Row],[installierte Leistung MW min]]</f>
        <v>813.33339999999987</v>
      </c>
      <c r="EJ70" s="46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1094</v>
      </c>
      <c r="FQ70" s="1" t="s">
        <v>1094</v>
      </c>
      <c r="FR70" s="1" t="s">
        <v>1094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6">
        <f>Tabelle58971121[[#This Row],[Durchschnittsauslastung min]]*Tabelle58971121[[#This Row],[installierte Leistung MW min]]</f>
        <v>0</v>
      </c>
      <c r="EG71" s="46">
        <f>Tabelle58971121[[#This Row],[Durchschnittsauslastung durch]]*Tabelle58971121[[#This Row],[installierte Leistung MW durch]]</f>
        <v>0</v>
      </c>
      <c r="EH71" s="46">
        <f>Tabelle58971121[[#This Row],[Durchschnittsauslastung max]]*Tabelle58971121[[#This Row],[installierte Leistung MW max]]</f>
        <v>0</v>
      </c>
      <c r="EI71" s="83">
        <f>Tabelle58971121[[#This Row],[Maximalauslastung durch]]*Tabelle58971121[[#This Row],[installierte Leistung MW min]]</f>
        <v>767.51179999999999</v>
      </c>
      <c r="EJ71" s="46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1094</v>
      </c>
      <c r="FQ71" s="1" t="s">
        <v>1094</v>
      </c>
      <c r="FR71" s="1" t="s">
        <v>1094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6">
        <f>Tabelle58971121[[#This Row],[Durchschnittsauslastung min]]*Tabelle58971121[[#This Row],[installierte Leistung MW min]]</f>
        <v>0</v>
      </c>
      <c r="EG72" s="46">
        <f>Tabelle58971121[[#This Row],[Durchschnittsauslastung durch]]*Tabelle58971121[[#This Row],[installierte Leistung MW durch]]</f>
        <v>0</v>
      </c>
      <c r="EH72" s="46">
        <f>Tabelle58971121[[#This Row],[Durchschnittsauslastung max]]*Tabelle58971121[[#This Row],[installierte Leistung MW max]]</f>
        <v>0</v>
      </c>
      <c r="EI72" s="83">
        <f>Tabelle58971121[[#This Row],[Maximalauslastung durch]]*Tabelle58971121[[#This Row],[installierte Leistung MW min]]</f>
        <v>733.14560000000006</v>
      </c>
      <c r="EJ72" s="46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1094</v>
      </c>
      <c r="FQ72" s="1" t="s">
        <v>1094</v>
      </c>
      <c r="FR72" s="1" t="s">
        <v>1094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6">
        <f>Tabelle58971121[[#This Row],[Durchschnittsauslastung min]]*Tabelle58971121[[#This Row],[installierte Leistung MW min]]</f>
        <v>0</v>
      </c>
      <c r="EG73" s="46">
        <f>Tabelle58971121[[#This Row],[Durchschnittsauslastung durch]]*Tabelle58971121[[#This Row],[installierte Leistung MW durch]]</f>
        <v>0</v>
      </c>
      <c r="EH73" s="46">
        <f>Tabelle58971121[[#This Row],[Durchschnittsauslastung max]]*Tabelle58971121[[#This Row],[installierte Leistung MW max]]</f>
        <v>0</v>
      </c>
      <c r="EI73" s="83">
        <f>Tabelle58971121[[#This Row],[Maximalauslastung durch]]*Tabelle58971121[[#This Row],[installierte Leistung MW min]]</f>
        <v>675.8685999999999</v>
      </c>
      <c r="EJ73" s="46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1094</v>
      </c>
      <c r="FQ73" s="1" t="s">
        <v>1094</v>
      </c>
      <c r="FR73" s="1" t="s">
        <v>1094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6">
        <f>Tabelle58971121[[#This Row],[Durchschnittsauslastung min]]*Tabelle58971121[[#This Row],[installierte Leistung MW min]]</f>
        <v>0</v>
      </c>
      <c r="EG74" s="46">
        <f>Tabelle58971121[[#This Row],[Durchschnittsauslastung durch]]*Tabelle58971121[[#This Row],[installierte Leistung MW durch]]</f>
        <v>0</v>
      </c>
      <c r="EH74" s="46">
        <f>Tabelle58971121[[#This Row],[Durchschnittsauslastung max]]*Tabelle58971121[[#This Row],[installierte Leistung MW max]]</f>
        <v>0</v>
      </c>
      <c r="EI74" s="83">
        <f>Tabelle58971121[[#This Row],[Maximalauslastung durch]]*Tabelle58971121[[#This Row],[installierte Leistung MW min]]</f>
        <v>2181.3000000000002</v>
      </c>
      <c r="EJ74" s="46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6">
        <f>Tabelle58971121[[#This Row],[Durchschnittsauslastung min]]*Tabelle58971121[[#This Row],[installierte Leistung MW min]]</f>
        <v>0</v>
      </c>
      <c r="EG75" s="46">
        <f>Tabelle58971121[[#This Row],[Durchschnittsauslastung durch]]*Tabelle58971121[[#This Row],[installierte Leistung MW durch]]</f>
        <v>0</v>
      </c>
      <c r="EH75" s="46">
        <f>Tabelle58971121[[#This Row],[Durchschnittsauslastung max]]*Tabelle58971121[[#This Row],[installierte Leistung MW max]]</f>
        <v>0</v>
      </c>
      <c r="EI75" s="83">
        <f>Tabelle58971121[[#This Row],[Maximalauslastung durch]]*Tabelle58971121[[#This Row],[installierte Leistung MW min]]</f>
        <v>3141.0720000000001</v>
      </c>
      <c r="EJ75" s="46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6">
        <f>Tabelle58971121[[#This Row],[Durchschnittsauslastung min]]*Tabelle58971121[[#This Row],[installierte Leistung MW min]]</f>
        <v>0</v>
      </c>
      <c r="EG76" s="46">
        <f>Tabelle58971121[[#This Row],[Durchschnittsauslastung durch]]*Tabelle58971121[[#This Row],[installierte Leistung MW durch]]</f>
        <v>0</v>
      </c>
      <c r="EH76" s="46">
        <f>Tabelle58971121[[#This Row],[Durchschnittsauslastung max]]*Tabelle58971121[[#This Row],[installierte Leistung MW max]]</f>
        <v>0</v>
      </c>
      <c r="EI76" s="83">
        <f>Tabelle58971121[[#This Row],[Maximalauslastung durch]]*Tabelle58971121[[#This Row],[installierte Leistung MW min]]</f>
        <v>4667.982</v>
      </c>
      <c r="EJ76" s="46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6">
        <f>Tabelle58971121[[#This Row],[Durchschnittsauslastung min]]*Tabelle58971121[[#This Row],[installierte Leistung MW min]]</f>
        <v>0</v>
      </c>
      <c r="EG77" s="46">
        <f>Tabelle58971121[[#This Row],[Durchschnittsauslastung durch]]*Tabelle58971121[[#This Row],[installierte Leistung MW durch]]</f>
        <v>0</v>
      </c>
      <c r="EH77" s="46">
        <f>Tabelle58971121[[#This Row],[Durchschnittsauslastung max]]*Tabelle58971121[[#This Row],[installierte Leistung MW max]]</f>
        <v>0</v>
      </c>
      <c r="EI77" s="83">
        <f>Tabelle58971121[[#This Row],[Maximalauslastung durch]]*Tabelle58971121[[#This Row],[installierte Leistung MW min]]</f>
        <v>7154.6639999999998</v>
      </c>
      <c r="EJ77" s="46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6">
        <f>Tabelle58971121[[#This Row],[Durchschnittsauslastung min]]*Tabelle58971121[[#This Row],[installierte Leistung MW min]]</f>
        <v>0</v>
      </c>
      <c r="EG78" s="46">
        <f>Tabelle58971121[[#This Row],[Durchschnittsauslastung durch]]*Tabelle58971121[[#This Row],[installierte Leistung MW durch]]</f>
        <v>0</v>
      </c>
      <c r="EH78" s="46">
        <f>Tabelle58971121[[#This Row],[Durchschnittsauslastung max]]*Tabelle58971121[[#This Row],[installierte Leistung MW max]]</f>
        <v>0</v>
      </c>
      <c r="EI78" s="83">
        <f>Tabelle58971121[[#This Row],[Maximalauslastung durch]]*Tabelle58971121[[#This Row],[installierte Leistung MW min]]</f>
        <v>8441.6310000000012</v>
      </c>
      <c r="EJ78" s="46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6">
        <f>Tabelle58971121[[#This Row],[Durchschnittsauslastung min]]*Tabelle58971121[[#This Row],[installierte Leistung MW min]]</f>
        <v>0</v>
      </c>
      <c r="EG79" s="46">
        <f>Tabelle58971121[[#This Row],[Durchschnittsauslastung durch]]*Tabelle58971121[[#This Row],[installierte Leistung MW durch]]</f>
        <v>0</v>
      </c>
      <c r="EH79" s="46">
        <f>Tabelle58971121[[#This Row],[Durchschnittsauslastung max]]*Tabelle58971121[[#This Row],[installierte Leistung MW max]]</f>
        <v>0</v>
      </c>
      <c r="EI79" s="83">
        <f>Tabelle58971121[[#This Row],[Maximalauslastung durch]]*Tabelle58971121[[#This Row],[installierte Leistung MW min]]</f>
        <v>9946.7279999999992</v>
      </c>
      <c r="EJ79" s="46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6">
        <f>Tabelle58971121[[#This Row],[Durchschnittsauslastung min]]*Tabelle58971121[[#This Row],[installierte Leistung MW min]]</f>
        <v>0</v>
      </c>
      <c r="EG80" s="46">
        <f>Tabelle58971121[[#This Row],[Durchschnittsauslastung durch]]*Tabelle58971121[[#This Row],[installierte Leistung MW durch]]</f>
        <v>0</v>
      </c>
      <c r="EH80" s="46">
        <f>Tabelle58971121[[#This Row],[Durchschnittsauslastung max]]*Tabelle58971121[[#This Row],[installierte Leistung MW max]]</f>
        <v>0</v>
      </c>
      <c r="EI80" s="83">
        <f>Tabelle58971121[[#This Row],[Maximalauslastung durch]]*Tabelle58971121[[#This Row],[installierte Leistung MW min]]</f>
        <v>11757.207</v>
      </c>
      <c r="EJ80" s="46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6">
        <f>Tabelle58971121[[#This Row],[Durchschnittsauslastung min]]*Tabelle58971121[[#This Row],[installierte Leistung MW min]]</f>
        <v>0</v>
      </c>
      <c r="EG81" s="46">
        <f>Tabelle58971121[[#This Row],[Durchschnittsauslastung durch]]*Tabelle58971121[[#This Row],[installierte Leistung MW durch]]</f>
        <v>0</v>
      </c>
      <c r="EH81" s="46">
        <f>Tabelle58971121[[#This Row],[Durchschnittsauslastung max]]*Tabelle58971121[[#This Row],[installierte Leistung MW max]]</f>
        <v>0</v>
      </c>
      <c r="EI81" s="83">
        <f>Tabelle58971121[[#This Row],[Maximalauslastung durch]]*Tabelle58971121[[#This Row],[installierte Leistung MW min]]</f>
        <v>13284.117000000002</v>
      </c>
      <c r="EJ81" s="46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6">
        <f>Tabelle58971121[[#This Row],[Durchschnittsauslastung min]]*Tabelle58971121[[#This Row],[installierte Leistung MW min]]</f>
        <v>0</v>
      </c>
      <c r="EG82" s="46">
        <f>Tabelle58971121[[#This Row],[Durchschnittsauslastung durch]]*Tabelle58971121[[#This Row],[installierte Leistung MW durch]]</f>
        <v>0</v>
      </c>
      <c r="EH82" s="46">
        <f>Tabelle58971121[[#This Row],[Durchschnittsauslastung max]]*Tabelle58971121[[#This Row],[installierte Leistung MW max]]</f>
        <v>0</v>
      </c>
      <c r="EI82" s="83">
        <f>Tabelle58971121[[#This Row],[Maximalauslastung durch]]*Tabelle58971121[[#This Row],[installierte Leistung MW min]]</f>
        <v>3641</v>
      </c>
      <c r="EJ82" s="46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6">
        <f>Tabelle58971121[[#This Row],[Durchschnittsauslastung min]]*Tabelle58971121[[#This Row],[installierte Leistung MW min]]</f>
        <v>0</v>
      </c>
      <c r="EG83" s="46">
        <f>Tabelle58971121[[#This Row],[Durchschnittsauslastung durch]]*Tabelle58971121[[#This Row],[installierte Leistung MW durch]]</f>
        <v>0</v>
      </c>
      <c r="EH83" s="46">
        <f>Tabelle58971121[[#This Row],[Durchschnittsauslastung max]]*Tabelle58971121[[#This Row],[installierte Leistung MW max]]</f>
        <v>0</v>
      </c>
      <c r="EI83" s="83">
        <f>Tabelle58971121[[#This Row],[Maximalauslastung durch]]*Tabelle58971121[[#This Row],[installierte Leistung MW min]]</f>
        <v>2985.62</v>
      </c>
      <c r="EJ83" s="46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6">
        <f>Tabelle58971121[[#This Row],[Durchschnittsauslastung min]]*Tabelle58971121[[#This Row],[installierte Leistung MW min]]</f>
        <v>0</v>
      </c>
      <c r="EG84" s="46">
        <f>Tabelle58971121[[#This Row],[Durchschnittsauslastung durch]]*Tabelle58971121[[#This Row],[installierte Leistung MW durch]]</f>
        <v>0</v>
      </c>
      <c r="EH84" s="46">
        <f>Tabelle58971121[[#This Row],[Durchschnittsauslastung max]]*Tabelle58971121[[#This Row],[installierte Leistung MW max]]</f>
        <v>0</v>
      </c>
      <c r="EI84" s="83">
        <f>Tabelle58971121[[#This Row],[Maximalauslastung durch]]*Tabelle58971121[[#This Row],[installierte Leistung MW min]]</f>
        <v>2585.11</v>
      </c>
      <c r="EJ84" s="46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6">
        <f>Tabelle58971121[[#This Row],[Durchschnittsauslastung min]]*Tabelle58971121[[#This Row],[installierte Leistung MW min]]</f>
        <v>0</v>
      </c>
      <c r="EG85" s="46">
        <f>Tabelle58971121[[#This Row],[Durchschnittsauslastung durch]]*Tabelle58971121[[#This Row],[installierte Leistung MW durch]]</f>
        <v>0</v>
      </c>
      <c r="EH85" s="46">
        <f>Tabelle58971121[[#This Row],[Durchschnittsauslastung max]]*Tabelle58971121[[#This Row],[installierte Leistung MW max]]</f>
        <v>0</v>
      </c>
      <c r="EI85" s="83">
        <f>Tabelle58971121[[#This Row],[Maximalauslastung durch]]*Tabelle58971121[[#This Row],[installierte Leistung MW min]]</f>
        <v>2221.0100000000002</v>
      </c>
      <c r="EJ85" s="46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6">
        <f>Tabelle58971121[[#This Row],[Durchschnittsauslastung min]]*Tabelle58971121[[#This Row],[installierte Leistung MW min]]</f>
        <v>0</v>
      </c>
      <c r="EG86" s="46">
        <f>Tabelle58971121[[#This Row],[Durchschnittsauslastung durch]]*Tabelle58971121[[#This Row],[installierte Leistung MW durch]]</f>
        <v>0</v>
      </c>
      <c r="EH86" s="46">
        <f>Tabelle58971121[[#This Row],[Durchschnittsauslastung max]]*Tabelle58971121[[#This Row],[installierte Leistung MW max]]</f>
        <v>0</v>
      </c>
      <c r="EI86" s="83">
        <f>Tabelle58971121[[#This Row],[Maximalauslastung durch]]*Tabelle58971121[[#This Row],[installierte Leistung MW min]]</f>
        <v>2111.7800000000002</v>
      </c>
      <c r="EJ86" s="46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6">
        <f>Tabelle58971121[[#This Row],[Durchschnittsauslastung min]]*Tabelle58971121[[#This Row],[installierte Leistung MW min]]</f>
        <v>0</v>
      </c>
      <c r="EG87" s="46">
        <f>Tabelle58971121[[#This Row],[Durchschnittsauslastung durch]]*Tabelle58971121[[#This Row],[installierte Leistung MW durch]]</f>
        <v>0</v>
      </c>
      <c r="EH87" s="46">
        <f>Tabelle58971121[[#This Row],[Durchschnittsauslastung max]]*Tabelle58971121[[#This Row],[installierte Leistung MW max]]</f>
        <v>0</v>
      </c>
      <c r="EI87" s="83">
        <f>Tabelle58971121[[#This Row],[Maximalauslastung durch]]*Tabelle58971121[[#This Row],[installierte Leistung MW min]]</f>
        <v>2002.55</v>
      </c>
      <c r="EJ87" s="46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6">
        <f>Tabelle58971121[[#This Row],[Durchschnittsauslastung min]]*Tabelle58971121[[#This Row],[installierte Leistung MW min]]</f>
        <v>0</v>
      </c>
      <c r="EG88" s="46">
        <f>Tabelle58971121[[#This Row],[Durchschnittsauslastung durch]]*Tabelle58971121[[#This Row],[installierte Leistung MW durch]]</f>
        <v>0</v>
      </c>
      <c r="EH88" s="46">
        <f>Tabelle58971121[[#This Row],[Durchschnittsauslastung max]]*Tabelle58971121[[#This Row],[installierte Leistung MW max]]</f>
        <v>0</v>
      </c>
      <c r="EI88" s="83">
        <f>Tabelle58971121[[#This Row],[Maximalauslastung durch]]*Tabelle58971121[[#This Row],[installierte Leistung MW min]]</f>
        <v>1929.73</v>
      </c>
      <c r="EJ88" s="46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6">
        <f>Tabelle58971121[[#This Row],[Durchschnittsauslastung min]]*Tabelle58971121[[#This Row],[installierte Leistung MW min]]</f>
        <v>0</v>
      </c>
      <c r="EG89" s="46">
        <f>Tabelle58971121[[#This Row],[Durchschnittsauslastung durch]]*Tabelle58971121[[#This Row],[installierte Leistung MW durch]]</f>
        <v>0</v>
      </c>
      <c r="EH89" s="46">
        <f>Tabelle58971121[[#This Row],[Durchschnittsauslastung max]]*Tabelle58971121[[#This Row],[installierte Leistung MW max]]</f>
        <v>0</v>
      </c>
      <c r="EI89" s="83">
        <f>Tabelle58971121[[#This Row],[Maximalauslastung durch]]*Tabelle58971121[[#This Row],[installierte Leistung MW min]]</f>
        <v>1856.91</v>
      </c>
      <c r="EJ89" s="46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6">
        <f>Tabelle58971121[[#This Row],[Durchschnittsauslastung min]]*Tabelle58971121[[#This Row],[installierte Leistung MW min]]</f>
        <v>0</v>
      </c>
      <c r="EG90" s="46">
        <f>Tabelle58971121[[#This Row],[Durchschnittsauslastung durch]]*Tabelle58971121[[#This Row],[installierte Leistung MW durch]]</f>
        <v>0</v>
      </c>
      <c r="EH90" s="46">
        <f>Tabelle58971121[[#This Row],[Durchschnittsauslastung max]]*Tabelle58971121[[#This Row],[installierte Leistung MW max]]</f>
        <v>0</v>
      </c>
      <c r="EI90" s="83">
        <f>Tabelle58971121[[#This Row],[Maximalauslastung durch]]*Tabelle58971121[[#This Row],[installierte Leistung MW min]]</f>
        <v>951.75</v>
      </c>
      <c r="EJ90" s="46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5"/>
      <c r="EZ90" s="65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1094</v>
      </c>
      <c r="FW90" s="1" t="s">
        <v>1094</v>
      </c>
      <c r="FX90" s="1" t="s">
        <v>1094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6">
        <f>Tabelle58971121[[#This Row],[Durchschnittsauslastung min]]*Tabelle58971121[[#This Row],[installierte Leistung MW min]]</f>
        <v>0</v>
      </c>
      <c r="EG91" s="46">
        <f>Tabelle58971121[[#This Row],[Durchschnittsauslastung durch]]*Tabelle58971121[[#This Row],[installierte Leistung MW durch]]</f>
        <v>0</v>
      </c>
      <c r="EH91" s="46">
        <f>Tabelle58971121[[#This Row],[Durchschnittsauslastung max]]*Tabelle58971121[[#This Row],[installierte Leistung MW max]]</f>
        <v>0</v>
      </c>
      <c r="EI91" s="83">
        <f>Tabelle58971121[[#This Row],[Maximalauslastung durch]]*Tabelle58971121[[#This Row],[installierte Leistung MW min]]</f>
        <v>808.98749999999995</v>
      </c>
      <c r="EJ91" s="46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5"/>
      <c r="EZ91" s="65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1094</v>
      </c>
      <c r="FW91" s="1" t="s">
        <v>1094</v>
      </c>
      <c r="FX91" s="1" t="s">
        <v>1094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6">
        <f>Tabelle58971121[[#This Row],[Durchschnittsauslastung min]]*Tabelle58971121[[#This Row],[installierte Leistung MW min]]</f>
        <v>0</v>
      </c>
      <c r="EG92" s="46">
        <f>Tabelle58971121[[#This Row],[Durchschnittsauslastung durch]]*Tabelle58971121[[#This Row],[installierte Leistung MW durch]]</f>
        <v>0</v>
      </c>
      <c r="EH92" s="46">
        <f>Tabelle58971121[[#This Row],[Durchschnittsauslastung max]]*Tabelle58971121[[#This Row],[installierte Leistung MW max]]</f>
        <v>0</v>
      </c>
      <c r="EI92" s="83">
        <f>Tabelle58971121[[#This Row],[Maximalauslastung durch]]*Tabelle58971121[[#This Row],[installierte Leistung MW min]]</f>
        <v>694.77749999999992</v>
      </c>
      <c r="EJ92" s="46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5"/>
      <c r="EZ92" s="65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1094</v>
      </c>
      <c r="FW92" s="1" t="s">
        <v>1094</v>
      </c>
      <c r="FX92" s="1" t="s">
        <v>1094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6">
        <f>Tabelle58971121[[#This Row],[Durchschnittsauslastung min]]*Tabelle58971121[[#This Row],[installierte Leistung MW min]]</f>
        <v>0</v>
      </c>
      <c r="EG93" s="46">
        <f>Tabelle58971121[[#This Row],[Durchschnittsauslastung durch]]*Tabelle58971121[[#This Row],[installierte Leistung MW durch]]</f>
        <v>0</v>
      </c>
      <c r="EH93" s="46">
        <f>Tabelle58971121[[#This Row],[Durchschnittsauslastung max]]*Tabelle58971121[[#This Row],[installierte Leistung MW max]]</f>
        <v>0</v>
      </c>
      <c r="EI93" s="83">
        <f>Tabelle58971121[[#This Row],[Maximalauslastung durch]]*Tabelle58971121[[#This Row],[installierte Leistung MW min]]</f>
        <v>590.08499999999992</v>
      </c>
      <c r="EJ93" s="46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5"/>
      <c r="EZ93" s="65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1094</v>
      </c>
      <c r="FW93" s="1" t="s">
        <v>1094</v>
      </c>
      <c r="FX93" s="1" t="s">
        <v>1094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6">
        <f>Tabelle58971121[[#This Row],[Durchschnittsauslastung min]]*Tabelle58971121[[#This Row],[installierte Leistung MW min]]</f>
        <v>0</v>
      </c>
      <c r="EG94" s="46">
        <f>Tabelle58971121[[#This Row],[Durchschnittsauslastung durch]]*Tabelle58971121[[#This Row],[installierte Leistung MW durch]]</f>
        <v>0</v>
      </c>
      <c r="EH94" s="46">
        <f>Tabelle58971121[[#This Row],[Durchschnittsauslastung max]]*Tabelle58971121[[#This Row],[installierte Leistung MW max]]</f>
        <v>0</v>
      </c>
      <c r="EI94" s="83">
        <f>Tabelle58971121[[#This Row],[Maximalauslastung durch]]*Tabelle58971121[[#This Row],[installierte Leistung MW min]]</f>
        <v>590.08499999999992</v>
      </c>
      <c r="EJ94" s="46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5"/>
      <c r="EZ94" s="65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1094</v>
      </c>
      <c r="FW94" s="1" t="s">
        <v>1094</v>
      </c>
      <c r="FX94" s="1" t="s">
        <v>1094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6">
        <f>Tabelle58971121[[#This Row],[Durchschnittsauslastung min]]*Tabelle58971121[[#This Row],[installierte Leistung MW min]]</f>
        <v>0</v>
      </c>
      <c r="EG95" s="46">
        <f>Tabelle58971121[[#This Row],[Durchschnittsauslastung durch]]*Tabelle58971121[[#This Row],[installierte Leistung MW durch]]</f>
        <v>0</v>
      </c>
      <c r="EH95" s="46">
        <f>Tabelle58971121[[#This Row],[Durchschnittsauslastung max]]*Tabelle58971121[[#This Row],[installierte Leistung MW max]]</f>
        <v>0</v>
      </c>
      <c r="EI95" s="83">
        <f>Tabelle58971121[[#This Row],[Maximalauslastung durch]]*Tabelle58971121[[#This Row],[installierte Leistung MW min]]</f>
        <v>590.08499999999992</v>
      </c>
      <c r="EJ95" s="46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5"/>
      <c r="EZ95" s="65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1094</v>
      </c>
      <c r="FW95" s="1" t="s">
        <v>1094</v>
      </c>
      <c r="FX95" s="1" t="s">
        <v>1094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6">
        <f>Tabelle58971121[[#This Row],[Durchschnittsauslastung min]]*Tabelle58971121[[#This Row],[installierte Leistung MW min]]</f>
        <v>0</v>
      </c>
      <c r="EG96" s="46">
        <f>Tabelle58971121[[#This Row],[Durchschnittsauslastung durch]]*Tabelle58971121[[#This Row],[installierte Leistung MW durch]]</f>
        <v>0</v>
      </c>
      <c r="EH96" s="46">
        <f>Tabelle58971121[[#This Row],[Durchschnittsauslastung max]]*Tabelle58971121[[#This Row],[installierte Leistung MW max]]</f>
        <v>0</v>
      </c>
      <c r="EI96" s="83">
        <f>Tabelle58971121[[#This Row],[Maximalauslastung durch]]*Tabelle58971121[[#This Row],[installierte Leistung MW min]]</f>
        <v>599.60249999999996</v>
      </c>
      <c r="EJ96" s="46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5"/>
      <c r="EZ96" s="65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1094</v>
      </c>
      <c r="FW96" s="1" t="s">
        <v>1094</v>
      </c>
      <c r="FX96" s="1" t="s">
        <v>1094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6">
        <f>Tabelle58971121[[#This Row],[Durchschnittsauslastung min]]*Tabelle58971121[[#This Row],[installierte Leistung MW min]]</f>
        <v>0</v>
      </c>
      <c r="EG97" s="46">
        <f>Tabelle58971121[[#This Row],[Durchschnittsauslastung durch]]*Tabelle58971121[[#This Row],[installierte Leistung MW durch]]</f>
        <v>0</v>
      </c>
      <c r="EH97" s="46">
        <f>Tabelle58971121[[#This Row],[Durchschnittsauslastung max]]*Tabelle58971121[[#This Row],[installierte Leistung MW max]]</f>
        <v>0</v>
      </c>
      <c r="EI97" s="83">
        <f>Tabelle58971121[[#This Row],[Maximalauslastung durch]]*Tabelle58971121[[#This Row],[installierte Leistung MW min]]</f>
        <v>599.60249999999996</v>
      </c>
      <c r="EJ97" s="46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5"/>
      <c r="EZ97" s="65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1094</v>
      </c>
      <c r="FW97" s="1" t="s">
        <v>1094</v>
      </c>
      <c r="FX97" s="1" t="s">
        <v>1094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2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6">
        <f>Tabelle58971121[[#This Row],[Durchschnittsauslastung min]]*Tabelle58971121[[#This Row],[installierte Leistung MW min]]</f>
        <v>0</v>
      </c>
      <c r="EG98" s="46">
        <f>Tabelle58971121[[#This Row],[Durchschnittsauslastung durch]]*Tabelle58971121[[#This Row],[installierte Leistung MW durch]]</f>
        <v>0</v>
      </c>
      <c r="EH98" s="46">
        <f>Tabelle58971121[[#This Row],[Durchschnittsauslastung max]]*Tabelle58971121[[#This Row],[installierte Leistung MW max]]</f>
        <v>0</v>
      </c>
      <c r="EI98" s="83">
        <f>Tabelle58971121[[#This Row],[Maximalauslastung durch]]*Tabelle58971121[[#This Row],[installierte Leistung MW min]]</f>
        <v>3593.9700000000003</v>
      </c>
      <c r="EJ98" s="46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6">
        <f>Tabelle58971121[[#This Row],[Durchschnittsauslastung min]]*Tabelle58971121[[#This Row],[installierte Leistung MW min]]</f>
        <v>0</v>
      </c>
      <c r="EG99" s="46">
        <f>Tabelle58971121[[#This Row],[Durchschnittsauslastung durch]]*Tabelle58971121[[#This Row],[installierte Leistung MW durch]]</f>
        <v>0</v>
      </c>
      <c r="EH99" s="46">
        <f>Tabelle58971121[[#This Row],[Durchschnittsauslastung max]]*Tabelle58971121[[#This Row],[installierte Leistung MW max]]</f>
        <v>0</v>
      </c>
      <c r="EI99" s="83">
        <f>Tabelle58971121[[#This Row],[Maximalauslastung durch]]*Tabelle58971121[[#This Row],[installierte Leistung MW min]]</f>
        <v>3629.9097000000002</v>
      </c>
      <c r="EJ99" s="46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6">
        <f>Tabelle58971121[[#This Row],[Durchschnittsauslastung min]]*Tabelle58971121[[#This Row],[installierte Leistung MW min]]</f>
        <v>0</v>
      </c>
      <c r="EG100" s="46">
        <f>Tabelle58971121[[#This Row],[Durchschnittsauslastung durch]]*Tabelle58971121[[#This Row],[installierte Leistung MW durch]]</f>
        <v>0</v>
      </c>
      <c r="EH100" s="46">
        <f>Tabelle58971121[[#This Row],[Durchschnittsauslastung max]]*Tabelle58971121[[#This Row],[installierte Leistung MW max]]</f>
        <v>0</v>
      </c>
      <c r="EI100" s="83">
        <f>Tabelle58971121[[#This Row],[Maximalauslastung durch]]*Tabelle58971121[[#This Row],[installierte Leistung MW min]]</f>
        <v>3701.7891000000004</v>
      </c>
      <c r="EJ100" s="46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6">
        <f>Tabelle58971121[[#This Row],[Durchschnittsauslastung min]]*Tabelle58971121[[#This Row],[installierte Leistung MW min]]</f>
        <v>0</v>
      </c>
      <c r="EG101" s="46">
        <f>Tabelle58971121[[#This Row],[Durchschnittsauslastung durch]]*Tabelle58971121[[#This Row],[installierte Leistung MW durch]]</f>
        <v>0</v>
      </c>
      <c r="EH101" s="46">
        <f>Tabelle58971121[[#This Row],[Durchschnittsauslastung max]]*Tabelle58971121[[#This Row],[installierte Leistung MW max]]</f>
        <v>0</v>
      </c>
      <c r="EI101" s="83">
        <f>Tabelle58971121[[#This Row],[Maximalauslastung durch]]*Tabelle58971121[[#This Row],[installierte Leistung MW min]]</f>
        <v>3737.7288000000003</v>
      </c>
      <c r="EJ101" s="46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6">
        <f>Tabelle58971121[[#This Row],[Durchschnittsauslastung min]]*Tabelle58971121[[#This Row],[installierte Leistung MW min]]</f>
        <v>0</v>
      </c>
      <c r="EG102" s="46">
        <f>Tabelle58971121[[#This Row],[Durchschnittsauslastung durch]]*Tabelle58971121[[#This Row],[installierte Leistung MW durch]]</f>
        <v>0</v>
      </c>
      <c r="EH102" s="46">
        <f>Tabelle58971121[[#This Row],[Durchschnittsauslastung max]]*Tabelle58971121[[#This Row],[installierte Leistung MW max]]</f>
        <v>0</v>
      </c>
      <c r="EI102" s="83">
        <f>Tabelle58971121[[#This Row],[Maximalauslastung durch]]*Tabelle58971121[[#This Row],[installierte Leistung MW min]]</f>
        <v>3234.5730000000003</v>
      </c>
      <c r="EJ102" s="46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6">
        <f>Tabelle58971121[[#This Row],[Durchschnittsauslastung min]]*Tabelle58971121[[#This Row],[installierte Leistung MW min]]</f>
        <v>0</v>
      </c>
      <c r="EG103" s="46">
        <f>Tabelle58971121[[#This Row],[Durchschnittsauslastung durch]]*Tabelle58971121[[#This Row],[installierte Leistung MW durch]]</f>
        <v>0</v>
      </c>
      <c r="EH103" s="46">
        <f>Tabelle58971121[[#This Row],[Durchschnittsauslastung max]]*Tabelle58971121[[#This Row],[installierte Leistung MW max]]</f>
        <v>0</v>
      </c>
      <c r="EI103" s="83">
        <f>Tabelle58971121[[#This Row],[Maximalauslastung durch]]*Tabelle58971121[[#This Row],[installierte Leistung MW min]]</f>
        <v>2767.3569000000002</v>
      </c>
      <c r="EJ103" s="46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6">
        <f>Tabelle58971121[[#This Row],[Durchschnittsauslastung min]]*Tabelle58971121[[#This Row],[installierte Leistung MW min]]</f>
        <v>0</v>
      </c>
      <c r="EG104" s="46">
        <f>Tabelle58971121[[#This Row],[Durchschnittsauslastung durch]]*Tabelle58971121[[#This Row],[installierte Leistung MW durch]]</f>
        <v>0</v>
      </c>
      <c r="EH104" s="46">
        <f>Tabelle58971121[[#This Row],[Durchschnittsauslastung max]]*Tabelle58971121[[#This Row],[installierte Leistung MW max]]</f>
        <v>0</v>
      </c>
      <c r="EI104" s="83">
        <f>Tabelle58971121[[#This Row],[Maximalauslastung durch]]*Tabelle58971121[[#This Row],[installierte Leistung MW min]]</f>
        <v>2407.9599000000003</v>
      </c>
      <c r="EJ104" s="46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6">
        <f>Tabelle58971121[[#This Row],[Durchschnittsauslastung min]]*Tabelle58971121[[#This Row],[installierte Leistung MW min]]</f>
        <v>0</v>
      </c>
      <c r="EG105" s="46">
        <f>Tabelle58971121[[#This Row],[Durchschnittsauslastung durch]]*Tabelle58971121[[#This Row],[installierte Leistung MW durch]]</f>
        <v>0</v>
      </c>
      <c r="EH105" s="46">
        <f>Tabelle58971121[[#This Row],[Durchschnittsauslastung max]]*Tabelle58971121[[#This Row],[installierte Leistung MW max]]</f>
        <v>0</v>
      </c>
      <c r="EI105" s="83">
        <f>Tabelle58971121[[#This Row],[Maximalauslastung durch]]*Tabelle58971121[[#This Row],[installierte Leistung MW min]]</f>
        <v>2084.5026000000003</v>
      </c>
      <c r="EJ105" s="46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6">
        <f>Tabelle58971121[[#This Row],[Durchschnittsauslastung min]]*Tabelle58971121[[#This Row],[installierte Leistung MW min]]</f>
        <v>0</v>
      </c>
      <c r="EG106" s="46">
        <f>Tabelle58971121[[#This Row],[Durchschnittsauslastung durch]]*Tabelle58971121[[#This Row],[installierte Leistung MW durch]]</f>
        <v>0</v>
      </c>
      <c r="EH106" s="46">
        <f>Tabelle58971121[[#This Row],[Durchschnittsauslastung max]]*Tabelle58971121[[#This Row],[installierte Leistung MW max]]</f>
        <v>0</v>
      </c>
      <c r="EI106" s="83">
        <f>Tabelle58971121[[#This Row],[Maximalauslastung durch]]*Tabelle58971121[[#This Row],[installierte Leistung MW min]]</f>
        <v>924.16800000000001</v>
      </c>
      <c r="EJ106" s="46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1094</v>
      </c>
      <c r="FQ106" s="1" t="s">
        <v>1094</v>
      </c>
      <c r="FR106" s="1" t="s">
        <v>1094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6">
        <f>Tabelle58971121[[#This Row],[Durchschnittsauslastung min]]*Tabelle58971121[[#This Row],[installierte Leistung MW min]]</f>
        <v>0</v>
      </c>
      <c r="EG107" s="46">
        <f>Tabelle58971121[[#This Row],[Durchschnittsauslastung durch]]*Tabelle58971121[[#This Row],[installierte Leistung MW durch]]</f>
        <v>0</v>
      </c>
      <c r="EH107" s="46">
        <f>Tabelle58971121[[#This Row],[Durchschnittsauslastung max]]*Tabelle58971121[[#This Row],[installierte Leistung MW max]]</f>
        <v>0</v>
      </c>
      <c r="EI107" s="83">
        <f>Tabelle58971121[[#This Row],[Maximalauslastung durch]]*Tabelle58971121[[#This Row],[installierte Leistung MW min]]</f>
        <v>804.02616</v>
      </c>
      <c r="EJ107" s="46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1094</v>
      </c>
      <c r="FQ107" s="1" t="s">
        <v>1094</v>
      </c>
      <c r="FR107" s="1" t="s">
        <v>1094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6">
        <f>Tabelle58971121[[#This Row],[Durchschnittsauslastung min]]*Tabelle58971121[[#This Row],[installierte Leistung MW min]]</f>
        <v>0</v>
      </c>
      <c r="EG108" s="46">
        <f>Tabelle58971121[[#This Row],[Durchschnittsauslastung durch]]*Tabelle58971121[[#This Row],[installierte Leistung MW durch]]</f>
        <v>0</v>
      </c>
      <c r="EH108" s="46">
        <f>Tabelle58971121[[#This Row],[Durchschnittsauslastung max]]*Tabelle58971121[[#This Row],[installierte Leistung MW max]]</f>
        <v>0</v>
      </c>
      <c r="EI108" s="83">
        <f>Tabelle58971121[[#This Row],[Maximalauslastung durch]]*Tabelle58971121[[#This Row],[installierte Leistung MW min]]</f>
        <v>693.12599999999998</v>
      </c>
      <c r="EJ108" s="46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1094</v>
      </c>
      <c r="FQ108" s="1" t="s">
        <v>1094</v>
      </c>
      <c r="FR108" s="1" t="s">
        <v>1094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6">
        <f>Tabelle58971121[[#This Row],[Durchschnittsauslastung min]]*Tabelle58971121[[#This Row],[installierte Leistung MW min]]</f>
        <v>0</v>
      </c>
      <c r="EG109" s="46">
        <f>Tabelle58971121[[#This Row],[Durchschnittsauslastung durch]]*Tabelle58971121[[#This Row],[installierte Leistung MW durch]]</f>
        <v>0</v>
      </c>
      <c r="EH109" s="46">
        <f>Tabelle58971121[[#This Row],[Durchschnittsauslastung max]]*Tabelle58971121[[#This Row],[installierte Leistung MW max]]</f>
        <v>0</v>
      </c>
      <c r="EI109" s="83">
        <f>Tabelle58971121[[#This Row],[Maximalauslastung durch]]*Tabelle58971121[[#This Row],[installierte Leistung MW min]]</f>
        <v>600.70920000000001</v>
      </c>
      <c r="EJ109" s="46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1094</v>
      </c>
      <c r="FQ109" s="1" t="s">
        <v>1094</v>
      </c>
      <c r="FR109" s="1" t="s">
        <v>1094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6">
        <f>Tabelle58971121[[#This Row],[Durchschnittsauslastung min]]*Tabelle58971121[[#This Row],[installierte Leistung MW min]]</f>
        <v>0</v>
      </c>
      <c r="EG110" s="46">
        <f>Tabelle58971121[[#This Row],[Durchschnittsauslastung durch]]*Tabelle58971121[[#This Row],[installierte Leistung MW durch]]</f>
        <v>0</v>
      </c>
      <c r="EH110" s="46">
        <f>Tabelle58971121[[#This Row],[Durchschnittsauslastung max]]*Tabelle58971121[[#This Row],[installierte Leistung MW max]]</f>
        <v>0</v>
      </c>
      <c r="EI110" s="83">
        <f>Tabelle58971121[[#This Row],[Maximalauslastung durch]]*Tabelle58971121[[#This Row],[installierte Leistung MW min]]</f>
        <v>572.98416000000009</v>
      </c>
      <c r="EJ110" s="46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1094</v>
      </c>
      <c r="FQ110" s="1" t="s">
        <v>1094</v>
      </c>
      <c r="FR110" s="1" t="s">
        <v>1094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6">
        <f>Tabelle58971121[[#This Row],[Durchschnittsauslastung min]]*Tabelle58971121[[#This Row],[installierte Leistung MW min]]</f>
        <v>0</v>
      </c>
      <c r="EG111" s="46">
        <f>Tabelle58971121[[#This Row],[Durchschnittsauslastung durch]]*Tabelle58971121[[#This Row],[installierte Leistung MW durch]]</f>
        <v>0</v>
      </c>
      <c r="EH111" s="46">
        <f>Tabelle58971121[[#This Row],[Durchschnittsauslastung max]]*Tabelle58971121[[#This Row],[installierte Leistung MW max]]</f>
        <v>0</v>
      </c>
      <c r="EI111" s="83">
        <f>Tabelle58971121[[#This Row],[Maximalauslastung durch]]*Tabelle58971121[[#This Row],[installierte Leistung MW min]]</f>
        <v>536.01743999999997</v>
      </c>
      <c r="EJ111" s="46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1094</v>
      </c>
      <c r="FQ111" s="1" t="s">
        <v>1094</v>
      </c>
      <c r="FR111" s="1" t="s">
        <v>1094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6">
        <f>Tabelle58971121[[#This Row],[Durchschnittsauslastung min]]*Tabelle58971121[[#This Row],[installierte Leistung MW min]]</f>
        <v>0</v>
      </c>
      <c r="EG112" s="46">
        <f>Tabelle58971121[[#This Row],[Durchschnittsauslastung durch]]*Tabelle58971121[[#This Row],[installierte Leistung MW durch]]</f>
        <v>0</v>
      </c>
      <c r="EH112" s="46">
        <f>Tabelle58971121[[#This Row],[Durchschnittsauslastung max]]*Tabelle58971121[[#This Row],[installierte Leistung MW max]]</f>
        <v>0</v>
      </c>
      <c r="EI112" s="83">
        <f>Tabelle58971121[[#This Row],[Maximalauslastung durch]]*Tabelle58971121[[#This Row],[installierte Leistung MW min]]</f>
        <v>508.29239999999999</v>
      </c>
      <c r="EJ112" s="46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1094</v>
      </c>
      <c r="FQ112" s="1" t="s">
        <v>1094</v>
      </c>
      <c r="FR112" s="1" t="s">
        <v>1094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6">
        <f>Tabelle58971121[[#This Row],[Durchschnittsauslastung min]]*Tabelle58971121[[#This Row],[installierte Leistung MW min]]</f>
        <v>0</v>
      </c>
      <c r="EG113" s="46">
        <f>Tabelle58971121[[#This Row],[Durchschnittsauslastung durch]]*Tabelle58971121[[#This Row],[installierte Leistung MW durch]]</f>
        <v>0</v>
      </c>
      <c r="EH113" s="46">
        <f>Tabelle58971121[[#This Row],[Durchschnittsauslastung max]]*Tabelle58971121[[#This Row],[installierte Leistung MW max]]</f>
        <v>0</v>
      </c>
      <c r="EI113" s="83">
        <f>Tabelle58971121[[#This Row],[Maximalauslastung durch]]*Tabelle58971121[[#This Row],[installierte Leistung MW min]]</f>
        <v>471.32568000000003</v>
      </c>
      <c r="EJ113" s="46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1094</v>
      </c>
      <c r="FQ113" s="1" t="s">
        <v>1094</v>
      </c>
      <c r="FR113" s="1" t="s">
        <v>1094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6">
        <f>Tabelle58971121[[#This Row],[Durchschnittsauslastung min]]*Tabelle58971121[[#This Row],[installierte Leistung MW min]]</f>
        <v>0</v>
      </c>
      <c r="EG114" s="46">
        <f>Tabelle58971121[[#This Row],[Durchschnittsauslastung durch]]*Tabelle58971121[[#This Row],[installierte Leistung MW durch]]</f>
        <v>0</v>
      </c>
      <c r="EH114" s="46">
        <f>Tabelle58971121[[#This Row],[Durchschnittsauslastung max]]*Tabelle58971121[[#This Row],[installierte Leistung MW max]]</f>
        <v>0</v>
      </c>
      <c r="EI114" s="83">
        <f>Tabelle58971121[[#This Row],[Maximalauslastung durch]]*Tabelle58971121[[#This Row],[installierte Leistung MW min]]</f>
        <v>1140.75</v>
      </c>
      <c r="EJ114" s="46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6">
        <f>Tabelle58971121[[#This Row],[Durchschnittsauslastung min]]*Tabelle58971121[[#This Row],[installierte Leistung MW min]]</f>
        <v>0</v>
      </c>
      <c r="EG115" s="46">
        <f>Tabelle58971121[[#This Row],[Durchschnittsauslastung durch]]*Tabelle58971121[[#This Row],[installierte Leistung MW durch]]</f>
        <v>0</v>
      </c>
      <c r="EH115" s="46">
        <f>Tabelle58971121[[#This Row],[Durchschnittsauslastung max]]*Tabelle58971121[[#This Row],[installierte Leistung MW max]]</f>
        <v>0</v>
      </c>
      <c r="EI115" s="83">
        <f>Tabelle58971121[[#This Row],[Maximalauslastung durch]]*Tabelle58971121[[#This Row],[installierte Leistung MW min]]</f>
        <v>1631.2725</v>
      </c>
      <c r="EJ115" s="46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6">
        <f>Tabelle58971121[[#This Row],[Durchschnittsauslastung min]]*Tabelle58971121[[#This Row],[installierte Leistung MW min]]</f>
        <v>0</v>
      </c>
      <c r="EG116" s="46">
        <f>Tabelle58971121[[#This Row],[Durchschnittsauslastung durch]]*Tabelle58971121[[#This Row],[installierte Leistung MW durch]]</f>
        <v>0</v>
      </c>
      <c r="EH116" s="46">
        <f>Tabelle58971121[[#This Row],[Durchschnittsauslastung max]]*Tabelle58971121[[#This Row],[installierte Leistung MW max]]</f>
        <v>0</v>
      </c>
      <c r="EI116" s="83">
        <f>Tabelle58971121[[#This Row],[Maximalauslastung durch]]*Tabelle58971121[[#This Row],[installierte Leistung MW min]]</f>
        <v>1722.5325</v>
      </c>
      <c r="EJ116" s="46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6">
        <f>Tabelle58971121[[#This Row],[Durchschnittsauslastung min]]*Tabelle58971121[[#This Row],[installierte Leistung MW min]]</f>
        <v>0</v>
      </c>
      <c r="EG117" s="46">
        <f>Tabelle58971121[[#This Row],[Durchschnittsauslastung durch]]*Tabelle58971121[[#This Row],[installierte Leistung MW durch]]</f>
        <v>0</v>
      </c>
      <c r="EH117" s="46">
        <f>Tabelle58971121[[#This Row],[Durchschnittsauslastung max]]*Tabelle58971121[[#This Row],[installierte Leistung MW max]]</f>
        <v>0</v>
      </c>
      <c r="EI117" s="83">
        <f>Tabelle58971121[[#This Row],[Maximalauslastung durch]]*Tabelle58971121[[#This Row],[installierte Leistung MW min]]</f>
        <v>1836.6075000000001</v>
      </c>
      <c r="EJ117" s="46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6">
        <f>Tabelle58971121[[#This Row],[Durchschnittsauslastung min]]*Tabelle58971121[[#This Row],[installierte Leistung MW min]]</f>
        <v>0</v>
      </c>
      <c r="EG118" s="46">
        <f>Tabelle58971121[[#This Row],[Durchschnittsauslastung durch]]*Tabelle58971121[[#This Row],[installierte Leistung MW durch]]</f>
        <v>0</v>
      </c>
      <c r="EH118" s="46">
        <f>Tabelle58971121[[#This Row],[Durchschnittsauslastung max]]*Tabelle58971121[[#This Row],[installierte Leistung MW max]]</f>
        <v>0</v>
      </c>
      <c r="EI118" s="83">
        <f>Tabelle58971121[[#This Row],[Maximalauslastung durch]]*Tabelle58971121[[#This Row],[installierte Leistung MW min]]</f>
        <v>1962.09</v>
      </c>
      <c r="EJ118" s="46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6">
        <f>Tabelle58971121[[#This Row],[Durchschnittsauslastung min]]*Tabelle58971121[[#This Row],[installierte Leistung MW min]]</f>
        <v>0</v>
      </c>
      <c r="EG119" s="46">
        <f>Tabelle58971121[[#This Row],[Durchschnittsauslastung durch]]*Tabelle58971121[[#This Row],[installierte Leistung MW durch]]</f>
        <v>0</v>
      </c>
      <c r="EH119" s="46">
        <f>Tabelle58971121[[#This Row],[Durchschnittsauslastung max]]*Tabelle58971121[[#This Row],[installierte Leistung MW max]]</f>
        <v>0</v>
      </c>
      <c r="EI119" s="83">
        <f>Tabelle58971121[[#This Row],[Maximalauslastung durch]]*Tabelle58971121[[#This Row],[installierte Leistung MW min]]</f>
        <v>2133.2024999999999</v>
      </c>
      <c r="EJ119" s="46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6">
        <f>Tabelle58971121[[#This Row],[Durchschnittsauslastung min]]*Tabelle58971121[[#This Row],[installierte Leistung MW min]]</f>
        <v>0</v>
      </c>
      <c r="EG120" s="46">
        <f>Tabelle58971121[[#This Row],[Durchschnittsauslastung durch]]*Tabelle58971121[[#This Row],[installierte Leistung MW durch]]</f>
        <v>0</v>
      </c>
      <c r="EH120" s="46">
        <f>Tabelle58971121[[#This Row],[Durchschnittsauslastung max]]*Tabelle58971121[[#This Row],[installierte Leistung MW max]]</f>
        <v>0</v>
      </c>
      <c r="EI120" s="83">
        <f>Tabelle58971121[[#This Row],[Maximalauslastung durch]]*Tabelle58971121[[#This Row],[installierte Leistung MW min]]</f>
        <v>2361.3525</v>
      </c>
      <c r="EJ120" s="46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6">
        <f>Tabelle58971121[[#This Row],[Durchschnittsauslastung min]]*Tabelle58971121[[#This Row],[installierte Leistung MW min]]</f>
        <v>0</v>
      </c>
      <c r="EG121" s="46">
        <f>Tabelle58971121[[#This Row],[Durchschnittsauslastung durch]]*Tabelle58971121[[#This Row],[installierte Leistung MW durch]]</f>
        <v>0</v>
      </c>
      <c r="EH121" s="46">
        <f>Tabelle58971121[[#This Row],[Durchschnittsauslastung max]]*Tabelle58971121[[#This Row],[installierte Leistung MW max]]</f>
        <v>0</v>
      </c>
      <c r="EI121" s="83">
        <f>Tabelle58971121[[#This Row],[Maximalauslastung durch]]*Tabelle58971121[[#This Row],[installierte Leistung MW min]]</f>
        <v>2646.54</v>
      </c>
      <c r="EJ121" s="46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6">
        <f>Tabelle58971121[[#This Row],[Durchschnittsauslastung min]]*Tabelle58971121[[#This Row],[installierte Leistung MW min]]</f>
        <v>0</v>
      </c>
      <c r="EG122" s="46">
        <f>Tabelle58971121[[#This Row],[Durchschnittsauslastung durch]]*Tabelle58971121[[#This Row],[installierte Leistung MW durch]]</f>
        <v>0</v>
      </c>
      <c r="EH122" s="46">
        <f>Tabelle58971121[[#This Row],[Durchschnittsauslastung max]]*Tabelle58971121[[#This Row],[installierte Leistung MW max]]</f>
        <v>0</v>
      </c>
      <c r="EI122" s="83">
        <f>Tabelle58971121[[#This Row],[Maximalauslastung durch]]*Tabelle58971121[[#This Row],[installierte Leistung MW min]]</f>
        <v>806.44899999999996</v>
      </c>
      <c r="EJ122" s="46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1094</v>
      </c>
      <c r="FQ122" s="1" t="s">
        <v>1094</v>
      </c>
      <c r="FR122" s="1" t="s">
        <v>1094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6">
        <f>Tabelle58971121[[#This Row],[Durchschnittsauslastung min]]*Tabelle58971121[[#This Row],[installierte Leistung MW min]]</f>
        <v>0</v>
      </c>
      <c r="EG123" s="46">
        <f>Tabelle58971121[[#This Row],[Durchschnittsauslastung durch]]*Tabelle58971121[[#This Row],[installierte Leistung MW durch]]</f>
        <v>0</v>
      </c>
      <c r="EH123" s="46">
        <f>Tabelle58971121[[#This Row],[Durchschnittsauslastung max]]*Tabelle58971121[[#This Row],[installierte Leistung MW max]]</f>
        <v>0</v>
      </c>
      <c r="EI123" s="83">
        <f>Tabelle58971121[[#This Row],[Maximalauslastung durch]]*Tabelle58971121[[#This Row],[installierte Leistung MW min]]</f>
        <v>701.61063000000001</v>
      </c>
      <c r="EJ123" s="46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1094</v>
      </c>
      <c r="FQ123" s="1" t="s">
        <v>1094</v>
      </c>
      <c r="FR123" s="1" t="s">
        <v>1094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6">
        <f>Tabelle58971121[[#This Row],[Durchschnittsauslastung min]]*Tabelle58971121[[#This Row],[installierte Leistung MW min]]</f>
        <v>0</v>
      </c>
      <c r="EG124" s="46">
        <f>Tabelle58971121[[#This Row],[Durchschnittsauslastung durch]]*Tabelle58971121[[#This Row],[installierte Leistung MW durch]]</f>
        <v>0</v>
      </c>
      <c r="EH124" s="46">
        <f>Tabelle58971121[[#This Row],[Durchschnittsauslastung max]]*Tabelle58971121[[#This Row],[installierte Leistung MW max]]</f>
        <v>0</v>
      </c>
      <c r="EI124" s="83">
        <f>Tabelle58971121[[#This Row],[Maximalauslastung durch]]*Tabelle58971121[[#This Row],[installierte Leistung MW min]]</f>
        <v>612.90124000000003</v>
      </c>
      <c r="EJ124" s="46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1094</v>
      </c>
      <c r="FQ124" s="1" t="s">
        <v>1094</v>
      </c>
      <c r="FR124" s="1" t="s">
        <v>1094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6">
        <f>Tabelle58971121[[#This Row],[Durchschnittsauslastung min]]*Tabelle58971121[[#This Row],[installierte Leistung MW min]]</f>
        <v>0</v>
      </c>
      <c r="EG125" s="46">
        <f>Tabelle58971121[[#This Row],[Durchschnittsauslastung durch]]*Tabelle58971121[[#This Row],[installierte Leistung MW durch]]</f>
        <v>0</v>
      </c>
      <c r="EH125" s="46">
        <f>Tabelle58971121[[#This Row],[Durchschnittsauslastung max]]*Tabelle58971121[[#This Row],[installierte Leistung MW max]]</f>
        <v>0</v>
      </c>
      <c r="EI125" s="83">
        <f>Tabelle58971121[[#This Row],[Maximalauslastung durch]]*Tabelle58971121[[#This Row],[installierte Leistung MW min]]</f>
        <v>540.32083</v>
      </c>
      <c r="EJ125" s="46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1094</v>
      </c>
      <c r="FQ125" s="1" t="s">
        <v>1094</v>
      </c>
      <c r="FR125" s="1" t="s">
        <v>1094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6">
        <f>Tabelle58971121[[#This Row],[Durchschnittsauslastung min]]*Tabelle58971121[[#This Row],[installierte Leistung MW min]]</f>
        <v>0</v>
      </c>
      <c r="EG126" s="46">
        <f>Tabelle58971121[[#This Row],[Durchschnittsauslastung durch]]*Tabelle58971121[[#This Row],[installierte Leistung MW durch]]</f>
        <v>0</v>
      </c>
      <c r="EH126" s="46">
        <f>Tabelle58971121[[#This Row],[Durchschnittsauslastung max]]*Tabelle58971121[[#This Row],[installierte Leistung MW max]]</f>
        <v>0</v>
      </c>
      <c r="EI126" s="83">
        <f>Tabelle58971121[[#This Row],[Maximalauslastung durch]]*Tabelle58971121[[#This Row],[installierte Leistung MW min]]</f>
        <v>499.99838</v>
      </c>
      <c r="EJ126" s="46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1094</v>
      </c>
      <c r="FQ126" s="1" t="s">
        <v>1094</v>
      </c>
      <c r="FR126" s="1" t="s">
        <v>1094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6">
        <f>Tabelle58971121[[#This Row],[Durchschnittsauslastung min]]*Tabelle58971121[[#This Row],[installierte Leistung MW min]]</f>
        <v>0</v>
      </c>
      <c r="EG127" s="46">
        <f>Tabelle58971121[[#This Row],[Durchschnittsauslastung durch]]*Tabelle58971121[[#This Row],[installierte Leistung MW durch]]</f>
        <v>0</v>
      </c>
      <c r="EH127" s="46">
        <f>Tabelle58971121[[#This Row],[Durchschnittsauslastung max]]*Tabelle58971121[[#This Row],[installierte Leistung MW max]]</f>
        <v>0</v>
      </c>
      <c r="EI127" s="83">
        <f>Tabelle58971121[[#This Row],[Maximalauslastung durch]]*Tabelle58971121[[#This Row],[installierte Leistung MW min]]</f>
        <v>467.74042000000003</v>
      </c>
      <c r="EJ127" s="46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1094</v>
      </c>
      <c r="FQ127" s="1" t="s">
        <v>1094</v>
      </c>
      <c r="FR127" s="1" t="s">
        <v>1094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6">
        <f>Tabelle58971121[[#This Row],[Durchschnittsauslastung min]]*Tabelle58971121[[#This Row],[installierte Leistung MW min]]</f>
        <v>0</v>
      </c>
      <c r="EG128" s="46">
        <f>Tabelle58971121[[#This Row],[Durchschnittsauslastung durch]]*Tabelle58971121[[#This Row],[installierte Leistung MW durch]]</f>
        <v>0</v>
      </c>
      <c r="EH128" s="46">
        <f>Tabelle58971121[[#This Row],[Durchschnittsauslastung max]]*Tabelle58971121[[#This Row],[installierte Leistung MW max]]</f>
        <v>0</v>
      </c>
      <c r="EI128" s="83">
        <f>Tabelle58971121[[#This Row],[Maximalauslastung durch]]*Tabelle58971121[[#This Row],[installierte Leistung MW min]]</f>
        <v>435.48246</v>
      </c>
      <c r="EJ128" s="46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1094</v>
      </c>
      <c r="FQ128" s="1" t="s">
        <v>1094</v>
      </c>
      <c r="FR128" s="1" t="s">
        <v>1094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6">
        <f>Tabelle58971121[[#This Row],[Durchschnittsauslastung min]]*Tabelle58971121[[#This Row],[installierte Leistung MW min]]</f>
        <v>0</v>
      </c>
      <c r="EG129" s="46">
        <f>Tabelle58971121[[#This Row],[Durchschnittsauslastung durch]]*Tabelle58971121[[#This Row],[installierte Leistung MW durch]]</f>
        <v>0</v>
      </c>
      <c r="EH129" s="46">
        <f>Tabelle58971121[[#This Row],[Durchschnittsauslastung max]]*Tabelle58971121[[#This Row],[installierte Leistung MW max]]</f>
        <v>0</v>
      </c>
      <c r="EI129" s="83">
        <f>Tabelle58971121[[#This Row],[Maximalauslastung durch]]*Tabelle58971121[[#This Row],[installierte Leistung MW min]]</f>
        <v>395.16000999999994</v>
      </c>
      <c r="EJ129" s="46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1094</v>
      </c>
      <c r="FQ129" s="1" t="s">
        <v>1094</v>
      </c>
      <c r="FR129" s="1" t="s">
        <v>1094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6">
        <f>Tabelle58971121[[#This Row],[Durchschnittsauslastung min]]*Tabelle58971121[[#This Row],[installierte Leistung MW min]]</f>
        <v>0</v>
      </c>
      <c r="EG130" s="46">
        <f>Tabelle58971121[[#This Row],[Durchschnittsauslastung durch]]*Tabelle58971121[[#This Row],[installierte Leistung MW durch]]</f>
        <v>0</v>
      </c>
      <c r="EH130" s="46">
        <f>Tabelle58971121[[#This Row],[Durchschnittsauslastung max]]*Tabelle58971121[[#This Row],[installierte Leistung MW max]]</f>
        <v>0</v>
      </c>
      <c r="EI130" s="83">
        <f>Tabelle58971121[[#This Row],[Maximalauslastung durch]]*Tabelle58971121[[#This Row],[installierte Leistung MW min]]</f>
        <v>182.88</v>
      </c>
      <c r="EJ130" s="46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6">
        <f>Tabelle58971121[[#This Row],[Durchschnittsauslastung min]]*Tabelle58971121[[#This Row],[installierte Leistung MW min]]</f>
        <v>0</v>
      </c>
      <c r="EG131" s="46">
        <f>Tabelle58971121[[#This Row],[Durchschnittsauslastung durch]]*Tabelle58971121[[#This Row],[installierte Leistung MW durch]]</f>
        <v>0</v>
      </c>
      <c r="EH131" s="46">
        <f>Tabelle58971121[[#This Row],[Durchschnittsauslastung max]]*Tabelle58971121[[#This Row],[installierte Leistung MW max]]</f>
        <v>0</v>
      </c>
      <c r="EI131" s="83">
        <f>Tabelle58971121[[#This Row],[Maximalauslastung durch]]*Tabelle58971121[[#This Row],[installierte Leistung MW min]]</f>
        <v>188.00880000000001</v>
      </c>
      <c r="EJ131" s="46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6">
        <f>Tabelle58971121[[#This Row],[Durchschnittsauslastung min]]*Tabelle58971121[[#This Row],[installierte Leistung MW min]]</f>
        <v>0</v>
      </c>
      <c r="EG132" s="46">
        <f>Tabelle58971121[[#This Row],[Durchschnittsauslastung durch]]*Tabelle58971121[[#This Row],[installierte Leistung MW durch]]</f>
        <v>0</v>
      </c>
      <c r="EH132" s="46">
        <f>Tabelle58971121[[#This Row],[Durchschnittsauslastung max]]*Tabelle58971121[[#This Row],[installierte Leistung MW max]]</f>
        <v>0</v>
      </c>
      <c r="EI132" s="83">
        <f>Tabelle58971121[[#This Row],[Maximalauslastung durch]]*Tabelle58971121[[#This Row],[installierte Leistung MW min]]</f>
        <v>192.4776</v>
      </c>
      <c r="EJ132" s="46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6">
        <f>Tabelle58971121[[#This Row],[Durchschnittsauslastung min]]*Tabelle58971121[[#This Row],[installierte Leistung MW min]]</f>
        <v>0</v>
      </c>
      <c r="EG133" s="46">
        <f>Tabelle58971121[[#This Row],[Durchschnittsauslastung durch]]*Tabelle58971121[[#This Row],[installierte Leistung MW durch]]</f>
        <v>0</v>
      </c>
      <c r="EH133" s="46">
        <f>Tabelle58971121[[#This Row],[Durchschnittsauslastung max]]*Tabelle58971121[[#This Row],[installierte Leistung MW max]]</f>
        <v>0</v>
      </c>
      <c r="EI133" s="83">
        <f>Tabelle58971121[[#This Row],[Maximalauslastung durch]]*Tabelle58971121[[#This Row],[installierte Leistung MW min]]</f>
        <v>198.42479999999998</v>
      </c>
      <c r="EJ133" s="46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6">
        <f>Tabelle58971121[[#This Row],[Durchschnittsauslastung min]]*Tabelle58971121[[#This Row],[installierte Leistung MW min]]</f>
        <v>0</v>
      </c>
      <c r="EG134" s="46">
        <f>Tabelle58971121[[#This Row],[Durchschnittsauslastung durch]]*Tabelle58971121[[#This Row],[installierte Leistung MW durch]]</f>
        <v>0</v>
      </c>
      <c r="EH134" s="46">
        <f>Tabelle58971121[[#This Row],[Durchschnittsauslastung max]]*Tabelle58971121[[#This Row],[installierte Leistung MW max]]</f>
        <v>0</v>
      </c>
      <c r="EI134" s="83">
        <f>Tabelle58971121[[#This Row],[Maximalauslastung durch]]*Tabelle58971121[[#This Row],[installierte Leistung MW min]]</f>
        <v>204.2664</v>
      </c>
      <c r="EJ134" s="46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6">
        <f>Tabelle58971121[[#This Row],[Durchschnittsauslastung min]]*Tabelle58971121[[#This Row],[installierte Leistung MW min]]</f>
        <v>0</v>
      </c>
      <c r="EG135" s="46">
        <f>Tabelle58971121[[#This Row],[Durchschnittsauslastung durch]]*Tabelle58971121[[#This Row],[installierte Leistung MW durch]]</f>
        <v>0</v>
      </c>
      <c r="EH135" s="46">
        <f>Tabelle58971121[[#This Row],[Durchschnittsauslastung max]]*Tabelle58971121[[#This Row],[installierte Leistung MW max]]</f>
        <v>0</v>
      </c>
      <c r="EI135" s="83">
        <f>Tabelle58971121[[#This Row],[Maximalauslastung durch]]*Tabelle58971121[[#This Row],[installierte Leistung MW min]]</f>
        <v>210.21359999999999</v>
      </c>
      <c r="EJ135" s="46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6">
        <f>Tabelle58971121[[#This Row],[Durchschnittsauslastung min]]*Tabelle58971121[[#This Row],[installierte Leistung MW min]]</f>
        <v>0</v>
      </c>
      <c r="EG136" s="46">
        <f>Tabelle58971121[[#This Row],[Durchschnittsauslastung durch]]*Tabelle58971121[[#This Row],[installierte Leistung MW durch]]</f>
        <v>0</v>
      </c>
      <c r="EH136" s="46">
        <f>Tabelle58971121[[#This Row],[Durchschnittsauslastung max]]*Tabelle58971121[[#This Row],[installierte Leistung MW max]]</f>
        <v>0</v>
      </c>
      <c r="EI136" s="83">
        <f>Tabelle58971121[[#This Row],[Maximalauslastung durch]]*Tabelle58971121[[#This Row],[installierte Leistung MW min]]</f>
        <v>217.39679999999998</v>
      </c>
      <c r="EJ136" s="46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6">
        <f>Tabelle58971121[[#This Row],[Durchschnittsauslastung min]]*Tabelle58971121[[#This Row],[installierte Leistung MW min]]</f>
        <v>0</v>
      </c>
      <c r="EG137" s="46">
        <f>Tabelle58971121[[#This Row],[Durchschnittsauslastung durch]]*Tabelle58971121[[#This Row],[installierte Leistung MW durch]]</f>
        <v>0</v>
      </c>
      <c r="EH137" s="46">
        <f>Tabelle58971121[[#This Row],[Durchschnittsauslastung max]]*Tabelle58971121[[#This Row],[installierte Leistung MW max]]</f>
        <v>0</v>
      </c>
      <c r="EI137" s="83">
        <f>Tabelle58971121[[#This Row],[Maximalauslastung durch]]*Tabelle58971121[[#This Row],[installierte Leistung MW min]]</f>
        <v>224.28</v>
      </c>
      <c r="EJ137" s="46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6">
        <f>Tabelle58971121[[#This Row],[Durchschnittsauslastung min]]*Tabelle58971121[[#This Row],[installierte Leistung MW min]]</f>
        <v>0</v>
      </c>
      <c r="EG138" s="46">
        <f>Tabelle58971121[[#This Row],[Durchschnittsauslastung durch]]*Tabelle58971121[[#This Row],[installierte Leistung MW durch]]</f>
        <v>0</v>
      </c>
      <c r="EH138" s="46">
        <f>Tabelle58971121[[#This Row],[Durchschnittsauslastung max]]*Tabelle58971121[[#This Row],[installierte Leistung MW max]]</f>
        <v>0</v>
      </c>
      <c r="EI138" s="83">
        <f>Tabelle58971121[[#This Row],[Maximalauslastung durch]]*Tabelle58971121[[#This Row],[installierte Leistung MW min]]</f>
        <v>460</v>
      </c>
      <c r="EJ138" s="46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6">
        <f>Tabelle58971121[[#This Row],[Durchschnittsauslastung min]]*Tabelle58971121[[#This Row],[installierte Leistung MW min]]</f>
        <v>0</v>
      </c>
      <c r="EG139" s="46">
        <f>Tabelle58971121[[#This Row],[Durchschnittsauslastung durch]]*Tabelle58971121[[#This Row],[installierte Leistung MW durch]]</f>
        <v>0</v>
      </c>
      <c r="EH139" s="46">
        <f>Tabelle58971121[[#This Row],[Durchschnittsauslastung max]]*Tabelle58971121[[#This Row],[installierte Leistung MW max]]</f>
        <v>0</v>
      </c>
      <c r="EI139" s="83">
        <f>Tabelle58971121[[#This Row],[Maximalauslastung durch]]*Tabelle58971121[[#This Row],[installierte Leistung MW min]]</f>
        <v>455.4</v>
      </c>
      <c r="EJ139" s="46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6">
        <f>Tabelle58971121[[#This Row],[Durchschnittsauslastung min]]*Tabelle58971121[[#This Row],[installierte Leistung MW min]]</f>
        <v>0</v>
      </c>
      <c r="EG140" s="46">
        <f>Tabelle58971121[[#This Row],[Durchschnittsauslastung durch]]*Tabelle58971121[[#This Row],[installierte Leistung MW durch]]</f>
        <v>0</v>
      </c>
      <c r="EH140" s="46">
        <f>Tabelle58971121[[#This Row],[Durchschnittsauslastung max]]*Tabelle58971121[[#This Row],[installierte Leistung MW max]]</f>
        <v>0</v>
      </c>
      <c r="EI140" s="83">
        <f>Tabelle58971121[[#This Row],[Maximalauslastung durch]]*Tabelle58971121[[#This Row],[installierte Leistung MW min]]</f>
        <v>450.8</v>
      </c>
      <c r="EJ140" s="46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6">
        <f>Tabelle58971121[[#This Row],[Durchschnittsauslastung min]]*Tabelle58971121[[#This Row],[installierte Leistung MW min]]</f>
        <v>0</v>
      </c>
      <c r="EG141" s="46">
        <f>Tabelle58971121[[#This Row],[Durchschnittsauslastung durch]]*Tabelle58971121[[#This Row],[installierte Leistung MW durch]]</f>
        <v>0</v>
      </c>
      <c r="EH141" s="46">
        <f>Tabelle58971121[[#This Row],[Durchschnittsauslastung max]]*Tabelle58971121[[#This Row],[installierte Leistung MW max]]</f>
        <v>0</v>
      </c>
      <c r="EI141" s="83">
        <f>Tabelle58971121[[#This Row],[Maximalauslastung durch]]*Tabelle58971121[[#This Row],[installierte Leistung MW min]]</f>
        <v>446.2</v>
      </c>
      <c r="EJ141" s="46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6">
        <f>Tabelle58971121[[#This Row],[Durchschnittsauslastung min]]*Tabelle58971121[[#This Row],[installierte Leistung MW min]]</f>
        <v>0</v>
      </c>
      <c r="EG142" s="46">
        <f>Tabelle58971121[[#This Row],[Durchschnittsauslastung durch]]*Tabelle58971121[[#This Row],[installierte Leistung MW durch]]</f>
        <v>0</v>
      </c>
      <c r="EH142" s="46">
        <f>Tabelle58971121[[#This Row],[Durchschnittsauslastung max]]*Tabelle58971121[[#This Row],[installierte Leistung MW max]]</f>
        <v>0</v>
      </c>
      <c r="EI142" s="83">
        <f>Tabelle58971121[[#This Row],[Maximalauslastung durch]]*Tabelle58971121[[#This Row],[installierte Leistung MW min]]</f>
        <v>441.6</v>
      </c>
      <c r="EJ142" s="46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6">
        <f>Tabelle58971121[[#This Row],[Durchschnittsauslastung min]]*Tabelle58971121[[#This Row],[installierte Leistung MW min]]</f>
        <v>0</v>
      </c>
      <c r="EG143" s="46">
        <f>Tabelle58971121[[#This Row],[Durchschnittsauslastung durch]]*Tabelle58971121[[#This Row],[installierte Leistung MW durch]]</f>
        <v>0</v>
      </c>
      <c r="EH143" s="46">
        <f>Tabelle58971121[[#This Row],[Durchschnittsauslastung max]]*Tabelle58971121[[#This Row],[installierte Leistung MW max]]</f>
        <v>0</v>
      </c>
      <c r="EI143" s="83">
        <f>Tabelle58971121[[#This Row],[Maximalauslastung durch]]*Tabelle58971121[[#This Row],[installierte Leistung MW min]]</f>
        <v>437</v>
      </c>
      <c r="EJ143" s="46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6">
        <f>Tabelle58971121[[#This Row],[Durchschnittsauslastung min]]*Tabelle58971121[[#This Row],[installierte Leistung MW min]]</f>
        <v>0</v>
      </c>
      <c r="EG144" s="46">
        <f>Tabelle58971121[[#This Row],[Durchschnittsauslastung durch]]*Tabelle58971121[[#This Row],[installierte Leistung MW durch]]</f>
        <v>0</v>
      </c>
      <c r="EH144" s="46">
        <f>Tabelle58971121[[#This Row],[Durchschnittsauslastung max]]*Tabelle58971121[[#This Row],[installierte Leistung MW max]]</f>
        <v>0</v>
      </c>
      <c r="EI144" s="83">
        <f>Tabelle58971121[[#This Row],[Maximalauslastung durch]]*Tabelle58971121[[#This Row],[installierte Leistung MW min]]</f>
        <v>437</v>
      </c>
      <c r="EJ144" s="46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6">
        <f>Tabelle58971121[[#This Row],[Durchschnittsauslastung min]]*Tabelle58971121[[#This Row],[installierte Leistung MW min]]</f>
        <v>0</v>
      </c>
      <c r="EG145" s="46">
        <f>Tabelle58971121[[#This Row],[Durchschnittsauslastung durch]]*Tabelle58971121[[#This Row],[installierte Leistung MW durch]]</f>
        <v>0</v>
      </c>
      <c r="EH145" s="46">
        <f>Tabelle58971121[[#This Row],[Durchschnittsauslastung max]]*Tabelle58971121[[#This Row],[installierte Leistung MW max]]</f>
        <v>0</v>
      </c>
      <c r="EI145" s="83">
        <f>Tabelle58971121[[#This Row],[Maximalauslastung durch]]*Tabelle58971121[[#This Row],[installierte Leistung MW min]]</f>
        <v>432.4</v>
      </c>
      <c r="EJ145" s="46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6">
        <f>Tabelle58971121[[#This Row],[Durchschnittsauslastung min]]*Tabelle58971121[[#This Row],[installierte Leistung MW min]]</f>
        <v>0</v>
      </c>
      <c r="EG146" s="46">
        <f>Tabelle58971121[[#This Row],[Durchschnittsauslastung durch]]*Tabelle58971121[[#This Row],[installierte Leistung MW durch]]</f>
        <v>0</v>
      </c>
      <c r="EH146" s="46">
        <f>Tabelle58971121[[#This Row],[Durchschnittsauslastung max]]*Tabelle58971121[[#This Row],[installierte Leistung MW max]]</f>
        <v>0</v>
      </c>
      <c r="EI146" s="83">
        <f>Tabelle58971121[[#This Row],[Maximalauslastung durch]]*Tabelle58971121[[#This Row],[installierte Leistung MW min]]</f>
        <v>123.42</v>
      </c>
      <c r="EJ146" s="46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6">
        <f>Tabelle58971121[[#This Row],[Durchschnittsauslastung min]]*Tabelle58971121[[#This Row],[installierte Leistung MW min]]</f>
        <v>0</v>
      </c>
      <c r="EG147" s="46">
        <f>Tabelle58971121[[#This Row],[Durchschnittsauslastung durch]]*Tabelle58971121[[#This Row],[installierte Leistung MW durch]]</f>
        <v>0</v>
      </c>
      <c r="EH147" s="46">
        <f>Tabelle58971121[[#This Row],[Durchschnittsauslastung max]]*Tabelle58971121[[#This Row],[installierte Leistung MW max]]</f>
        <v>0</v>
      </c>
      <c r="EI147" s="83">
        <f>Tabelle58971121[[#This Row],[Maximalauslastung durch]]*Tabelle58971121[[#This Row],[installierte Leistung MW min]]</f>
        <v>126.9033</v>
      </c>
      <c r="EJ147" s="46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6">
        <f>Tabelle58971121[[#This Row],[Durchschnittsauslastung min]]*Tabelle58971121[[#This Row],[installierte Leistung MW min]]</f>
        <v>0</v>
      </c>
      <c r="EG148" s="46">
        <f>Tabelle58971121[[#This Row],[Durchschnittsauslastung durch]]*Tabelle58971121[[#This Row],[installierte Leistung MW durch]]</f>
        <v>0</v>
      </c>
      <c r="EH148" s="46">
        <f>Tabelle58971121[[#This Row],[Durchschnittsauslastung max]]*Tabelle58971121[[#This Row],[installierte Leistung MW max]]</f>
        <v>0</v>
      </c>
      <c r="EI148" s="83">
        <f>Tabelle58971121[[#This Row],[Maximalauslastung durch]]*Tabelle58971121[[#This Row],[installierte Leistung MW min]]</f>
        <v>129.93780000000001</v>
      </c>
      <c r="EJ148" s="46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6">
        <f>Tabelle58971121[[#This Row],[Durchschnittsauslastung min]]*Tabelle58971121[[#This Row],[installierte Leistung MW min]]</f>
        <v>0</v>
      </c>
      <c r="EG149" s="46">
        <f>Tabelle58971121[[#This Row],[Durchschnittsauslastung durch]]*Tabelle58971121[[#This Row],[installierte Leistung MW durch]]</f>
        <v>0</v>
      </c>
      <c r="EH149" s="46">
        <f>Tabelle58971121[[#This Row],[Durchschnittsauslastung max]]*Tabelle58971121[[#This Row],[installierte Leistung MW max]]</f>
        <v>0</v>
      </c>
      <c r="EI149" s="83">
        <f>Tabelle58971121[[#This Row],[Maximalauslastung durch]]*Tabelle58971121[[#This Row],[installierte Leistung MW min]]</f>
        <v>133.977</v>
      </c>
      <c r="EJ149" s="46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6">
        <f>Tabelle58971121[[#This Row],[Durchschnittsauslastung min]]*Tabelle58971121[[#This Row],[installierte Leistung MW min]]</f>
        <v>0</v>
      </c>
      <c r="EG150" s="46">
        <f>Tabelle58971121[[#This Row],[Durchschnittsauslastung durch]]*Tabelle58971121[[#This Row],[installierte Leistung MW durch]]</f>
        <v>0</v>
      </c>
      <c r="EH150" s="46">
        <f>Tabelle58971121[[#This Row],[Durchschnittsauslastung max]]*Tabelle58971121[[#This Row],[installierte Leistung MW max]]</f>
        <v>0</v>
      </c>
      <c r="EI150" s="83">
        <f>Tabelle58971121[[#This Row],[Maximalauslastung durch]]*Tabelle58971121[[#This Row],[installierte Leistung MW min]]</f>
        <v>137.93970000000002</v>
      </c>
      <c r="EJ150" s="46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6">
        <f>Tabelle58971121[[#This Row],[Durchschnittsauslastung min]]*Tabelle58971121[[#This Row],[installierte Leistung MW min]]</f>
        <v>0</v>
      </c>
      <c r="EG151" s="46">
        <f>Tabelle58971121[[#This Row],[Durchschnittsauslastung durch]]*Tabelle58971121[[#This Row],[installierte Leistung MW durch]]</f>
        <v>0</v>
      </c>
      <c r="EH151" s="46">
        <f>Tabelle58971121[[#This Row],[Durchschnittsauslastung max]]*Tabelle58971121[[#This Row],[installierte Leistung MW max]]</f>
        <v>0</v>
      </c>
      <c r="EI151" s="83">
        <f>Tabelle58971121[[#This Row],[Maximalauslastung durch]]*Tabelle58971121[[#This Row],[installierte Leistung MW min]]</f>
        <v>141.97889999999998</v>
      </c>
      <c r="EJ151" s="46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6">
        <f>Tabelle58971121[[#This Row],[Durchschnittsauslastung min]]*Tabelle58971121[[#This Row],[installierte Leistung MW min]]</f>
        <v>0</v>
      </c>
      <c r="EG152" s="46">
        <f>Tabelle58971121[[#This Row],[Durchschnittsauslastung durch]]*Tabelle58971121[[#This Row],[installierte Leistung MW durch]]</f>
        <v>0</v>
      </c>
      <c r="EH152" s="46">
        <f>Tabelle58971121[[#This Row],[Durchschnittsauslastung max]]*Tabelle58971121[[#This Row],[installierte Leistung MW max]]</f>
        <v>0</v>
      </c>
      <c r="EI152" s="83">
        <f>Tabelle58971121[[#This Row],[Maximalauslastung durch]]*Tabelle58971121[[#This Row],[installierte Leistung MW min]]</f>
        <v>146.8545</v>
      </c>
      <c r="EJ152" s="46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6">
        <f>Tabelle58971121[[#This Row],[Durchschnittsauslastung min]]*Tabelle58971121[[#This Row],[installierte Leistung MW min]]</f>
        <v>0</v>
      </c>
      <c r="EG153" s="46">
        <f>Tabelle58971121[[#This Row],[Durchschnittsauslastung durch]]*Tabelle58971121[[#This Row],[installierte Leistung MW durch]]</f>
        <v>0</v>
      </c>
      <c r="EH153" s="46">
        <f>Tabelle58971121[[#This Row],[Durchschnittsauslastung max]]*Tabelle58971121[[#This Row],[installierte Leistung MW max]]</f>
        <v>0</v>
      </c>
      <c r="EI153" s="83">
        <f>Tabelle58971121[[#This Row],[Maximalauslastung durch]]*Tabelle58971121[[#This Row],[installierte Leistung MW min]]</f>
        <v>151.52610000000001</v>
      </c>
      <c r="EJ153" s="46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39">
        <v>0.95</v>
      </c>
      <c r="ED154" s="39">
        <v>0.92</v>
      </c>
      <c r="EE154" s="39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3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4">
        <v>8.3333333333333332E-3</v>
      </c>
      <c r="EU154" s="1">
        <v>0.23408333333333334</v>
      </c>
      <c r="EV154" s="1">
        <v>2.7777777777777778E-4</v>
      </c>
      <c r="EW154" s="54">
        <v>0.5</v>
      </c>
      <c r="EX154" s="1">
        <v>2.1</v>
      </c>
      <c r="EY154" s="1">
        <v>1.9000000000000001</v>
      </c>
      <c r="EZ154" s="54">
        <v>2.3000000000000003</v>
      </c>
      <c r="FA154" s="1">
        <v>2.1</v>
      </c>
      <c r="FB154" s="1">
        <v>1.9000000000000001</v>
      </c>
      <c r="FC154" s="54">
        <v>2.3000000000000003</v>
      </c>
      <c r="FD154" s="1">
        <v>4</v>
      </c>
      <c r="FE154" s="1">
        <v>3.6</v>
      </c>
      <c r="FF154" s="54">
        <v>4.4000000000000004</v>
      </c>
      <c r="FG154" s="1">
        <v>6.1</v>
      </c>
      <c r="FH154" s="1">
        <v>6.1</v>
      </c>
      <c r="FI154" s="54">
        <v>6.1</v>
      </c>
      <c r="FJ154" s="1">
        <v>4.2</v>
      </c>
      <c r="FK154" s="1">
        <v>3.7</v>
      </c>
      <c r="FL154" s="54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39">
        <v>0.95</v>
      </c>
      <c r="ED155" s="39">
        <v>0.92</v>
      </c>
      <c r="EE155" s="39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6">
        <f>Tabelle58971121[[#This Row],[Durchschnittsauslastung max]]*Tabelle58971121[[#This Row],[installierte Leistung MW max]]</f>
        <v>893.76</v>
      </c>
      <c r="EI155" s="83">
        <f>Tabelle58971121[[#This Row],[Maximalauslastung durch]]*Tabelle58971121[[#This Row],[installierte Leistung MW min]]</f>
        <v>861.49799999999993</v>
      </c>
      <c r="EJ155" s="46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4">
        <v>8.3333333333333332E-3</v>
      </c>
      <c r="EU155" s="1">
        <v>0.23408333333333334</v>
      </c>
      <c r="EV155" s="1">
        <v>2.7777777777777778E-4</v>
      </c>
      <c r="EW155" s="54">
        <v>0.5</v>
      </c>
      <c r="EX155" s="1">
        <v>2.1</v>
      </c>
      <c r="EY155" s="1">
        <v>1.9000000000000001</v>
      </c>
      <c r="EZ155" s="54">
        <v>2.3000000000000003</v>
      </c>
      <c r="FA155" s="1">
        <v>2.1</v>
      </c>
      <c r="FB155" s="1">
        <v>1.9000000000000001</v>
      </c>
      <c r="FC155" s="54">
        <v>2.3000000000000003</v>
      </c>
      <c r="FD155" s="1">
        <v>4</v>
      </c>
      <c r="FE155" s="1">
        <v>3.6</v>
      </c>
      <c r="FF155" s="54">
        <v>4.4000000000000004</v>
      </c>
      <c r="FG155" s="1">
        <v>6.1</v>
      </c>
      <c r="FH155" s="1">
        <v>6.1</v>
      </c>
      <c r="FI155" s="54">
        <v>6.1</v>
      </c>
      <c r="FJ155" s="1">
        <v>4.2</v>
      </c>
      <c r="FK155" s="1">
        <v>3.7</v>
      </c>
      <c r="FL155" s="54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39">
        <v>0.95</v>
      </c>
      <c r="ED156" s="39">
        <v>0.92</v>
      </c>
      <c r="EE156" s="39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6">
        <f>Tabelle58971121[[#This Row],[Durchschnittsauslastung max]]*Tabelle58971121[[#This Row],[installierte Leistung MW max]]</f>
        <v>846.72</v>
      </c>
      <c r="EI156" s="83">
        <f>Tabelle58971121[[#This Row],[Maximalauslastung durch]]*Tabelle58971121[[#This Row],[installierte Leistung MW min]]</f>
        <v>816.15599999999995</v>
      </c>
      <c r="EJ156" s="46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4">
        <v>8.3333333333333332E-3</v>
      </c>
      <c r="EU156" s="1">
        <v>0.23408333333333334</v>
      </c>
      <c r="EV156" s="1">
        <v>2.7777777777777778E-4</v>
      </c>
      <c r="EW156" s="54">
        <v>0.5</v>
      </c>
      <c r="EX156" s="1">
        <v>2.1</v>
      </c>
      <c r="EY156" s="1">
        <v>1.9000000000000001</v>
      </c>
      <c r="EZ156" s="54">
        <v>2.3000000000000003</v>
      </c>
      <c r="FA156" s="1">
        <v>2.1</v>
      </c>
      <c r="FB156" s="1">
        <v>1.9000000000000001</v>
      </c>
      <c r="FC156" s="54">
        <v>2.3000000000000003</v>
      </c>
      <c r="FD156" s="1">
        <v>4</v>
      </c>
      <c r="FE156" s="1">
        <v>3.6</v>
      </c>
      <c r="FF156" s="54">
        <v>4.4000000000000004</v>
      </c>
      <c r="FG156" s="1">
        <v>6.1</v>
      </c>
      <c r="FH156" s="1">
        <v>6.1</v>
      </c>
      <c r="FI156" s="54">
        <v>6.1</v>
      </c>
      <c r="FJ156" s="1">
        <v>4.2</v>
      </c>
      <c r="FK156" s="1">
        <v>3.7</v>
      </c>
      <c r="FL156" s="54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39">
        <v>0.95</v>
      </c>
      <c r="ED157" s="39">
        <v>0.92</v>
      </c>
      <c r="EE157" s="39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6">
        <f>Tabelle58971121[[#This Row],[Durchschnittsauslastung max]]*Tabelle58971121[[#This Row],[installierte Leistung MW max]]</f>
        <v>809.08799999999997</v>
      </c>
      <c r="EI157" s="83">
        <f>Tabelle58971121[[#This Row],[Maximalauslastung durch]]*Tabelle58971121[[#This Row],[installierte Leistung MW min]]</f>
        <v>779.88239999999996</v>
      </c>
      <c r="EJ157" s="46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4">
        <v>8.3333333333333332E-3</v>
      </c>
      <c r="EU157" s="1">
        <v>0.23408333333333334</v>
      </c>
      <c r="EV157" s="1">
        <v>2.7777777777777778E-4</v>
      </c>
      <c r="EW157" s="54">
        <v>0.5</v>
      </c>
      <c r="EX157" s="1">
        <v>2.1</v>
      </c>
      <c r="EY157" s="1">
        <v>1.9000000000000001</v>
      </c>
      <c r="EZ157" s="54">
        <v>2.3000000000000003</v>
      </c>
      <c r="FA157" s="1">
        <v>2.1</v>
      </c>
      <c r="FB157" s="1">
        <v>1.9000000000000001</v>
      </c>
      <c r="FC157" s="54">
        <v>2.3000000000000003</v>
      </c>
      <c r="FD157" s="1">
        <v>4</v>
      </c>
      <c r="FE157" s="1">
        <v>3.6</v>
      </c>
      <c r="FF157" s="54">
        <v>4.4000000000000004</v>
      </c>
      <c r="FG157" s="1">
        <v>6.1</v>
      </c>
      <c r="FH157" s="1">
        <v>6.1</v>
      </c>
      <c r="FI157" s="54">
        <v>6.1</v>
      </c>
      <c r="FJ157" s="1">
        <v>4.2</v>
      </c>
      <c r="FK157" s="1">
        <v>3.7</v>
      </c>
      <c r="FL157" s="54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39">
        <v>0.95</v>
      </c>
      <c r="ED158" s="39">
        <v>0.92</v>
      </c>
      <c r="EE158" s="39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6">
        <f>Tabelle58971121[[#This Row],[Durchschnittsauslastung max]]*Tabelle58971121[[#This Row],[installierte Leistung MW max]]</f>
        <v>771.4559999999999</v>
      </c>
      <c r="EI158" s="83">
        <f>Tabelle58971121[[#This Row],[Maximalauslastung durch]]*Tabelle58971121[[#This Row],[installierte Leistung MW min]]</f>
        <v>743.60879999999997</v>
      </c>
      <c r="EJ158" s="46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4">
        <v>8.3333333333333332E-3</v>
      </c>
      <c r="EU158" s="1">
        <v>0.23408333333333334</v>
      </c>
      <c r="EV158" s="1">
        <v>2.7777777777777778E-4</v>
      </c>
      <c r="EW158" s="54">
        <v>0.5</v>
      </c>
      <c r="EX158" s="1">
        <v>2.1</v>
      </c>
      <c r="EY158" s="1">
        <v>1.9000000000000001</v>
      </c>
      <c r="EZ158" s="54">
        <v>2.3000000000000003</v>
      </c>
      <c r="FA158" s="1">
        <v>2.1</v>
      </c>
      <c r="FB158" s="1">
        <v>1.9000000000000001</v>
      </c>
      <c r="FC158" s="54">
        <v>2.3000000000000003</v>
      </c>
      <c r="FD158" s="1">
        <v>4</v>
      </c>
      <c r="FE158" s="1">
        <v>3.6</v>
      </c>
      <c r="FF158" s="54">
        <v>4.4000000000000004</v>
      </c>
      <c r="FG158" s="1">
        <v>6.1</v>
      </c>
      <c r="FH158" s="1">
        <v>6.1</v>
      </c>
      <c r="FI158" s="54">
        <v>6.1</v>
      </c>
      <c r="FJ158" s="1">
        <v>4.2</v>
      </c>
      <c r="FK158" s="1">
        <v>3.7</v>
      </c>
      <c r="FL158" s="54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39">
        <v>0.95</v>
      </c>
      <c r="ED159" s="39">
        <v>0.92</v>
      </c>
      <c r="EE159" s="39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6">
        <f>Tabelle58971121[[#This Row],[Durchschnittsauslastung max]]*Tabelle58971121[[#This Row],[installierte Leistung MW max]]</f>
        <v>733.82400000000007</v>
      </c>
      <c r="EI159" s="83">
        <f>Tabelle58971121[[#This Row],[Maximalauslastung durch]]*Tabelle58971121[[#This Row],[installierte Leistung MW min]]</f>
        <v>707.33519999999999</v>
      </c>
      <c r="EJ159" s="46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4">
        <v>8.3333333333333332E-3</v>
      </c>
      <c r="EU159" s="1">
        <v>0.23408333333333334</v>
      </c>
      <c r="EV159" s="1">
        <v>2.7777777777777778E-4</v>
      </c>
      <c r="EW159" s="54">
        <v>0.5</v>
      </c>
      <c r="EX159" s="1">
        <v>2.1</v>
      </c>
      <c r="EY159" s="1">
        <v>1.9000000000000001</v>
      </c>
      <c r="EZ159" s="54">
        <v>2.3000000000000003</v>
      </c>
      <c r="FA159" s="1">
        <v>2.1</v>
      </c>
      <c r="FB159" s="1">
        <v>1.9000000000000001</v>
      </c>
      <c r="FC159" s="54">
        <v>2.3000000000000003</v>
      </c>
      <c r="FD159" s="1">
        <v>4</v>
      </c>
      <c r="FE159" s="1">
        <v>3.6</v>
      </c>
      <c r="FF159" s="54">
        <v>4.4000000000000004</v>
      </c>
      <c r="FG159" s="1">
        <v>6.1</v>
      </c>
      <c r="FH159" s="1">
        <v>6.1</v>
      </c>
      <c r="FI159" s="54">
        <v>6.1</v>
      </c>
      <c r="FJ159" s="1">
        <v>4.2</v>
      </c>
      <c r="FK159" s="1">
        <v>3.7</v>
      </c>
      <c r="FL159" s="54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39">
        <v>0.95</v>
      </c>
      <c r="ED160" s="39">
        <v>0.92</v>
      </c>
      <c r="EE160" s="39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6">
        <f>Tabelle58971121[[#This Row],[Durchschnittsauslastung max]]*Tabelle58971121[[#This Row],[installierte Leistung MW max]]</f>
        <v>696.19200000000001</v>
      </c>
      <c r="EI160" s="83">
        <f>Tabelle58971121[[#This Row],[Maximalauslastung durch]]*Tabelle58971121[[#This Row],[installierte Leistung MW min]]</f>
        <v>671.0616</v>
      </c>
      <c r="EJ160" s="46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4">
        <v>8.3333333333333332E-3</v>
      </c>
      <c r="EU160" s="1">
        <v>0.23408333333333334</v>
      </c>
      <c r="EV160" s="1">
        <v>2.7777777777777778E-4</v>
      </c>
      <c r="EW160" s="54">
        <v>0.5</v>
      </c>
      <c r="EX160" s="1">
        <v>2.1</v>
      </c>
      <c r="EY160" s="1">
        <v>1.9000000000000001</v>
      </c>
      <c r="EZ160" s="54">
        <v>2.3000000000000003</v>
      </c>
      <c r="FA160" s="1">
        <v>2.1</v>
      </c>
      <c r="FB160" s="1">
        <v>1.9000000000000001</v>
      </c>
      <c r="FC160" s="54">
        <v>2.3000000000000003</v>
      </c>
      <c r="FD160" s="1">
        <v>4</v>
      </c>
      <c r="FE160" s="1">
        <v>3.6</v>
      </c>
      <c r="FF160" s="54">
        <v>4.4000000000000004</v>
      </c>
      <c r="FG160" s="1">
        <v>6.1</v>
      </c>
      <c r="FH160" s="1">
        <v>6.1</v>
      </c>
      <c r="FI160" s="54">
        <v>6.1</v>
      </c>
      <c r="FJ160" s="1">
        <v>4.2</v>
      </c>
      <c r="FK160" s="1">
        <v>3.7</v>
      </c>
      <c r="FL160" s="54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39">
        <v>0.95</v>
      </c>
      <c r="ED161" s="39">
        <v>0.92</v>
      </c>
      <c r="EE161" s="39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6">
        <f>Tabelle58971121[[#This Row],[Durchschnittsauslastung max]]*Tabelle58971121[[#This Row],[installierte Leistung MW max]]</f>
        <v>658.56</v>
      </c>
      <c r="EI161" s="83">
        <f>Tabelle58971121[[#This Row],[Maximalauslastung durch]]*Tabelle58971121[[#This Row],[installierte Leistung MW min]]</f>
        <v>634.7879999999999</v>
      </c>
      <c r="EJ161" s="46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4">
        <v>8.3333333333333332E-3</v>
      </c>
      <c r="EU161" s="1">
        <v>0.23408333333333334</v>
      </c>
      <c r="EV161" s="1">
        <v>2.7777777777777778E-4</v>
      </c>
      <c r="EW161" s="54">
        <v>0.5</v>
      </c>
      <c r="EX161" s="1">
        <v>2.1</v>
      </c>
      <c r="EY161" s="1">
        <v>1.9000000000000001</v>
      </c>
      <c r="EZ161" s="54">
        <v>2.3000000000000003</v>
      </c>
      <c r="FA161" s="1">
        <v>2.1</v>
      </c>
      <c r="FB161" s="1">
        <v>1.9000000000000001</v>
      </c>
      <c r="FC161" s="54">
        <v>2.3000000000000003</v>
      </c>
      <c r="FD161" s="1">
        <v>4</v>
      </c>
      <c r="FE161" s="1">
        <v>3.6</v>
      </c>
      <c r="FF161" s="54">
        <v>4.4000000000000004</v>
      </c>
      <c r="FG161" s="1">
        <v>6.1</v>
      </c>
      <c r="FH161" s="1">
        <v>6.1</v>
      </c>
      <c r="FI161" s="54">
        <v>6.1</v>
      </c>
      <c r="FJ161" s="1">
        <v>4.2</v>
      </c>
      <c r="FK161" s="1">
        <v>3.7</v>
      </c>
      <c r="FL161" s="54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39">
        <v>0.8</v>
      </c>
      <c r="ED162" s="39">
        <v>0.72</v>
      </c>
      <c r="EE162" s="39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6">
        <f>Tabelle58971121[[#This Row],[Durchschnittsauslastung max]]*Tabelle58971121[[#This Row],[installierte Leistung MW max]]</f>
        <v>88</v>
      </c>
      <c r="EI162" s="83">
        <f>Tabelle58971121[[#This Row],[Maximalauslastung durch]]*Tabelle58971121[[#This Row],[installierte Leistung MW min]]</f>
        <v>53.199999999999996</v>
      </c>
      <c r="EJ162" s="46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4">
        <v>0.25</v>
      </c>
      <c r="EU162" s="1">
        <v>0.16666666666666663</v>
      </c>
      <c r="EV162" s="1">
        <v>8.3333333333333329E-2</v>
      </c>
      <c r="EW162" s="54">
        <v>0.25</v>
      </c>
      <c r="EX162" s="1">
        <v>2</v>
      </c>
      <c r="EY162" s="1">
        <v>1.6</v>
      </c>
      <c r="EZ162" s="54">
        <v>2.4</v>
      </c>
      <c r="FA162" s="1">
        <v>2</v>
      </c>
      <c r="FB162" s="1">
        <v>1.6</v>
      </c>
      <c r="FC162" s="54">
        <v>2.4</v>
      </c>
      <c r="FD162" s="1">
        <v>4</v>
      </c>
      <c r="FE162" s="1">
        <v>3.2</v>
      </c>
      <c r="FF162" s="54">
        <v>4.8</v>
      </c>
      <c r="FG162" s="1">
        <v>6</v>
      </c>
      <c r="FH162" s="1">
        <v>6</v>
      </c>
      <c r="FI162" s="54">
        <v>6</v>
      </c>
      <c r="FJ162" s="1">
        <v>4.8</v>
      </c>
      <c r="FK162" s="1">
        <v>3.4</v>
      </c>
      <c r="FL162" s="54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39">
        <v>0.8</v>
      </c>
      <c r="ED163" s="39">
        <v>0.72</v>
      </c>
      <c r="EE163" s="39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6">
        <f>Tabelle58971121[[#This Row],[Durchschnittsauslastung max]]*Tabelle58971121[[#This Row],[installierte Leistung MW max]]</f>
        <v>82.72</v>
      </c>
      <c r="EI163" s="83">
        <f>Tabelle58971121[[#This Row],[Maximalauslastung durch]]*Tabelle58971121[[#This Row],[installierte Leistung MW min]]</f>
        <v>50.007999999999996</v>
      </c>
      <c r="EJ163" s="46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4">
        <v>0.25</v>
      </c>
      <c r="EU163" s="1">
        <v>0.16666666666666663</v>
      </c>
      <c r="EV163" s="1">
        <v>8.3333333333333329E-2</v>
      </c>
      <c r="EW163" s="54">
        <v>0.25</v>
      </c>
      <c r="EX163" s="1">
        <v>2</v>
      </c>
      <c r="EY163" s="1">
        <v>1.6</v>
      </c>
      <c r="EZ163" s="54">
        <v>2.4</v>
      </c>
      <c r="FA163" s="1">
        <v>2</v>
      </c>
      <c r="FB163" s="1">
        <v>1.6</v>
      </c>
      <c r="FC163" s="54">
        <v>2.4</v>
      </c>
      <c r="FD163" s="1">
        <v>4</v>
      </c>
      <c r="FE163" s="1">
        <v>3.2</v>
      </c>
      <c r="FF163" s="54">
        <v>4.8</v>
      </c>
      <c r="FG163" s="1">
        <v>6</v>
      </c>
      <c r="FH163" s="1">
        <v>6</v>
      </c>
      <c r="FI163" s="54">
        <v>6</v>
      </c>
      <c r="FJ163" s="1">
        <v>4.8</v>
      </c>
      <c r="FK163" s="1">
        <v>3.4</v>
      </c>
      <c r="FL163" s="54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39">
        <v>0.8</v>
      </c>
      <c r="ED164" s="39">
        <v>0.72</v>
      </c>
      <c r="EE164" s="39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6">
        <f>Tabelle58971121[[#This Row],[Durchschnittsauslastung max]]*Tabelle58971121[[#This Row],[installierte Leistung MW max]]</f>
        <v>77.44</v>
      </c>
      <c r="EI164" s="83">
        <f>Tabelle58971121[[#This Row],[Maximalauslastung durch]]*Tabelle58971121[[#This Row],[installierte Leistung MW min]]</f>
        <v>46.815999999999995</v>
      </c>
      <c r="EJ164" s="46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4">
        <v>0.25</v>
      </c>
      <c r="EU164" s="1">
        <v>0.16666666666666663</v>
      </c>
      <c r="EV164" s="1">
        <v>8.3333333333333329E-2</v>
      </c>
      <c r="EW164" s="54">
        <v>0.25</v>
      </c>
      <c r="EX164" s="1">
        <v>2</v>
      </c>
      <c r="EY164" s="1">
        <v>1.6</v>
      </c>
      <c r="EZ164" s="54">
        <v>2.4</v>
      </c>
      <c r="FA164" s="1">
        <v>2</v>
      </c>
      <c r="FB164" s="1">
        <v>1.6</v>
      </c>
      <c r="FC164" s="54">
        <v>2.4</v>
      </c>
      <c r="FD164" s="1">
        <v>4</v>
      </c>
      <c r="FE164" s="1">
        <v>3.2</v>
      </c>
      <c r="FF164" s="54">
        <v>4.8</v>
      </c>
      <c r="FG164" s="1">
        <v>6</v>
      </c>
      <c r="FH164" s="1">
        <v>6</v>
      </c>
      <c r="FI164" s="54">
        <v>6</v>
      </c>
      <c r="FJ164" s="1">
        <v>4.8</v>
      </c>
      <c r="FK164" s="1">
        <v>3.4</v>
      </c>
      <c r="FL164" s="54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39">
        <v>0.8</v>
      </c>
      <c r="ED165" s="39">
        <v>0.72</v>
      </c>
      <c r="EE165" s="39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6">
        <f>Tabelle58971121[[#This Row],[Durchschnittsauslastung max]]*Tabelle58971121[[#This Row],[installierte Leistung MW max]]</f>
        <v>72.16</v>
      </c>
      <c r="EI165" s="83">
        <f>Tabelle58971121[[#This Row],[Maximalauslastung durch]]*Tabelle58971121[[#This Row],[installierte Leistung MW min]]</f>
        <v>43.623999999999995</v>
      </c>
      <c r="EJ165" s="46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4">
        <v>0.25</v>
      </c>
      <c r="EU165" s="1">
        <v>0.16666666666666663</v>
      </c>
      <c r="EV165" s="1">
        <v>8.3333333333333329E-2</v>
      </c>
      <c r="EW165" s="54">
        <v>0.25</v>
      </c>
      <c r="EX165" s="1">
        <v>2</v>
      </c>
      <c r="EY165" s="1">
        <v>1.6</v>
      </c>
      <c r="EZ165" s="54">
        <v>2.4</v>
      </c>
      <c r="FA165" s="1">
        <v>2</v>
      </c>
      <c r="FB165" s="1">
        <v>1.6</v>
      </c>
      <c r="FC165" s="54">
        <v>2.4</v>
      </c>
      <c r="FD165" s="1">
        <v>4</v>
      </c>
      <c r="FE165" s="1">
        <v>3.2</v>
      </c>
      <c r="FF165" s="54">
        <v>4.8</v>
      </c>
      <c r="FG165" s="1">
        <v>6</v>
      </c>
      <c r="FH165" s="1">
        <v>6</v>
      </c>
      <c r="FI165" s="54">
        <v>6</v>
      </c>
      <c r="FJ165" s="1">
        <v>4.8</v>
      </c>
      <c r="FK165" s="1">
        <v>3.4</v>
      </c>
      <c r="FL165" s="54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39">
        <v>0.8</v>
      </c>
      <c r="ED166" s="39">
        <v>0.72</v>
      </c>
      <c r="EE166" s="39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6">
        <f>Tabelle58971121[[#This Row],[Durchschnittsauslastung max]]*Tabelle58971121[[#This Row],[installierte Leistung MW max]]</f>
        <v>67.760000000000005</v>
      </c>
      <c r="EI166" s="83">
        <f>Tabelle58971121[[#This Row],[Maximalauslastung durch]]*Tabelle58971121[[#This Row],[installierte Leistung MW min]]</f>
        <v>40.964000000000006</v>
      </c>
      <c r="EJ166" s="46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4">
        <v>0.25</v>
      </c>
      <c r="EU166" s="1">
        <v>0.16666666666666663</v>
      </c>
      <c r="EV166" s="1">
        <v>8.3333333333333329E-2</v>
      </c>
      <c r="EW166" s="54">
        <v>0.25</v>
      </c>
      <c r="EX166" s="1">
        <v>2</v>
      </c>
      <c r="EY166" s="1">
        <v>1.6</v>
      </c>
      <c r="EZ166" s="54">
        <v>2.4</v>
      </c>
      <c r="FA166" s="1">
        <v>2</v>
      </c>
      <c r="FB166" s="1">
        <v>1.6</v>
      </c>
      <c r="FC166" s="54">
        <v>2.4</v>
      </c>
      <c r="FD166" s="1">
        <v>4</v>
      </c>
      <c r="FE166" s="1">
        <v>3.2</v>
      </c>
      <c r="FF166" s="54">
        <v>4.8</v>
      </c>
      <c r="FG166" s="1">
        <v>6</v>
      </c>
      <c r="FH166" s="1">
        <v>6</v>
      </c>
      <c r="FI166" s="54">
        <v>6</v>
      </c>
      <c r="FJ166" s="1">
        <v>4.8</v>
      </c>
      <c r="FK166" s="1">
        <v>3.4</v>
      </c>
      <c r="FL166" s="54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39">
        <v>0.8</v>
      </c>
      <c r="ED167" s="39">
        <v>0.72</v>
      </c>
      <c r="EE167" s="39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6">
        <f>Tabelle58971121[[#This Row],[Durchschnittsauslastung max]]*Tabelle58971121[[#This Row],[installierte Leistung MW max]]</f>
        <v>64.239999999999995</v>
      </c>
      <c r="EI167" s="83">
        <f>Tabelle58971121[[#This Row],[Maximalauslastung durch]]*Tabelle58971121[[#This Row],[installierte Leistung MW min]]</f>
        <v>38.835999999999991</v>
      </c>
      <c r="EJ167" s="46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4">
        <v>0.25</v>
      </c>
      <c r="EU167" s="1">
        <v>0.16666666666666663</v>
      </c>
      <c r="EV167" s="1">
        <v>8.3333333333333329E-2</v>
      </c>
      <c r="EW167" s="54">
        <v>0.25</v>
      </c>
      <c r="EX167" s="1">
        <v>2</v>
      </c>
      <c r="EY167" s="1">
        <v>1.6</v>
      </c>
      <c r="EZ167" s="54">
        <v>2.4</v>
      </c>
      <c r="FA167" s="1">
        <v>2</v>
      </c>
      <c r="FB167" s="1">
        <v>1.6</v>
      </c>
      <c r="FC167" s="54">
        <v>2.4</v>
      </c>
      <c r="FD167" s="1">
        <v>4</v>
      </c>
      <c r="FE167" s="1">
        <v>3.2</v>
      </c>
      <c r="FF167" s="54">
        <v>4.8</v>
      </c>
      <c r="FG167" s="1">
        <v>6</v>
      </c>
      <c r="FH167" s="1">
        <v>6</v>
      </c>
      <c r="FI167" s="54">
        <v>6</v>
      </c>
      <c r="FJ167" s="1">
        <v>4.8</v>
      </c>
      <c r="FK167" s="1">
        <v>3.4</v>
      </c>
      <c r="FL167" s="54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39">
        <v>0.8</v>
      </c>
      <c r="ED168" s="39">
        <v>0.72</v>
      </c>
      <c r="EE168" s="39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6">
        <f>Tabelle58971121[[#This Row],[Durchschnittsauslastung max]]*Tabelle58971121[[#This Row],[installierte Leistung MW max]]</f>
        <v>59.84</v>
      </c>
      <c r="EI168" s="83">
        <f>Tabelle58971121[[#This Row],[Maximalauslastung durch]]*Tabelle58971121[[#This Row],[installierte Leistung MW min]]</f>
        <v>36.176000000000002</v>
      </c>
      <c r="EJ168" s="46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4">
        <v>0.25</v>
      </c>
      <c r="EU168" s="1">
        <v>0.16666666666666663</v>
      </c>
      <c r="EV168" s="1">
        <v>8.3333333333333329E-2</v>
      </c>
      <c r="EW168" s="54">
        <v>0.25</v>
      </c>
      <c r="EX168" s="1">
        <v>2</v>
      </c>
      <c r="EY168" s="1">
        <v>1.6</v>
      </c>
      <c r="EZ168" s="54">
        <v>2.4</v>
      </c>
      <c r="FA168" s="1">
        <v>2</v>
      </c>
      <c r="FB168" s="1">
        <v>1.6</v>
      </c>
      <c r="FC168" s="54">
        <v>2.4</v>
      </c>
      <c r="FD168" s="1">
        <v>4</v>
      </c>
      <c r="FE168" s="1">
        <v>3.2</v>
      </c>
      <c r="FF168" s="54">
        <v>4.8</v>
      </c>
      <c r="FG168" s="1">
        <v>6</v>
      </c>
      <c r="FH168" s="1">
        <v>6</v>
      </c>
      <c r="FI168" s="54">
        <v>6</v>
      </c>
      <c r="FJ168" s="1">
        <v>4.8</v>
      </c>
      <c r="FK168" s="1">
        <v>3.4</v>
      </c>
      <c r="FL168" s="54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39">
        <v>0.8</v>
      </c>
      <c r="ED169" s="39">
        <v>0.72</v>
      </c>
      <c r="EE169" s="39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6">
        <f>Tabelle58971121[[#This Row],[Durchschnittsauslastung max]]*Tabelle58971121[[#This Row],[installierte Leistung MW max]]</f>
        <v>56.32</v>
      </c>
      <c r="EI169" s="83">
        <f>Tabelle58971121[[#This Row],[Maximalauslastung durch]]*Tabelle58971121[[#This Row],[installierte Leistung MW min]]</f>
        <v>34.048000000000002</v>
      </c>
      <c r="EJ169" s="46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4">
        <v>0.25</v>
      </c>
      <c r="EU169" s="1">
        <v>0.16666666666666663</v>
      </c>
      <c r="EV169" s="1">
        <v>8.3333333333333329E-2</v>
      </c>
      <c r="EW169" s="54">
        <v>0.25</v>
      </c>
      <c r="EX169" s="1">
        <v>2</v>
      </c>
      <c r="EY169" s="1">
        <v>1.6</v>
      </c>
      <c r="EZ169" s="54">
        <v>2.4</v>
      </c>
      <c r="FA169" s="1">
        <v>2</v>
      </c>
      <c r="FB169" s="1">
        <v>1.6</v>
      </c>
      <c r="FC169" s="54">
        <v>2.4</v>
      </c>
      <c r="FD169" s="1">
        <v>4</v>
      </c>
      <c r="FE169" s="1">
        <v>3.2</v>
      </c>
      <c r="FF169" s="54">
        <v>4.8</v>
      </c>
      <c r="FG169" s="1">
        <v>6</v>
      </c>
      <c r="FH169" s="1">
        <v>6</v>
      </c>
      <c r="FI169" s="54">
        <v>6</v>
      </c>
      <c r="FJ169" s="1">
        <v>4.8</v>
      </c>
      <c r="FK169" s="1">
        <v>3.4</v>
      </c>
      <c r="FL169" s="54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39">
        <v>0.86</v>
      </c>
      <c r="ED170" s="39">
        <v>0.83</v>
      </c>
      <c r="EE170" s="39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6">
        <f>Tabelle58971121[[#This Row],[Durchschnittsauslastung max]]*Tabelle58971121[[#This Row],[installierte Leistung MW max]]</f>
        <v>1755.08</v>
      </c>
      <c r="EI170" s="83">
        <f>Tabelle58971121[[#This Row],[Maximalauslastung durch]]*Tabelle58971121[[#This Row],[installierte Leistung MW min]]</f>
        <v>1373.7</v>
      </c>
      <c r="EJ170" s="46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4">
        <v>1</v>
      </c>
      <c r="EU170" s="1">
        <v>7.3143749999999993E-2</v>
      </c>
      <c r="EV170" s="1">
        <v>0</v>
      </c>
      <c r="EW170" s="54">
        <v>0.25</v>
      </c>
      <c r="EX170" s="1">
        <v>7</v>
      </c>
      <c r="EY170" s="1">
        <v>4.8</v>
      </c>
      <c r="EZ170" s="54">
        <v>8.8000000000000007</v>
      </c>
      <c r="FA170" s="1">
        <v>7</v>
      </c>
      <c r="FB170" s="1">
        <v>4.8</v>
      </c>
      <c r="FC170" s="54">
        <v>8.8000000000000007</v>
      </c>
      <c r="FD170" s="1">
        <v>3.45</v>
      </c>
      <c r="FE170" s="1">
        <v>2.4</v>
      </c>
      <c r="FF170" s="54">
        <v>4.3</v>
      </c>
      <c r="FG170" s="1">
        <v>10.4</v>
      </c>
      <c r="FH170" s="1">
        <v>10.4</v>
      </c>
      <c r="FI170" s="54">
        <v>10.4</v>
      </c>
      <c r="FJ170" s="1">
        <v>4.05</v>
      </c>
      <c r="FK170" s="1">
        <v>2.4</v>
      </c>
      <c r="FL170" s="54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39">
        <v>0.86</v>
      </c>
      <c r="ED171" s="39">
        <v>0.83</v>
      </c>
      <c r="EE171" s="39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6">
        <f>Tabelle58971121[[#This Row],[Durchschnittsauslastung max]]*Tabelle58971121[[#This Row],[installierte Leistung MW max]]</f>
        <v>1712.1826033898305</v>
      </c>
      <c r="EI171" s="83">
        <f>Tabelle58971121[[#This Row],[Maximalauslastung durch]]*Tabelle58971121[[#This Row],[installierte Leistung MW min]]</f>
        <v>1340.1242349503211</v>
      </c>
      <c r="EJ171" s="46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4">
        <v>1</v>
      </c>
      <c r="EU171" s="1">
        <v>8.9386535304760414E-2</v>
      </c>
      <c r="EV171" s="1">
        <v>0</v>
      </c>
      <c r="EW171" s="54">
        <v>0.25</v>
      </c>
      <c r="EX171" s="1">
        <v>7.7072814196192141</v>
      </c>
      <c r="EY171" s="1">
        <v>4.8</v>
      </c>
      <c r="EZ171" s="54">
        <v>8.8000000000000007</v>
      </c>
      <c r="FA171" s="1">
        <v>7.7072814196192141</v>
      </c>
      <c r="FB171" s="1">
        <v>4.8</v>
      </c>
      <c r="FC171" s="54">
        <v>8.8000000000000007</v>
      </c>
      <c r="FD171" s="1">
        <v>3.7682766388286462</v>
      </c>
      <c r="FE171" s="1">
        <v>2.4</v>
      </c>
      <c r="FF171" s="54">
        <v>4.3</v>
      </c>
      <c r="FG171" s="1">
        <v>11.460922129428823</v>
      </c>
      <c r="FH171" s="1">
        <v>4.4830641602682899</v>
      </c>
      <c r="FI171" s="54">
        <v>4.4571409002180333</v>
      </c>
      <c r="FJ171" s="1">
        <v>4.4694592554427919</v>
      </c>
      <c r="FK171" s="1">
        <v>2.4</v>
      </c>
      <c r="FL171" s="54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39">
        <v>0.85999999999999988</v>
      </c>
      <c r="ED172" s="39">
        <v>0.83</v>
      </c>
      <c r="EE172" s="39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6">
        <f>Tabelle58971121[[#This Row],[Durchschnittsauslastung max]]*Tabelle58971121[[#This Row],[installierte Leistung MW max]]</f>
        <v>1661.3150305084746</v>
      </c>
      <c r="EI172" s="83">
        <f>Tabelle58971121[[#This Row],[Maximalauslastung durch]]*Tabelle58971121[[#This Row],[installierte Leistung MW min]]</f>
        <v>1300.310218001169</v>
      </c>
      <c r="EJ172" s="46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4">
        <v>1</v>
      </c>
      <c r="EU172" s="1">
        <v>8.9392817112149775E-2</v>
      </c>
      <c r="EV172" s="1">
        <v>0</v>
      </c>
      <c r="EW172" s="54">
        <v>0.25</v>
      </c>
      <c r="EX172" s="1">
        <v>7.7072468958193134</v>
      </c>
      <c r="EY172" s="1">
        <v>4.8</v>
      </c>
      <c r="EZ172" s="54">
        <v>8.8000000000000007</v>
      </c>
      <c r="FA172" s="1">
        <v>7.7072468958193134</v>
      </c>
      <c r="FB172" s="1">
        <v>4.8</v>
      </c>
      <c r="FC172" s="54">
        <v>8.8000000000000007</v>
      </c>
      <c r="FD172" s="1">
        <v>3.7682611031186908</v>
      </c>
      <c r="FE172" s="1">
        <v>2.4</v>
      </c>
      <c r="FF172" s="54">
        <v>4.3</v>
      </c>
      <c r="FG172" s="1">
        <v>11.460870343728969</v>
      </c>
      <c r="FH172" s="1">
        <v>4.4830051389331036</v>
      </c>
      <c r="FI172" s="54">
        <v>4.4570746198417606</v>
      </c>
      <c r="FJ172" s="1">
        <v>4.4693965756765603</v>
      </c>
      <c r="FK172" s="1">
        <v>2.4</v>
      </c>
      <c r="FL172" s="54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39">
        <v>0.86</v>
      </c>
      <c r="ED173" s="39">
        <v>0.83</v>
      </c>
      <c r="EE173" s="39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6">
        <f>Tabelle58971121[[#This Row],[Durchschnittsauslastung max]]*Tabelle58971121[[#This Row],[installierte Leistung MW max]]</f>
        <v>1592.8966576271187</v>
      </c>
      <c r="EI173" s="83">
        <f>Tabelle58971121[[#This Row],[Maximalauslastung durch]]*Tabelle58971121[[#This Row],[installierte Leistung MW min]]</f>
        <v>1246.7592010520164</v>
      </c>
      <c r="EJ173" s="46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4">
        <v>1</v>
      </c>
      <c r="EU173" s="1">
        <v>8.9399301481610266E-2</v>
      </c>
      <c r="EV173" s="1">
        <v>0</v>
      </c>
      <c r="EW173" s="54">
        <v>0.25</v>
      </c>
      <c r="EX173" s="1">
        <v>7.7078350688071913</v>
      </c>
      <c r="EY173" s="1">
        <v>4.8</v>
      </c>
      <c r="EZ173" s="54">
        <v>8.8000000000000007</v>
      </c>
      <c r="FA173" s="1">
        <v>7.7078350688071913</v>
      </c>
      <c r="FB173" s="1">
        <v>4.8</v>
      </c>
      <c r="FC173" s="54">
        <v>8.8000000000000007</v>
      </c>
      <c r="FD173" s="1">
        <v>3.7685257809632366</v>
      </c>
      <c r="FE173" s="1">
        <v>2.4</v>
      </c>
      <c r="FF173" s="54">
        <v>4.3</v>
      </c>
      <c r="FG173" s="1">
        <v>11.461752603210787</v>
      </c>
      <c r="FH173" s="1">
        <v>4.4832923416739501</v>
      </c>
      <c r="FI173" s="54">
        <v>4.4574033511875175</v>
      </c>
      <c r="FJ173" s="1">
        <v>4.4697061607712065</v>
      </c>
      <c r="FK173" s="1">
        <v>2.4</v>
      </c>
      <c r="FL173" s="54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39">
        <v>0.86</v>
      </c>
      <c r="ED174" s="39">
        <v>0.83</v>
      </c>
      <c r="EE174" s="39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6">
        <f>Tabelle58971121[[#This Row],[Durchschnittsauslastung max]]*Tabelle58971121[[#This Row],[installierte Leistung MW max]]</f>
        <v>1524.4782847457625</v>
      </c>
      <c r="EI174" s="83">
        <f>Tabelle58971121[[#This Row],[Maximalauslastung durch]]*Tabelle58971121[[#This Row],[installierte Leistung MW min]]</f>
        <v>1193.2081841028635</v>
      </c>
      <c r="EJ174" s="46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4">
        <v>1</v>
      </c>
      <c r="EU174" s="1">
        <v>8.9406367886265464E-2</v>
      </c>
      <c r="EV174" s="1">
        <v>0</v>
      </c>
      <c r="EW174" s="54">
        <v>0.25</v>
      </c>
      <c r="EX174" s="1">
        <v>7.7084760360384603</v>
      </c>
      <c r="EY174" s="1">
        <v>4.8</v>
      </c>
      <c r="EZ174" s="54">
        <v>8.8000000000000007</v>
      </c>
      <c r="FA174" s="1">
        <v>7.7084760360384603</v>
      </c>
      <c r="FB174" s="1">
        <v>4.8</v>
      </c>
      <c r="FC174" s="54">
        <v>8.8000000000000007</v>
      </c>
      <c r="FD174" s="1">
        <v>3.7688142162173071</v>
      </c>
      <c r="FE174" s="1">
        <v>2.4</v>
      </c>
      <c r="FF174" s="54">
        <v>4.3</v>
      </c>
      <c r="FG174" s="1">
        <v>11.46271405405769</v>
      </c>
      <c r="FH174" s="1">
        <v>4.4836052924061471</v>
      </c>
      <c r="FI174" s="54">
        <v>4.4577616217567755</v>
      </c>
      <c r="FJ174" s="1">
        <v>4.4700435341376261</v>
      </c>
      <c r="FK174" s="1">
        <v>2.4</v>
      </c>
      <c r="FL174" s="54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39">
        <v>0.85999999999999988</v>
      </c>
      <c r="ED175" s="39">
        <v>0.82999999999999985</v>
      </c>
      <c r="EE175" s="39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6">
        <f>Tabelle58971121[[#This Row],[Durchschnittsauslastung max]]*Tabelle58971121[[#This Row],[installierte Leistung MW max]]</f>
        <v>1456.0599118644066</v>
      </c>
      <c r="EI175" s="83">
        <f>Tabelle58971121[[#This Row],[Maximalauslastung durch]]*Tabelle58971121[[#This Row],[installierte Leistung MW min]]</f>
        <v>1139.6571671537113</v>
      </c>
      <c r="EJ175" s="46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4">
        <v>1</v>
      </c>
      <c r="EU175" s="1">
        <v>8.9414098373359438E-2</v>
      </c>
      <c r="EV175" s="1">
        <v>0</v>
      </c>
      <c r="EW175" s="54">
        <v>0.25</v>
      </c>
      <c r="EX175" s="1">
        <v>7.7091772397128544</v>
      </c>
      <c r="EY175" s="1">
        <v>4.8</v>
      </c>
      <c r="EZ175" s="54">
        <v>8.8000000000000007</v>
      </c>
      <c r="FA175" s="1">
        <v>7.7091772397128544</v>
      </c>
      <c r="FB175" s="1">
        <v>4.8</v>
      </c>
      <c r="FC175" s="54">
        <v>8.8000000000000007</v>
      </c>
      <c r="FD175" s="1">
        <v>3.7691297578707843</v>
      </c>
      <c r="FE175" s="1">
        <v>2.4</v>
      </c>
      <c r="FF175" s="54">
        <v>4.3</v>
      </c>
      <c r="FG175" s="1">
        <v>11.46376585956928</v>
      </c>
      <c r="FH175" s="1">
        <v>4.4839476161183454</v>
      </c>
      <c r="FI175" s="54">
        <v>4.4581536003651712</v>
      </c>
      <c r="FJ175" s="1">
        <v>4.4704126129807182</v>
      </c>
      <c r="FK175" s="1">
        <v>2.4</v>
      </c>
      <c r="FL175" s="54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39">
        <v>0.86</v>
      </c>
      <c r="ED176" s="39">
        <v>0.83</v>
      </c>
      <c r="EE176" s="39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6">
        <f>Tabelle58971121[[#This Row],[Durchschnittsauslastung max]]*Tabelle58971121[[#This Row],[installierte Leistung MW max]]</f>
        <v>1394.6474983050848</v>
      </c>
      <c r="EI176" s="83">
        <f>Tabelle58971121[[#This Row],[Maximalauslastung durch]]*Tabelle58971121[[#This Row],[installierte Leistung MW min]]</f>
        <v>1091.5897101110463</v>
      </c>
      <c r="EJ176" s="46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4">
        <v>1</v>
      </c>
      <c r="EU176" s="1">
        <v>8.9371761922040299E-2</v>
      </c>
      <c r="EV176" s="1">
        <v>0</v>
      </c>
      <c r="EW176" s="54">
        <v>0.25</v>
      </c>
      <c r="EX176" s="1">
        <v>7.7070063694267521</v>
      </c>
      <c r="EY176" s="1">
        <v>4.8</v>
      </c>
      <c r="EZ176" s="54">
        <v>8.8000000000000007</v>
      </c>
      <c r="FA176" s="1">
        <v>7.7070063694267521</v>
      </c>
      <c r="FB176" s="1">
        <v>4.8</v>
      </c>
      <c r="FC176" s="54">
        <v>8.8000000000000007</v>
      </c>
      <c r="FD176" s="1">
        <v>3.7681528662420374</v>
      </c>
      <c r="FE176" s="1">
        <v>2.4</v>
      </c>
      <c r="FF176" s="54">
        <v>4.3</v>
      </c>
      <c r="FG176" s="1">
        <v>11.460509554140128</v>
      </c>
      <c r="FH176" s="1">
        <v>4.4830041483499468</v>
      </c>
      <c r="FI176" s="54">
        <v>4.4570699851453242</v>
      </c>
      <c r="FJ176" s="1">
        <v>4.4693929186096115</v>
      </c>
      <c r="FK176" s="1">
        <v>2.4</v>
      </c>
      <c r="FL176" s="54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39">
        <v>0.86</v>
      </c>
      <c r="ED177" s="39">
        <v>0.83</v>
      </c>
      <c r="EE177" s="39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6">
        <f>Tabelle58971121[[#This Row],[Durchschnittsauslastung max]]*Tabelle58971121[[#This Row],[installierte Leistung MW max]]</f>
        <v>1338.5587932203391</v>
      </c>
      <c r="EI177" s="83">
        <f>Tabelle58971121[[#This Row],[Maximalauslastung durch]]*Tabelle58971121[[#This Row],[installierte Leistung MW min]]</f>
        <v>1047.6891163062539</v>
      </c>
      <c r="EJ177" s="46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4">
        <v>1</v>
      </c>
      <c r="EU177" s="1">
        <v>8.9440709619684519E-2</v>
      </c>
      <c r="EV177" s="1">
        <v>0</v>
      </c>
      <c r="EW177" s="54">
        <v>0.25</v>
      </c>
      <c r="EX177" s="1">
        <v>7.7077260257176583</v>
      </c>
      <c r="EY177" s="1">
        <v>4.8</v>
      </c>
      <c r="EZ177" s="54">
        <v>8.8000000000000007</v>
      </c>
      <c r="FA177" s="1">
        <v>7.7077260257176583</v>
      </c>
      <c r="FB177" s="1">
        <v>4.8</v>
      </c>
      <c r="FC177" s="54">
        <v>8.8000000000000007</v>
      </c>
      <c r="FD177" s="1">
        <v>3.7684767115729461</v>
      </c>
      <c r="FE177" s="1">
        <v>2.4</v>
      </c>
      <c r="FF177" s="54">
        <v>4.3</v>
      </c>
      <c r="FG177" s="1">
        <v>11.461589038576488</v>
      </c>
      <c r="FH177" s="1">
        <v>4.4829694604792154</v>
      </c>
      <c r="FI177" s="54">
        <v>4.4570418832875749</v>
      </c>
      <c r="FJ177" s="1">
        <v>4.4693641086946529</v>
      </c>
      <c r="FK177" s="1">
        <v>2.4</v>
      </c>
      <c r="FL177" s="54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39">
        <v>0.52</v>
      </c>
      <c r="ED178" s="39">
        <v>0.49</v>
      </c>
      <c r="EE178" s="39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6">
        <f>Tabelle58971121[[#This Row],[Durchschnittsauslastung max]]*Tabelle58971121[[#This Row],[installierte Leistung MW max]]</f>
        <v>1166</v>
      </c>
      <c r="EI178" s="83">
        <f>Tabelle58971121[[#This Row],[Maximalauslastung durch]]*Tabelle58971121[[#This Row],[installierte Leistung MW min]]</f>
        <v>1229.5999999999999</v>
      </c>
      <c r="EJ178" s="46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4">
        <v>3</v>
      </c>
      <c r="EU178" s="1">
        <v>1.3888888888888889E-4</v>
      </c>
      <c r="EV178" s="1">
        <v>0</v>
      </c>
      <c r="EW178" s="54">
        <v>2.7777777777777778E-4</v>
      </c>
      <c r="EX178" s="1">
        <v>3.7</v>
      </c>
      <c r="EY178" s="1">
        <v>3.3000000000000003</v>
      </c>
      <c r="EZ178" s="54">
        <v>4.1000000000000005</v>
      </c>
      <c r="FA178" s="1">
        <v>3.7</v>
      </c>
      <c r="FB178" s="1">
        <v>3.3000000000000003</v>
      </c>
      <c r="FC178" s="54">
        <v>4.1000000000000005</v>
      </c>
      <c r="FD178" s="1">
        <v>1</v>
      </c>
      <c r="FE178" s="1">
        <v>0.9</v>
      </c>
      <c r="FF178" s="54">
        <v>1.1000000000000001</v>
      </c>
      <c r="FG178" s="1">
        <v>4.7</v>
      </c>
      <c r="FH178" s="1">
        <v>4.7</v>
      </c>
      <c r="FI178" s="54">
        <v>4.7</v>
      </c>
      <c r="FJ178" s="1">
        <v>1.1000000000000001</v>
      </c>
      <c r="FK178" s="1">
        <v>0.90000000000000013</v>
      </c>
      <c r="FL178" s="54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39">
        <v>0.52</v>
      </c>
      <c r="ED179" s="39">
        <v>0.49</v>
      </c>
      <c r="EE179" s="39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6">
        <f>Tabelle58971121[[#This Row],[Durchschnittsauslastung max]]*Tabelle58971121[[#This Row],[installierte Leistung MW max]]</f>
        <v>1166</v>
      </c>
      <c r="EI179" s="83">
        <f>Tabelle58971121[[#This Row],[Maximalauslastung durch]]*Tabelle58971121[[#This Row],[installierte Leistung MW min]]</f>
        <v>1229.5999999999999</v>
      </c>
      <c r="EJ179" s="46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4">
        <v>3</v>
      </c>
      <c r="EU179" s="1">
        <v>1.3888888888888889E-4</v>
      </c>
      <c r="EV179" s="1">
        <v>0</v>
      </c>
      <c r="EW179" s="54">
        <v>2.7777777777777778E-4</v>
      </c>
      <c r="EX179" s="1">
        <v>3.7</v>
      </c>
      <c r="EY179" s="1">
        <v>3.3000000000000003</v>
      </c>
      <c r="EZ179" s="54">
        <v>4.1000000000000005</v>
      </c>
      <c r="FA179" s="1">
        <v>3.7</v>
      </c>
      <c r="FB179" s="1">
        <v>3.3000000000000003</v>
      </c>
      <c r="FC179" s="54">
        <v>4.1000000000000005</v>
      </c>
      <c r="FD179" s="1">
        <v>1</v>
      </c>
      <c r="FE179" s="1">
        <v>0.9</v>
      </c>
      <c r="FF179" s="54">
        <v>1.1000000000000001</v>
      </c>
      <c r="FG179" s="1">
        <v>4.7</v>
      </c>
      <c r="FH179" s="1">
        <v>4.7</v>
      </c>
      <c r="FI179" s="54">
        <v>4.7</v>
      </c>
      <c r="FJ179" s="1">
        <v>1.1000000000000001</v>
      </c>
      <c r="FK179" s="1">
        <v>0.90000000000000013</v>
      </c>
      <c r="FL179" s="54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39">
        <v>0.52</v>
      </c>
      <c r="ED180" s="39">
        <v>0.49</v>
      </c>
      <c r="EE180" s="39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6">
        <f>Tabelle58971121[[#This Row],[Durchschnittsauslastung max]]*Tabelle58971121[[#This Row],[installierte Leistung MW max]]</f>
        <v>1166</v>
      </c>
      <c r="EI180" s="83">
        <f>Tabelle58971121[[#This Row],[Maximalauslastung durch]]*Tabelle58971121[[#This Row],[installierte Leistung MW min]]</f>
        <v>1229.5999999999999</v>
      </c>
      <c r="EJ180" s="46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4">
        <v>3</v>
      </c>
      <c r="EU180" s="1">
        <v>1.3888888888888889E-4</v>
      </c>
      <c r="EV180" s="1">
        <v>0</v>
      </c>
      <c r="EW180" s="54">
        <v>2.7777777777777778E-4</v>
      </c>
      <c r="EX180" s="1">
        <v>3.7</v>
      </c>
      <c r="EY180" s="1">
        <v>3.3000000000000003</v>
      </c>
      <c r="EZ180" s="54">
        <v>4.1000000000000005</v>
      </c>
      <c r="FA180" s="1">
        <v>3.7</v>
      </c>
      <c r="FB180" s="1">
        <v>3.3000000000000003</v>
      </c>
      <c r="FC180" s="54">
        <v>4.1000000000000005</v>
      </c>
      <c r="FD180" s="1">
        <v>1</v>
      </c>
      <c r="FE180" s="1">
        <v>0.9</v>
      </c>
      <c r="FF180" s="54">
        <v>1.1000000000000001</v>
      </c>
      <c r="FG180" s="1">
        <v>4.7</v>
      </c>
      <c r="FH180" s="1">
        <v>4.7</v>
      </c>
      <c r="FI180" s="54">
        <v>4.7</v>
      </c>
      <c r="FJ180" s="1">
        <v>1.1000000000000001</v>
      </c>
      <c r="FK180" s="1">
        <v>0.90000000000000013</v>
      </c>
      <c r="FL180" s="54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39">
        <v>0.52</v>
      </c>
      <c r="ED181" s="39">
        <v>0.49</v>
      </c>
      <c r="EE181" s="39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6">
        <f>Tabelle58971121[[#This Row],[Durchschnittsauslastung max]]*Tabelle58971121[[#This Row],[installierte Leistung MW max]]</f>
        <v>1294.2600000000002</v>
      </c>
      <c r="EI181" s="83">
        <f>Tabelle58971121[[#This Row],[Maximalauslastung durch]]*Tabelle58971121[[#This Row],[installierte Leistung MW min]]</f>
        <v>1364.856</v>
      </c>
      <c r="EJ181" s="46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4">
        <v>3</v>
      </c>
      <c r="EU181" s="1">
        <v>1.3888888888888889E-4</v>
      </c>
      <c r="EV181" s="1">
        <v>0</v>
      </c>
      <c r="EW181" s="54">
        <v>2.7777777777777778E-4</v>
      </c>
      <c r="EX181" s="1">
        <v>3.7</v>
      </c>
      <c r="EY181" s="1">
        <v>3.3000000000000003</v>
      </c>
      <c r="EZ181" s="54">
        <v>4.1000000000000005</v>
      </c>
      <c r="FA181" s="1">
        <v>3.7</v>
      </c>
      <c r="FB181" s="1">
        <v>3.3000000000000003</v>
      </c>
      <c r="FC181" s="54">
        <v>4.1000000000000005</v>
      </c>
      <c r="FD181" s="1">
        <v>1</v>
      </c>
      <c r="FE181" s="1">
        <v>0.9</v>
      </c>
      <c r="FF181" s="54">
        <v>1.1000000000000001</v>
      </c>
      <c r="FG181" s="1">
        <v>4.7</v>
      </c>
      <c r="FH181" s="1">
        <v>4.7</v>
      </c>
      <c r="FI181" s="54">
        <v>4.7</v>
      </c>
      <c r="FJ181" s="1">
        <v>1.1000000000000001</v>
      </c>
      <c r="FK181" s="1">
        <v>0.90000000000000013</v>
      </c>
      <c r="FL181" s="54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39">
        <v>0.52</v>
      </c>
      <c r="ED182" s="39">
        <v>0.49</v>
      </c>
      <c r="EE182" s="39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6">
        <f>Tabelle58971121[[#This Row],[Durchschnittsauslastung max]]*Tabelle58971121[[#This Row],[installierte Leistung MW max]]</f>
        <v>1399.2</v>
      </c>
      <c r="EI182" s="83">
        <f>Tabelle58971121[[#This Row],[Maximalauslastung durch]]*Tabelle58971121[[#This Row],[installierte Leistung MW min]]</f>
        <v>1475.52</v>
      </c>
      <c r="EJ182" s="46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4">
        <v>3</v>
      </c>
      <c r="EU182" s="1">
        <v>1.3888888888888889E-4</v>
      </c>
      <c r="EV182" s="1">
        <v>0</v>
      </c>
      <c r="EW182" s="54">
        <v>2.7777777777777778E-4</v>
      </c>
      <c r="EX182" s="1">
        <v>3.7</v>
      </c>
      <c r="EY182" s="1">
        <v>3.3000000000000003</v>
      </c>
      <c r="EZ182" s="54">
        <v>4.1000000000000005</v>
      </c>
      <c r="FA182" s="1">
        <v>3.7</v>
      </c>
      <c r="FB182" s="1">
        <v>3.3000000000000003</v>
      </c>
      <c r="FC182" s="54">
        <v>4.1000000000000005</v>
      </c>
      <c r="FD182" s="1">
        <v>1</v>
      </c>
      <c r="FE182" s="1">
        <v>0.9</v>
      </c>
      <c r="FF182" s="54">
        <v>1.1000000000000001</v>
      </c>
      <c r="FG182" s="1">
        <v>4.7</v>
      </c>
      <c r="FH182" s="1">
        <v>4.7</v>
      </c>
      <c r="FI182" s="54">
        <v>4.7</v>
      </c>
      <c r="FJ182" s="1">
        <v>1.1000000000000001</v>
      </c>
      <c r="FK182" s="1">
        <v>0.90000000000000013</v>
      </c>
      <c r="FL182" s="54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39">
        <v>0.52</v>
      </c>
      <c r="ED183" s="39">
        <v>0.49</v>
      </c>
      <c r="EE183" s="39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6">
        <f>Tabelle58971121[[#This Row],[Durchschnittsauslastung max]]*Tabelle58971121[[#This Row],[installierte Leistung MW max]]</f>
        <v>1504.1400000000003</v>
      </c>
      <c r="EI183" s="83">
        <f>Tabelle58971121[[#This Row],[Maximalauslastung durch]]*Tabelle58971121[[#This Row],[installierte Leistung MW min]]</f>
        <v>1586.184</v>
      </c>
      <c r="EJ183" s="46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4">
        <v>3</v>
      </c>
      <c r="EU183" s="1">
        <v>1.3888888888888889E-4</v>
      </c>
      <c r="EV183" s="1">
        <v>0</v>
      </c>
      <c r="EW183" s="54">
        <v>2.7777777777777778E-4</v>
      </c>
      <c r="EX183" s="1">
        <v>3.7</v>
      </c>
      <c r="EY183" s="1">
        <v>3.3000000000000003</v>
      </c>
      <c r="EZ183" s="54">
        <v>4.1000000000000005</v>
      </c>
      <c r="FA183" s="1">
        <v>3.7</v>
      </c>
      <c r="FB183" s="1">
        <v>3.3000000000000003</v>
      </c>
      <c r="FC183" s="54">
        <v>4.1000000000000005</v>
      </c>
      <c r="FD183" s="1">
        <v>1</v>
      </c>
      <c r="FE183" s="1">
        <v>0.9</v>
      </c>
      <c r="FF183" s="54">
        <v>1.1000000000000001</v>
      </c>
      <c r="FG183" s="1">
        <v>4.7</v>
      </c>
      <c r="FH183" s="1">
        <v>4.7</v>
      </c>
      <c r="FI183" s="54">
        <v>4.7</v>
      </c>
      <c r="FJ183" s="1">
        <v>1.1000000000000001</v>
      </c>
      <c r="FK183" s="1">
        <v>0.90000000000000013</v>
      </c>
      <c r="FL183" s="54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39">
        <v>0.52</v>
      </c>
      <c r="ED184" s="39">
        <v>0.49</v>
      </c>
      <c r="EE184" s="39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6">
        <f>Tabelle58971121[[#This Row],[Durchschnittsauslastung max]]*Tabelle58971121[[#This Row],[installierte Leistung MW max]]</f>
        <v>1632.4</v>
      </c>
      <c r="EI184" s="83">
        <f>Tabelle58971121[[#This Row],[Maximalauslastung durch]]*Tabelle58971121[[#This Row],[installierte Leistung MW min]]</f>
        <v>1721.4399999999998</v>
      </c>
      <c r="EJ184" s="46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4">
        <v>3</v>
      </c>
      <c r="EU184" s="1">
        <v>1.3888888888888889E-4</v>
      </c>
      <c r="EV184" s="1">
        <v>0</v>
      </c>
      <c r="EW184" s="54">
        <v>2.7777777777777778E-4</v>
      </c>
      <c r="EX184" s="1">
        <v>3.7</v>
      </c>
      <c r="EY184" s="1">
        <v>3.3000000000000003</v>
      </c>
      <c r="EZ184" s="54">
        <v>4.1000000000000005</v>
      </c>
      <c r="FA184" s="1">
        <v>3.7</v>
      </c>
      <c r="FB184" s="1">
        <v>3.3000000000000003</v>
      </c>
      <c r="FC184" s="54">
        <v>4.1000000000000005</v>
      </c>
      <c r="FD184" s="1">
        <v>1</v>
      </c>
      <c r="FE184" s="1">
        <v>0.9</v>
      </c>
      <c r="FF184" s="54">
        <v>1.1000000000000001</v>
      </c>
      <c r="FG184" s="1">
        <v>4.7</v>
      </c>
      <c r="FH184" s="1">
        <v>4.7</v>
      </c>
      <c r="FI184" s="54">
        <v>4.7</v>
      </c>
      <c r="FJ184" s="1">
        <v>1.1000000000000001</v>
      </c>
      <c r="FK184" s="1">
        <v>0.90000000000000013</v>
      </c>
      <c r="FL184" s="54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39">
        <v>0.52</v>
      </c>
      <c r="ED185" s="39">
        <v>0.49</v>
      </c>
      <c r="EE185" s="39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6">
        <f>Tabelle58971121[[#This Row],[Durchschnittsauslastung max]]*Tabelle58971121[[#This Row],[installierte Leistung MW max]]</f>
        <v>1760.66</v>
      </c>
      <c r="EI185" s="83">
        <f>Tabelle58971121[[#This Row],[Maximalauslastung durch]]*Tabelle58971121[[#This Row],[installierte Leistung MW min]]</f>
        <v>1856.6959999999997</v>
      </c>
      <c r="EJ185" s="46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4">
        <v>3</v>
      </c>
      <c r="EU185" s="1">
        <v>1.3888888888888889E-4</v>
      </c>
      <c r="EV185" s="1">
        <v>0</v>
      </c>
      <c r="EW185" s="54">
        <v>2.7777777777777778E-4</v>
      </c>
      <c r="EX185" s="1">
        <v>3.7</v>
      </c>
      <c r="EY185" s="1">
        <v>3.3000000000000003</v>
      </c>
      <c r="EZ185" s="54">
        <v>4.1000000000000005</v>
      </c>
      <c r="FA185" s="1">
        <v>3.7</v>
      </c>
      <c r="FB185" s="1">
        <v>3.3000000000000003</v>
      </c>
      <c r="FC185" s="54">
        <v>4.1000000000000005</v>
      </c>
      <c r="FD185" s="1">
        <v>1</v>
      </c>
      <c r="FE185" s="1">
        <v>0.9</v>
      </c>
      <c r="FF185" s="54">
        <v>1.1000000000000001</v>
      </c>
      <c r="FG185" s="1">
        <v>4.7</v>
      </c>
      <c r="FH185" s="1">
        <v>4.7</v>
      </c>
      <c r="FI185" s="54">
        <v>4.7</v>
      </c>
      <c r="FJ185" s="1">
        <v>1.1000000000000001</v>
      </c>
      <c r="FK185" s="1">
        <v>0.90000000000000013</v>
      </c>
      <c r="FL185" s="54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39">
        <v>0.4</v>
      </c>
      <c r="ED186" s="39">
        <v>0.35</v>
      </c>
      <c r="EE186" s="39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6">
        <f>Tabelle58971121[[#This Row],[Durchschnittsauslastung max]]*Tabelle58971121[[#This Row],[installierte Leistung MW max]]</f>
        <v>36</v>
      </c>
      <c r="EI186" s="83">
        <f>Tabelle58971121[[#This Row],[Maximalauslastung durch]]*Tabelle58971121[[#This Row],[installierte Leistung MW min]]</f>
        <v>43.699999999999996</v>
      </c>
      <c r="EJ186" s="46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4">
        <v>8.3333333333333329E-2</v>
      </c>
      <c r="EU186" s="1">
        <v>2.8763888888888891E-2</v>
      </c>
      <c r="EV186" s="1">
        <v>0</v>
      </c>
      <c r="EW186" s="54">
        <v>8.3333333333333329E-2</v>
      </c>
      <c r="EX186" s="1">
        <v>6</v>
      </c>
      <c r="EY186" s="1">
        <v>4.8</v>
      </c>
      <c r="EZ186" s="54">
        <v>7.2</v>
      </c>
      <c r="FA186" s="1">
        <v>6</v>
      </c>
      <c r="FB186" s="1">
        <v>4.8</v>
      </c>
      <c r="FC186" s="54">
        <v>7.2</v>
      </c>
      <c r="FD186" s="1">
        <v>5</v>
      </c>
      <c r="FE186" s="1">
        <v>4</v>
      </c>
      <c r="FF186" s="54">
        <v>6</v>
      </c>
      <c r="FG186" s="1">
        <v>11</v>
      </c>
      <c r="FH186" s="1">
        <v>11</v>
      </c>
      <c r="FI186" s="54">
        <v>11</v>
      </c>
      <c r="FJ186" s="1">
        <v>10.4</v>
      </c>
      <c r="FK186" s="1">
        <v>6.4</v>
      </c>
      <c r="FL186" s="54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39">
        <v>0.4</v>
      </c>
      <c r="ED187" s="39">
        <v>0.35</v>
      </c>
      <c r="EE187" s="39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6">
        <f>Tabelle58971121[[#This Row],[Durchschnittsauslastung max]]*Tabelle58971121[[#This Row],[installierte Leistung MW max]]</f>
        <v>36</v>
      </c>
      <c r="EI187" s="83">
        <f>Tabelle58971121[[#This Row],[Maximalauslastung durch]]*Tabelle58971121[[#This Row],[installierte Leistung MW min]]</f>
        <v>43.699999999999996</v>
      </c>
      <c r="EJ187" s="46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4">
        <v>8.3333333333333329E-2</v>
      </c>
      <c r="EU187" s="1">
        <v>2.8763888888888891E-2</v>
      </c>
      <c r="EV187" s="1">
        <v>0</v>
      </c>
      <c r="EW187" s="54">
        <v>8.3333333333333329E-2</v>
      </c>
      <c r="EX187" s="1">
        <v>6</v>
      </c>
      <c r="EY187" s="1">
        <v>4.8</v>
      </c>
      <c r="EZ187" s="54">
        <v>7.2</v>
      </c>
      <c r="FA187" s="1">
        <v>6</v>
      </c>
      <c r="FB187" s="1">
        <v>4.8</v>
      </c>
      <c r="FC187" s="54">
        <v>7.2</v>
      </c>
      <c r="FD187" s="1">
        <v>5</v>
      </c>
      <c r="FE187" s="1">
        <v>4</v>
      </c>
      <c r="FF187" s="54">
        <v>6</v>
      </c>
      <c r="FG187" s="1">
        <v>11</v>
      </c>
      <c r="FH187" s="1">
        <v>11</v>
      </c>
      <c r="FI187" s="54">
        <v>11</v>
      </c>
      <c r="FJ187" s="1">
        <v>10.4</v>
      </c>
      <c r="FK187" s="1">
        <v>6.4</v>
      </c>
      <c r="FL187" s="54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39">
        <v>0.4</v>
      </c>
      <c r="ED188" s="39">
        <v>0.35</v>
      </c>
      <c r="EE188" s="39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6">
        <f>Tabelle58971121[[#This Row],[Durchschnittsauslastung max]]*Tabelle58971121[[#This Row],[installierte Leistung MW max]]</f>
        <v>36</v>
      </c>
      <c r="EI188" s="83">
        <f>Tabelle58971121[[#This Row],[Maximalauslastung durch]]*Tabelle58971121[[#This Row],[installierte Leistung MW min]]</f>
        <v>43.699999999999996</v>
      </c>
      <c r="EJ188" s="46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4">
        <v>8.3333333333333329E-2</v>
      </c>
      <c r="EU188" s="1">
        <v>2.8763888888888891E-2</v>
      </c>
      <c r="EV188" s="1">
        <v>0</v>
      </c>
      <c r="EW188" s="54">
        <v>8.3333333333333329E-2</v>
      </c>
      <c r="EX188" s="1">
        <v>6</v>
      </c>
      <c r="EY188" s="1">
        <v>4.8</v>
      </c>
      <c r="EZ188" s="54">
        <v>7.2</v>
      </c>
      <c r="FA188" s="1">
        <v>6</v>
      </c>
      <c r="FB188" s="1">
        <v>4.8</v>
      </c>
      <c r="FC188" s="54">
        <v>7.2</v>
      </c>
      <c r="FD188" s="1">
        <v>5</v>
      </c>
      <c r="FE188" s="1">
        <v>4</v>
      </c>
      <c r="FF188" s="54">
        <v>6</v>
      </c>
      <c r="FG188" s="1">
        <v>11</v>
      </c>
      <c r="FH188" s="1">
        <v>11</v>
      </c>
      <c r="FI188" s="54">
        <v>11</v>
      </c>
      <c r="FJ188" s="1">
        <v>10.4</v>
      </c>
      <c r="FK188" s="1">
        <v>6.4</v>
      </c>
      <c r="FL188" s="54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39">
        <v>0.4</v>
      </c>
      <c r="ED189" s="39">
        <v>0.35</v>
      </c>
      <c r="EE189" s="39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6">
        <f>Tabelle58971121[[#This Row],[Durchschnittsauslastung max]]*Tabelle58971121[[#This Row],[installierte Leistung MW max]]</f>
        <v>36</v>
      </c>
      <c r="EI189" s="83">
        <f>Tabelle58971121[[#This Row],[Maximalauslastung durch]]*Tabelle58971121[[#This Row],[installierte Leistung MW min]]</f>
        <v>43.699999999999996</v>
      </c>
      <c r="EJ189" s="46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4">
        <v>8.3333333333333329E-2</v>
      </c>
      <c r="EU189" s="1">
        <v>2.8763888888888891E-2</v>
      </c>
      <c r="EV189" s="1">
        <v>0</v>
      </c>
      <c r="EW189" s="54">
        <v>8.3333333333333329E-2</v>
      </c>
      <c r="EX189" s="1">
        <v>6</v>
      </c>
      <c r="EY189" s="1">
        <v>4.8</v>
      </c>
      <c r="EZ189" s="54">
        <v>7.2</v>
      </c>
      <c r="FA189" s="1">
        <v>6</v>
      </c>
      <c r="FB189" s="1">
        <v>4.8</v>
      </c>
      <c r="FC189" s="54">
        <v>7.2</v>
      </c>
      <c r="FD189" s="1">
        <v>5</v>
      </c>
      <c r="FE189" s="1">
        <v>4</v>
      </c>
      <c r="FF189" s="54">
        <v>6</v>
      </c>
      <c r="FG189" s="1">
        <v>11</v>
      </c>
      <c r="FH189" s="1">
        <v>11</v>
      </c>
      <c r="FI189" s="54">
        <v>11</v>
      </c>
      <c r="FJ189" s="1">
        <v>10.4</v>
      </c>
      <c r="FK189" s="1">
        <v>6.4</v>
      </c>
      <c r="FL189" s="54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39">
        <v>0.4</v>
      </c>
      <c r="ED190" s="39">
        <v>0.35</v>
      </c>
      <c r="EE190" s="39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6">
        <f>Tabelle58971121[[#This Row],[Durchschnittsauslastung max]]*Tabelle58971121[[#This Row],[installierte Leistung MW max]]</f>
        <v>36</v>
      </c>
      <c r="EI190" s="83">
        <f>Tabelle58971121[[#This Row],[Maximalauslastung durch]]*Tabelle58971121[[#This Row],[installierte Leistung MW min]]</f>
        <v>43.699999999999996</v>
      </c>
      <c r="EJ190" s="46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4">
        <v>8.3333333333333329E-2</v>
      </c>
      <c r="EU190" s="1">
        <v>2.8763888888888891E-2</v>
      </c>
      <c r="EV190" s="1">
        <v>0</v>
      </c>
      <c r="EW190" s="54">
        <v>8.3333333333333329E-2</v>
      </c>
      <c r="EX190" s="1">
        <v>6</v>
      </c>
      <c r="EY190" s="1">
        <v>4.8</v>
      </c>
      <c r="EZ190" s="54">
        <v>7.2</v>
      </c>
      <c r="FA190" s="1">
        <v>6</v>
      </c>
      <c r="FB190" s="1">
        <v>4.8</v>
      </c>
      <c r="FC190" s="54">
        <v>7.2</v>
      </c>
      <c r="FD190" s="1">
        <v>5</v>
      </c>
      <c r="FE190" s="1">
        <v>4</v>
      </c>
      <c r="FF190" s="54">
        <v>6</v>
      </c>
      <c r="FG190" s="1">
        <v>11</v>
      </c>
      <c r="FH190" s="1">
        <v>11</v>
      </c>
      <c r="FI190" s="54">
        <v>11</v>
      </c>
      <c r="FJ190" s="1">
        <v>10.4</v>
      </c>
      <c r="FK190" s="1">
        <v>6.4</v>
      </c>
      <c r="FL190" s="54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39">
        <v>0.4</v>
      </c>
      <c r="ED191" s="39">
        <v>0.35</v>
      </c>
      <c r="EE191" s="39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6">
        <f>Tabelle58971121[[#This Row],[Durchschnittsauslastung max]]*Tabelle58971121[[#This Row],[installierte Leistung MW max]]</f>
        <v>36</v>
      </c>
      <c r="EI191" s="83">
        <f>Tabelle58971121[[#This Row],[Maximalauslastung durch]]*Tabelle58971121[[#This Row],[installierte Leistung MW min]]</f>
        <v>43.699999999999996</v>
      </c>
      <c r="EJ191" s="46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4">
        <v>8.3333333333333329E-2</v>
      </c>
      <c r="EU191" s="1">
        <v>2.8763888888888891E-2</v>
      </c>
      <c r="EV191" s="1">
        <v>0</v>
      </c>
      <c r="EW191" s="54">
        <v>8.3333333333333329E-2</v>
      </c>
      <c r="EX191" s="1">
        <v>6</v>
      </c>
      <c r="EY191" s="1">
        <v>4.8</v>
      </c>
      <c r="EZ191" s="54">
        <v>7.2</v>
      </c>
      <c r="FA191" s="1">
        <v>6</v>
      </c>
      <c r="FB191" s="1">
        <v>4.8</v>
      </c>
      <c r="FC191" s="54">
        <v>7.2</v>
      </c>
      <c r="FD191" s="1">
        <v>5</v>
      </c>
      <c r="FE191" s="1">
        <v>4</v>
      </c>
      <c r="FF191" s="54">
        <v>6</v>
      </c>
      <c r="FG191" s="1">
        <v>11</v>
      </c>
      <c r="FH191" s="1">
        <v>11</v>
      </c>
      <c r="FI191" s="54">
        <v>11</v>
      </c>
      <c r="FJ191" s="1">
        <v>10.4</v>
      </c>
      <c r="FK191" s="1">
        <v>6.4</v>
      </c>
      <c r="FL191" s="54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39">
        <v>0.4</v>
      </c>
      <c r="ED192" s="39">
        <v>0.35</v>
      </c>
      <c r="EE192" s="39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6">
        <f>Tabelle58971121[[#This Row],[Durchschnittsauslastung max]]*Tabelle58971121[[#This Row],[installierte Leistung MW max]]</f>
        <v>36</v>
      </c>
      <c r="EI192" s="83">
        <f>Tabelle58971121[[#This Row],[Maximalauslastung durch]]*Tabelle58971121[[#This Row],[installierte Leistung MW min]]</f>
        <v>43.699999999999996</v>
      </c>
      <c r="EJ192" s="46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4">
        <v>8.3333333333333329E-2</v>
      </c>
      <c r="EU192" s="1">
        <v>2.8763888888888891E-2</v>
      </c>
      <c r="EV192" s="1">
        <v>0</v>
      </c>
      <c r="EW192" s="54">
        <v>8.3333333333333329E-2</v>
      </c>
      <c r="EX192" s="1">
        <v>6</v>
      </c>
      <c r="EY192" s="1">
        <v>4.8</v>
      </c>
      <c r="EZ192" s="54">
        <v>7.2</v>
      </c>
      <c r="FA192" s="1">
        <v>6</v>
      </c>
      <c r="FB192" s="1">
        <v>4.8</v>
      </c>
      <c r="FC192" s="54">
        <v>7.2</v>
      </c>
      <c r="FD192" s="1">
        <v>5</v>
      </c>
      <c r="FE192" s="1">
        <v>4</v>
      </c>
      <c r="FF192" s="54">
        <v>6</v>
      </c>
      <c r="FG192" s="1">
        <v>11</v>
      </c>
      <c r="FH192" s="1">
        <v>11</v>
      </c>
      <c r="FI192" s="54">
        <v>11</v>
      </c>
      <c r="FJ192" s="1">
        <v>10.4</v>
      </c>
      <c r="FK192" s="1">
        <v>6.4</v>
      </c>
      <c r="FL192" s="54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39">
        <v>0.4</v>
      </c>
      <c r="ED193" s="39">
        <v>0.35</v>
      </c>
      <c r="EE193" s="39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6">
        <f>Tabelle58971121[[#This Row],[Durchschnittsauslastung max]]*Tabelle58971121[[#This Row],[installierte Leistung MW max]]</f>
        <v>36</v>
      </c>
      <c r="EI193" s="83">
        <f>Tabelle58971121[[#This Row],[Maximalauslastung durch]]*Tabelle58971121[[#This Row],[installierte Leistung MW min]]</f>
        <v>43.699999999999996</v>
      </c>
      <c r="EJ193" s="46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4">
        <v>8.3333333333333329E-2</v>
      </c>
      <c r="EU193" s="1">
        <v>2.8763888888888891E-2</v>
      </c>
      <c r="EV193" s="1">
        <v>0</v>
      </c>
      <c r="EW193" s="54">
        <v>8.3333333333333329E-2</v>
      </c>
      <c r="EX193" s="1">
        <v>6</v>
      </c>
      <c r="EY193" s="1">
        <v>4.8</v>
      </c>
      <c r="EZ193" s="54">
        <v>7.2</v>
      </c>
      <c r="FA193" s="1">
        <v>6</v>
      </c>
      <c r="FB193" s="1">
        <v>4.8</v>
      </c>
      <c r="FC193" s="54">
        <v>7.2</v>
      </c>
      <c r="FD193" s="1">
        <v>5</v>
      </c>
      <c r="FE193" s="1">
        <v>4</v>
      </c>
      <c r="FF193" s="54">
        <v>6</v>
      </c>
      <c r="FG193" s="1">
        <v>11</v>
      </c>
      <c r="FH193" s="1">
        <v>11</v>
      </c>
      <c r="FI193" s="54">
        <v>11</v>
      </c>
      <c r="FJ193" s="1">
        <v>10.4</v>
      </c>
      <c r="FK193" s="1">
        <v>6.4</v>
      </c>
      <c r="FL193" s="54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39">
        <v>0.78</v>
      </c>
      <c r="ED194" s="39">
        <v>0.7</v>
      </c>
      <c r="EE194" s="39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6">
        <f>Tabelle58971121[[#This Row],[Durchschnittsauslastung max]]*Tabelle58971121[[#This Row],[installierte Leistung MW max]]</f>
        <v>215.85999999999999</v>
      </c>
      <c r="EI194" s="83">
        <f>Tabelle58971121[[#This Row],[Maximalauslastung durch]]*Tabelle58971121[[#This Row],[installierte Leistung MW min]]</f>
        <v>42.75</v>
      </c>
      <c r="EJ194" s="46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4">
        <v>0.25</v>
      </c>
      <c r="EU194" s="1">
        <v>0.16666666666666663</v>
      </c>
      <c r="EV194" s="1">
        <v>8.3333333333333329E-2</v>
      </c>
      <c r="EW194" s="54">
        <v>0.25</v>
      </c>
      <c r="EX194" s="1">
        <v>2</v>
      </c>
      <c r="EY194" s="1">
        <v>1.6</v>
      </c>
      <c r="EZ194" s="54">
        <v>2.4</v>
      </c>
      <c r="FA194" s="1">
        <v>2</v>
      </c>
      <c r="FB194" s="1">
        <v>1.6</v>
      </c>
      <c r="FC194" s="54">
        <v>2.4</v>
      </c>
      <c r="FD194" s="1">
        <v>4</v>
      </c>
      <c r="FE194" s="1">
        <v>3.2</v>
      </c>
      <c r="FF194" s="54">
        <v>4.8</v>
      </c>
      <c r="FG194" s="1">
        <v>6</v>
      </c>
      <c r="FH194" s="1">
        <v>6</v>
      </c>
      <c r="FI194" s="54">
        <v>6</v>
      </c>
      <c r="FJ194" s="1">
        <v>4.9000000000000004</v>
      </c>
      <c r="FK194" s="1">
        <v>3.3000000000000003</v>
      </c>
      <c r="FL194" s="54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39">
        <v>0.78</v>
      </c>
      <c r="ED195" s="39">
        <v>0.7</v>
      </c>
      <c r="EE195" s="39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6">
        <f>Tabelle58971121[[#This Row],[Durchschnittsauslastung max]]*Tabelle58971121[[#This Row],[installierte Leistung MW max]]</f>
        <v>215.85999999999999</v>
      </c>
      <c r="EI195" s="83">
        <f>Tabelle58971121[[#This Row],[Maximalauslastung durch]]*Tabelle58971121[[#This Row],[installierte Leistung MW min]]</f>
        <v>42.75</v>
      </c>
      <c r="EJ195" s="46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4">
        <v>0.25</v>
      </c>
      <c r="EU195" s="1">
        <v>0.11913296568627449</v>
      </c>
      <c r="EV195" s="1">
        <v>8.3333333333333329E-2</v>
      </c>
      <c r="EW195" s="54">
        <v>0.25</v>
      </c>
      <c r="EX195" s="1">
        <v>2</v>
      </c>
      <c r="EY195" s="1">
        <v>1.6</v>
      </c>
      <c r="EZ195" s="54">
        <v>2.4</v>
      </c>
      <c r="FA195" s="1">
        <v>2</v>
      </c>
      <c r="FB195" s="1">
        <v>1.6</v>
      </c>
      <c r="FC195" s="54">
        <v>2.4</v>
      </c>
      <c r="FD195" s="1">
        <v>4</v>
      </c>
      <c r="FE195" s="1">
        <v>3.2</v>
      </c>
      <c r="FF195" s="54">
        <v>4.8</v>
      </c>
      <c r="FG195" s="1">
        <v>6</v>
      </c>
      <c r="FH195" s="1">
        <v>4.9000000000000004</v>
      </c>
      <c r="FI195" s="54">
        <v>4.9000000000000004</v>
      </c>
      <c r="FJ195" s="1">
        <v>4.9000000000000004</v>
      </c>
      <c r="FK195" s="1">
        <v>3.3000000000000003</v>
      </c>
      <c r="FL195" s="54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39">
        <v>0.78</v>
      </c>
      <c r="ED196" s="39">
        <v>0.7</v>
      </c>
      <c r="EE196" s="39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6">
        <f>Tabelle58971121[[#This Row],[Durchschnittsauslastung max]]*Tabelle58971121[[#This Row],[installierte Leistung MW max]]</f>
        <v>215.85999999999999</v>
      </c>
      <c r="EI196" s="83">
        <f>Tabelle58971121[[#This Row],[Maximalauslastung durch]]*Tabelle58971121[[#This Row],[installierte Leistung MW min]]</f>
        <v>42.75</v>
      </c>
      <c r="EJ196" s="46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4">
        <v>0.25</v>
      </c>
      <c r="EU196" s="1">
        <v>0.11913296568627449</v>
      </c>
      <c r="EV196" s="1">
        <v>8.3333333333333329E-2</v>
      </c>
      <c r="EW196" s="54">
        <v>0.25</v>
      </c>
      <c r="EX196" s="1">
        <v>2</v>
      </c>
      <c r="EY196" s="1">
        <v>1.6</v>
      </c>
      <c r="EZ196" s="54">
        <v>2.4</v>
      </c>
      <c r="FA196" s="1">
        <v>2</v>
      </c>
      <c r="FB196" s="1">
        <v>1.6</v>
      </c>
      <c r="FC196" s="54">
        <v>2.4</v>
      </c>
      <c r="FD196" s="1">
        <v>4</v>
      </c>
      <c r="FE196" s="1">
        <v>3.2</v>
      </c>
      <c r="FF196" s="54">
        <v>4.8</v>
      </c>
      <c r="FG196" s="1">
        <v>6</v>
      </c>
      <c r="FH196" s="1">
        <v>4.9000000000000004</v>
      </c>
      <c r="FI196" s="54">
        <v>4.9000000000000004</v>
      </c>
      <c r="FJ196" s="1">
        <v>4.9000000000000004</v>
      </c>
      <c r="FK196" s="1">
        <v>3.3000000000000003</v>
      </c>
      <c r="FL196" s="54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39">
        <v>0.78</v>
      </c>
      <c r="ED197" s="39">
        <v>0.7</v>
      </c>
      <c r="EE197" s="39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6">
        <f>Tabelle58971121[[#This Row],[Durchschnittsauslastung max]]*Tabelle58971121[[#This Row],[installierte Leistung MW max]]</f>
        <v>215.85999999999999</v>
      </c>
      <c r="EI197" s="83">
        <f>Tabelle58971121[[#This Row],[Maximalauslastung durch]]*Tabelle58971121[[#This Row],[installierte Leistung MW min]]</f>
        <v>42.75</v>
      </c>
      <c r="EJ197" s="46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4">
        <v>0.25</v>
      </c>
      <c r="EU197" s="1">
        <v>0.11913296568627449</v>
      </c>
      <c r="EV197" s="1">
        <v>8.3333333333333329E-2</v>
      </c>
      <c r="EW197" s="54">
        <v>0.25</v>
      </c>
      <c r="EX197" s="1">
        <v>2</v>
      </c>
      <c r="EY197" s="1">
        <v>1.6</v>
      </c>
      <c r="EZ197" s="54">
        <v>2.4</v>
      </c>
      <c r="FA197" s="1">
        <v>2</v>
      </c>
      <c r="FB197" s="1">
        <v>1.6</v>
      </c>
      <c r="FC197" s="54">
        <v>2.4</v>
      </c>
      <c r="FD197" s="1">
        <v>4</v>
      </c>
      <c r="FE197" s="1">
        <v>3.2</v>
      </c>
      <c r="FF197" s="54">
        <v>4.8</v>
      </c>
      <c r="FG197" s="1">
        <v>6</v>
      </c>
      <c r="FH197" s="1">
        <v>4.9000000000000004</v>
      </c>
      <c r="FI197" s="54">
        <v>4.9000000000000004</v>
      </c>
      <c r="FJ197" s="1">
        <v>4.9000000000000004</v>
      </c>
      <c r="FK197" s="1">
        <v>3.3000000000000003</v>
      </c>
      <c r="FL197" s="54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39">
        <v>0.78</v>
      </c>
      <c r="ED198" s="39">
        <v>0.7</v>
      </c>
      <c r="EE198" s="39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6">
        <f>Tabelle58971121[[#This Row],[Durchschnittsauslastung max]]*Tabelle58971121[[#This Row],[installierte Leistung MW max]]</f>
        <v>215.85999999999999</v>
      </c>
      <c r="EI198" s="83">
        <f>Tabelle58971121[[#This Row],[Maximalauslastung durch]]*Tabelle58971121[[#This Row],[installierte Leistung MW min]]</f>
        <v>42.75</v>
      </c>
      <c r="EJ198" s="46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4">
        <v>0.25</v>
      </c>
      <c r="EU198" s="1">
        <v>0.11913296568627449</v>
      </c>
      <c r="EV198" s="1">
        <v>8.3333333333333329E-2</v>
      </c>
      <c r="EW198" s="54">
        <v>0.25</v>
      </c>
      <c r="EX198" s="1">
        <v>2</v>
      </c>
      <c r="EY198" s="1">
        <v>1.6</v>
      </c>
      <c r="EZ198" s="54">
        <v>2.4</v>
      </c>
      <c r="FA198" s="1">
        <v>2</v>
      </c>
      <c r="FB198" s="1">
        <v>1.6</v>
      </c>
      <c r="FC198" s="54">
        <v>2.4</v>
      </c>
      <c r="FD198" s="1">
        <v>4</v>
      </c>
      <c r="FE198" s="1">
        <v>3.2</v>
      </c>
      <c r="FF198" s="54">
        <v>4.8</v>
      </c>
      <c r="FG198" s="1">
        <v>6</v>
      </c>
      <c r="FH198" s="1">
        <v>4.9000000000000004</v>
      </c>
      <c r="FI198" s="54">
        <v>4.9000000000000004</v>
      </c>
      <c r="FJ198" s="1">
        <v>4.9000000000000004</v>
      </c>
      <c r="FK198" s="1">
        <v>3.3000000000000003</v>
      </c>
      <c r="FL198" s="54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39">
        <v>0.78</v>
      </c>
      <c r="ED199" s="39">
        <v>0.7</v>
      </c>
      <c r="EE199" s="39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6">
        <f>Tabelle58971121[[#This Row],[Durchschnittsauslastung max]]*Tabelle58971121[[#This Row],[installierte Leistung MW max]]</f>
        <v>215.85999999999999</v>
      </c>
      <c r="EI199" s="83">
        <f>Tabelle58971121[[#This Row],[Maximalauslastung durch]]*Tabelle58971121[[#This Row],[installierte Leistung MW min]]</f>
        <v>42.75</v>
      </c>
      <c r="EJ199" s="46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4">
        <v>0.25</v>
      </c>
      <c r="EU199" s="1">
        <v>0.11913296568627449</v>
      </c>
      <c r="EV199" s="1">
        <v>8.3333333333333329E-2</v>
      </c>
      <c r="EW199" s="54">
        <v>0.25</v>
      </c>
      <c r="EX199" s="1">
        <v>2</v>
      </c>
      <c r="EY199" s="1">
        <v>1.6</v>
      </c>
      <c r="EZ199" s="54">
        <v>2.4</v>
      </c>
      <c r="FA199" s="1">
        <v>2</v>
      </c>
      <c r="FB199" s="1">
        <v>1.6</v>
      </c>
      <c r="FC199" s="54">
        <v>2.4</v>
      </c>
      <c r="FD199" s="1">
        <v>4</v>
      </c>
      <c r="FE199" s="1">
        <v>3.2</v>
      </c>
      <c r="FF199" s="54">
        <v>4.8</v>
      </c>
      <c r="FG199" s="1">
        <v>6</v>
      </c>
      <c r="FH199" s="1">
        <v>4.9000000000000004</v>
      </c>
      <c r="FI199" s="54">
        <v>4.9000000000000004</v>
      </c>
      <c r="FJ199" s="1">
        <v>4.9000000000000004</v>
      </c>
      <c r="FK199" s="1">
        <v>3.3000000000000003</v>
      </c>
      <c r="FL199" s="54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39">
        <v>0.78</v>
      </c>
      <c r="ED200" s="39">
        <v>0.7</v>
      </c>
      <c r="EE200" s="39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6">
        <f>Tabelle58971121[[#This Row],[Durchschnittsauslastung max]]*Tabelle58971121[[#This Row],[installierte Leistung MW max]]</f>
        <v>215.85999999999999</v>
      </c>
      <c r="EI200" s="83">
        <f>Tabelle58971121[[#This Row],[Maximalauslastung durch]]*Tabelle58971121[[#This Row],[installierte Leistung MW min]]</f>
        <v>42.75</v>
      </c>
      <c r="EJ200" s="46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4">
        <v>0.25</v>
      </c>
      <c r="EU200" s="1">
        <v>0.11913296568627449</v>
      </c>
      <c r="EV200" s="1">
        <v>8.3333333333333329E-2</v>
      </c>
      <c r="EW200" s="54">
        <v>0.25</v>
      </c>
      <c r="EX200" s="1">
        <v>2</v>
      </c>
      <c r="EY200" s="1">
        <v>1.6</v>
      </c>
      <c r="EZ200" s="54">
        <v>2.4</v>
      </c>
      <c r="FA200" s="1">
        <v>2</v>
      </c>
      <c r="FB200" s="1">
        <v>1.6</v>
      </c>
      <c r="FC200" s="54">
        <v>2.4</v>
      </c>
      <c r="FD200" s="1">
        <v>4</v>
      </c>
      <c r="FE200" s="1">
        <v>3.2</v>
      </c>
      <c r="FF200" s="54">
        <v>4.8</v>
      </c>
      <c r="FG200" s="1">
        <v>6</v>
      </c>
      <c r="FH200" s="1">
        <v>4.9000000000000004</v>
      </c>
      <c r="FI200" s="54">
        <v>4.9000000000000004</v>
      </c>
      <c r="FJ200" s="1">
        <v>4.9000000000000004</v>
      </c>
      <c r="FK200" s="1">
        <v>3.3000000000000003</v>
      </c>
      <c r="FL200" s="54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39">
        <v>0.78</v>
      </c>
      <c r="ED201" s="39">
        <v>0.7</v>
      </c>
      <c r="EE201" s="39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6">
        <f>Tabelle58971121[[#This Row],[Durchschnittsauslastung max]]*Tabelle58971121[[#This Row],[installierte Leistung MW max]]</f>
        <v>215.85999999999999</v>
      </c>
      <c r="EI201" s="83">
        <f>Tabelle58971121[[#This Row],[Maximalauslastung durch]]*Tabelle58971121[[#This Row],[installierte Leistung MW min]]</f>
        <v>42.75</v>
      </c>
      <c r="EJ201" s="46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4">
        <v>0.25</v>
      </c>
      <c r="EU201" s="1">
        <v>0.11913296568627449</v>
      </c>
      <c r="EV201" s="1">
        <v>8.3333333333333329E-2</v>
      </c>
      <c r="EW201" s="54">
        <v>0.25</v>
      </c>
      <c r="EX201" s="1">
        <v>2</v>
      </c>
      <c r="EY201" s="1">
        <v>1.6</v>
      </c>
      <c r="EZ201" s="54">
        <v>2.4</v>
      </c>
      <c r="FA201" s="1">
        <v>2</v>
      </c>
      <c r="FB201" s="1">
        <v>1.6</v>
      </c>
      <c r="FC201" s="54">
        <v>2.4</v>
      </c>
      <c r="FD201" s="1">
        <v>4</v>
      </c>
      <c r="FE201" s="1">
        <v>3.2</v>
      </c>
      <c r="FF201" s="54">
        <v>4.8</v>
      </c>
      <c r="FG201" s="1">
        <v>6</v>
      </c>
      <c r="FH201" s="1">
        <v>4.9000000000000004</v>
      </c>
      <c r="FI201" s="54">
        <v>4.9000000000000004</v>
      </c>
      <c r="FJ201" s="1">
        <v>4.9000000000000004</v>
      </c>
      <c r="FK201" s="1">
        <v>3.3000000000000003</v>
      </c>
      <c r="FL201" s="54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39">
        <v>0.73</v>
      </c>
      <c r="ED202" s="39">
        <v>0.69</v>
      </c>
      <c r="EE202" s="39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6">
        <f>Tabelle58971121[[#This Row],[Durchschnittsauslastung max]]*Tabelle58971121[[#This Row],[installierte Leistung MW max]]</f>
        <v>365.75</v>
      </c>
      <c r="EI202" s="83">
        <f>Tabelle58971121[[#This Row],[Maximalauslastung durch]]*Tabelle58971121[[#This Row],[installierte Leistung MW min]]</f>
        <v>187.14999999999998</v>
      </c>
      <c r="EJ202" s="46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4">
        <v>0.5</v>
      </c>
      <c r="EU202" s="1">
        <v>0.77166666666666672</v>
      </c>
      <c r="EV202" s="1">
        <v>8.3333333333333329E-2</v>
      </c>
      <c r="EW202" s="54">
        <v>3</v>
      </c>
      <c r="EX202" s="1">
        <v>4.8</v>
      </c>
      <c r="EY202" s="1">
        <v>4.3</v>
      </c>
      <c r="EZ202" s="54">
        <v>5.3</v>
      </c>
      <c r="FA202" s="1">
        <v>4.8</v>
      </c>
      <c r="FB202" s="1">
        <v>4.3</v>
      </c>
      <c r="FC202" s="54">
        <v>5.3</v>
      </c>
      <c r="FD202" s="1">
        <v>6</v>
      </c>
      <c r="FE202" s="1">
        <v>5.4</v>
      </c>
      <c r="FF202" s="54">
        <v>6.6</v>
      </c>
      <c r="FG202" s="1">
        <v>10.8</v>
      </c>
      <c r="FH202" s="1">
        <v>10.8</v>
      </c>
      <c r="FI202" s="54">
        <v>10.8</v>
      </c>
      <c r="FJ202" s="1">
        <v>7.8</v>
      </c>
      <c r="FK202" s="1">
        <v>5.8</v>
      </c>
      <c r="FL202" s="54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39">
        <v>0.73</v>
      </c>
      <c r="ED203" s="39">
        <v>0.69</v>
      </c>
      <c r="EE203" s="39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6">
        <f>Tabelle58971121[[#This Row],[Durchschnittsauslastung max]]*Tabelle58971121[[#This Row],[installierte Leistung MW max]]</f>
        <v>362.09250000000003</v>
      </c>
      <c r="EI203" s="83">
        <f>Tabelle58971121[[#This Row],[Maximalauslastung durch]]*Tabelle58971121[[#This Row],[installierte Leistung MW min]]</f>
        <v>185.27849999999998</v>
      </c>
      <c r="EJ203" s="46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4">
        <v>0.5</v>
      </c>
      <c r="EU203" s="1">
        <v>0.77166666666666672</v>
      </c>
      <c r="EV203" s="1">
        <v>8.3333333333333329E-2</v>
      </c>
      <c r="EW203" s="54">
        <v>3</v>
      </c>
      <c r="EX203" s="1">
        <v>4.7999999999999989</v>
      </c>
      <c r="EY203" s="1">
        <v>4.3</v>
      </c>
      <c r="EZ203" s="54">
        <v>5.3</v>
      </c>
      <c r="FA203" s="1">
        <v>4.7999999999999989</v>
      </c>
      <c r="FB203" s="1">
        <v>4.3</v>
      </c>
      <c r="FC203" s="54">
        <v>5.3</v>
      </c>
      <c r="FD203" s="1">
        <v>6</v>
      </c>
      <c r="FE203" s="1">
        <v>5.4</v>
      </c>
      <c r="FF203" s="54">
        <v>6.6</v>
      </c>
      <c r="FG203" s="1">
        <v>10.8</v>
      </c>
      <c r="FH203" s="1">
        <v>7.8</v>
      </c>
      <c r="FI203" s="54">
        <v>7.7999999999999989</v>
      </c>
      <c r="FJ203" s="1">
        <v>7.7999999999999989</v>
      </c>
      <c r="FK203" s="1">
        <v>5.8</v>
      </c>
      <c r="FL203" s="54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39">
        <v>0.73000000000000009</v>
      </c>
      <c r="ED204" s="39">
        <v>0.69</v>
      </c>
      <c r="EE204" s="39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6">
        <f>Tabelle58971121[[#This Row],[Durchschnittsauslastung max]]*Tabelle58971121[[#This Row],[installierte Leistung MW max]]</f>
        <v>354.77749999999997</v>
      </c>
      <c r="EI204" s="83">
        <f>Tabelle58971121[[#This Row],[Maximalauslastung durch]]*Tabelle58971121[[#This Row],[installierte Leistung MW min]]</f>
        <v>181.53550000000004</v>
      </c>
      <c r="EJ204" s="46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4">
        <v>0.5</v>
      </c>
      <c r="EU204" s="1">
        <v>0.77166666666666683</v>
      </c>
      <c r="EV204" s="1">
        <v>8.3333333333333329E-2</v>
      </c>
      <c r="EW204" s="54">
        <v>3</v>
      </c>
      <c r="EX204" s="1">
        <v>4.8000000000000007</v>
      </c>
      <c r="EY204" s="1">
        <v>4.3</v>
      </c>
      <c r="EZ204" s="54">
        <v>5.3</v>
      </c>
      <c r="FA204" s="1">
        <v>4.8000000000000007</v>
      </c>
      <c r="FB204" s="1">
        <v>4.3</v>
      </c>
      <c r="FC204" s="54">
        <v>5.3</v>
      </c>
      <c r="FD204" s="1">
        <v>6.0000000000000009</v>
      </c>
      <c r="FE204" s="1">
        <v>5.4</v>
      </c>
      <c r="FF204" s="54">
        <v>6.6</v>
      </c>
      <c r="FG204" s="1">
        <v>10.8</v>
      </c>
      <c r="FH204" s="1">
        <v>7.8</v>
      </c>
      <c r="FI204" s="54">
        <v>7.8</v>
      </c>
      <c r="FJ204" s="1">
        <v>7.8000000000000007</v>
      </c>
      <c r="FK204" s="1">
        <v>5.8</v>
      </c>
      <c r="FL204" s="54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39">
        <v>0.73</v>
      </c>
      <c r="ED205" s="39">
        <v>0.69</v>
      </c>
      <c r="EE205" s="39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6">
        <f>Tabelle58971121[[#This Row],[Durchschnittsauslastung max]]*Tabelle58971121[[#This Row],[installierte Leistung MW max]]</f>
        <v>351.11999999999995</v>
      </c>
      <c r="EI205" s="83">
        <f>Tabelle58971121[[#This Row],[Maximalauslastung durch]]*Tabelle58971121[[#This Row],[installierte Leistung MW min]]</f>
        <v>179.66399999999999</v>
      </c>
      <c r="EJ205" s="46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4">
        <v>0.5</v>
      </c>
      <c r="EU205" s="1">
        <v>0.77166666666666672</v>
      </c>
      <c r="EV205" s="1">
        <v>8.3333333333333329E-2</v>
      </c>
      <c r="EW205" s="54">
        <v>3</v>
      </c>
      <c r="EX205" s="1">
        <v>4.8</v>
      </c>
      <c r="EY205" s="1">
        <v>4.3</v>
      </c>
      <c r="EZ205" s="54">
        <v>5.3</v>
      </c>
      <c r="FA205" s="1">
        <v>4.8</v>
      </c>
      <c r="FB205" s="1">
        <v>4.3</v>
      </c>
      <c r="FC205" s="54">
        <v>5.3</v>
      </c>
      <c r="FD205" s="1">
        <v>6</v>
      </c>
      <c r="FE205" s="1">
        <v>5.4</v>
      </c>
      <c r="FF205" s="54">
        <v>6.6</v>
      </c>
      <c r="FG205" s="1">
        <v>10.8</v>
      </c>
      <c r="FH205" s="1">
        <v>7.8</v>
      </c>
      <c r="FI205" s="54">
        <v>7.7999999999999989</v>
      </c>
      <c r="FJ205" s="1">
        <v>7.8</v>
      </c>
      <c r="FK205" s="1">
        <v>5.8</v>
      </c>
      <c r="FL205" s="54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39">
        <v>0.73</v>
      </c>
      <c r="ED206" s="39">
        <v>0.69</v>
      </c>
      <c r="EE206" s="39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6">
        <f>Tabelle58971121[[#This Row],[Durchschnittsauslastung max]]*Tabelle58971121[[#This Row],[installierte Leistung MW max]]</f>
        <v>347.46249999999998</v>
      </c>
      <c r="EI206" s="83">
        <f>Tabelle58971121[[#This Row],[Maximalauslastung durch]]*Tabelle58971121[[#This Row],[installierte Leistung MW min]]</f>
        <v>177.79249999999999</v>
      </c>
      <c r="EJ206" s="46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4">
        <v>0.5</v>
      </c>
      <c r="EU206" s="1">
        <v>0.77166666666666672</v>
      </c>
      <c r="EV206" s="1">
        <v>8.3333333333333329E-2</v>
      </c>
      <c r="EW206" s="54">
        <v>3</v>
      </c>
      <c r="EX206" s="1">
        <v>4.7999999999999989</v>
      </c>
      <c r="EY206" s="1">
        <v>4.3</v>
      </c>
      <c r="EZ206" s="54">
        <v>5.3</v>
      </c>
      <c r="FA206" s="1">
        <v>4.7999999999999989</v>
      </c>
      <c r="FB206" s="1">
        <v>4.3</v>
      </c>
      <c r="FC206" s="54">
        <v>5.3</v>
      </c>
      <c r="FD206" s="1">
        <v>6</v>
      </c>
      <c r="FE206" s="1">
        <v>5.4</v>
      </c>
      <c r="FF206" s="54">
        <v>6.6</v>
      </c>
      <c r="FG206" s="1">
        <v>10.8</v>
      </c>
      <c r="FH206" s="1">
        <v>7.8</v>
      </c>
      <c r="FI206" s="54">
        <v>7.8000000000000007</v>
      </c>
      <c r="FJ206" s="1">
        <v>7.7999999999999989</v>
      </c>
      <c r="FK206" s="1">
        <v>5.8</v>
      </c>
      <c r="FL206" s="54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39">
        <v>0.73</v>
      </c>
      <c r="ED207" s="39">
        <v>0.69</v>
      </c>
      <c r="EE207" s="39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6">
        <f>Tabelle58971121[[#This Row],[Durchschnittsauslastung max]]*Tabelle58971121[[#This Row],[installierte Leistung MW max]]</f>
        <v>340.14749999999998</v>
      </c>
      <c r="EI207" s="83">
        <f>Tabelle58971121[[#This Row],[Maximalauslastung durch]]*Tabelle58971121[[#This Row],[installierte Leistung MW min]]</f>
        <v>174.04950000000002</v>
      </c>
      <c r="EJ207" s="46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4">
        <v>0.5</v>
      </c>
      <c r="EU207" s="1">
        <v>0.77166666666666672</v>
      </c>
      <c r="EV207" s="1">
        <v>8.3333333333333329E-2</v>
      </c>
      <c r="EW207" s="54">
        <v>3</v>
      </c>
      <c r="EX207" s="1">
        <v>4.7999999999999989</v>
      </c>
      <c r="EY207" s="1">
        <v>4.3</v>
      </c>
      <c r="EZ207" s="54">
        <v>5.3</v>
      </c>
      <c r="FA207" s="1">
        <v>4.7999999999999989</v>
      </c>
      <c r="FB207" s="1">
        <v>4.3</v>
      </c>
      <c r="FC207" s="54">
        <v>5.3</v>
      </c>
      <c r="FD207" s="1">
        <v>6</v>
      </c>
      <c r="FE207" s="1">
        <v>5.4</v>
      </c>
      <c r="FF207" s="54">
        <v>6.6</v>
      </c>
      <c r="FG207" s="1">
        <v>10.8</v>
      </c>
      <c r="FH207" s="1">
        <v>7.8000000000000007</v>
      </c>
      <c r="FI207" s="54">
        <v>7.8000000000000007</v>
      </c>
      <c r="FJ207" s="1">
        <v>7.7999999999999989</v>
      </c>
      <c r="FK207" s="1">
        <v>5.8</v>
      </c>
      <c r="FL207" s="54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39">
        <v>0.73</v>
      </c>
      <c r="ED208" s="39">
        <v>0.69</v>
      </c>
      <c r="EE208" s="39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6">
        <f>Tabelle58971121[[#This Row],[Durchschnittsauslastung max]]*Tabelle58971121[[#This Row],[installierte Leistung MW max]]</f>
        <v>336.49</v>
      </c>
      <c r="EI208" s="83">
        <f>Tabelle58971121[[#This Row],[Maximalauslastung durch]]*Tabelle58971121[[#This Row],[installierte Leistung MW min]]</f>
        <v>172.178</v>
      </c>
      <c r="EJ208" s="46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4">
        <v>0.5</v>
      </c>
      <c r="EU208" s="1">
        <v>0.77166666666666672</v>
      </c>
      <c r="EV208" s="1">
        <v>8.3333333333333329E-2</v>
      </c>
      <c r="EW208" s="54">
        <v>3</v>
      </c>
      <c r="EX208" s="1">
        <v>4.8</v>
      </c>
      <c r="EY208" s="1">
        <v>4.3</v>
      </c>
      <c r="EZ208" s="54">
        <v>5.3</v>
      </c>
      <c r="FA208" s="1">
        <v>4.8</v>
      </c>
      <c r="FB208" s="1">
        <v>4.3</v>
      </c>
      <c r="FC208" s="54">
        <v>5.3</v>
      </c>
      <c r="FD208" s="1">
        <v>6</v>
      </c>
      <c r="FE208" s="1">
        <v>5.4</v>
      </c>
      <c r="FF208" s="54">
        <v>6.6</v>
      </c>
      <c r="FG208" s="1">
        <v>10.8</v>
      </c>
      <c r="FH208" s="1">
        <v>7.8</v>
      </c>
      <c r="FI208" s="54">
        <v>7.7999999999999989</v>
      </c>
      <c r="FJ208" s="1">
        <v>7.8</v>
      </c>
      <c r="FK208" s="1">
        <v>5.8</v>
      </c>
      <c r="FL208" s="54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39">
        <v>0.73000000000000009</v>
      </c>
      <c r="ED209" s="39">
        <v>0.69</v>
      </c>
      <c r="EE209" s="39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6">
        <f>Tabelle58971121[[#This Row],[Durchschnittsauslastung max]]*Tabelle58971121[[#This Row],[installierte Leistung MW max]]</f>
        <v>332.83249999999998</v>
      </c>
      <c r="EI209" s="83">
        <f>Tabelle58971121[[#This Row],[Maximalauslastung durch]]*Tabelle58971121[[#This Row],[installierte Leistung MW min]]</f>
        <v>170.30650000000006</v>
      </c>
      <c r="EJ209" s="46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4">
        <v>0.5</v>
      </c>
      <c r="EU209" s="1">
        <v>0.77166666666666683</v>
      </c>
      <c r="EV209" s="1">
        <v>8.3333333333333329E-2</v>
      </c>
      <c r="EW209" s="54">
        <v>3</v>
      </c>
      <c r="EX209" s="1">
        <v>4.8</v>
      </c>
      <c r="EY209" s="1">
        <v>4.3</v>
      </c>
      <c r="EZ209" s="54">
        <v>5.3</v>
      </c>
      <c r="FA209" s="1">
        <v>4.8</v>
      </c>
      <c r="FB209" s="1">
        <v>4.3</v>
      </c>
      <c r="FC209" s="54">
        <v>5.3</v>
      </c>
      <c r="FD209" s="1">
        <v>6</v>
      </c>
      <c r="FE209" s="1">
        <v>5.4</v>
      </c>
      <c r="FF209" s="54">
        <v>6.6</v>
      </c>
      <c r="FG209" s="1">
        <v>10.8</v>
      </c>
      <c r="FH209" s="1">
        <v>7.8</v>
      </c>
      <c r="FI209" s="54">
        <v>7.8000000000000007</v>
      </c>
      <c r="FJ209" s="1">
        <v>7.8</v>
      </c>
      <c r="FK209" s="1">
        <v>5.8</v>
      </c>
      <c r="FL209" s="54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39">
        <v>0.86</v>
      </c>
      <c r="ED210" s="39">
        <v>0.83</v>
      </c>
      <c r="EE210" s="39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6">
        <f>Tabelle58971121[[#This Row],[Durchschnittsauslastung max]]*Tabelle58971121[[#This Row],[installierte Leistung MW max]]</f>
        <v>1634.04</v>
      </c>
      <c r="EI210" s="83">
        <f>Tabelle58971121[[#This Row],[Maximalauslastung durch]]*Tabelle58971121[[#This Row],[installierte Leistung MW min]]</f>
        <v>938.59999999999991</v>
      </c>
      <c r="EJ210" s="46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4">
        <v>3</v>
      </c>
      <c r="EU210" s="1">
        <v>1.625</v>
      </c>
      <c r="EV210" s="1">
        <v>0.5</v>
      </c>
      <c r="EW210" s="54">
        <v>3</v>
      </c>
      <c r="EX210" s="1">
        <v>5.2</v>
      </c>
      <c r="EY210" s="1">
        <v>4.7</v>
      </c>
      <c r="EZ210" s="54">
        <v>5.7</v>
      </c>
      <c r="FA210" s="1">
        <v>5.2</v>
      </c>
      <c r="FB210" s="1">
        <v>4.7</v>
      </c>
      <c r="FC210" s="54">
        <v>5.7</v>
      </c>
      <c r="FD210" s="1">
        <v>6</v>
      </c>
      <c r="FE210" s="1">
        <v>4.8</v>
      </c>
      <c r="FF210" s="54">
        <v>7.2</v>
      </c>
      <c r="FG210" s="1">
        <v>11.2</v>
      </c>
      <c r="FH210" s="1">
        <v>11.2</v>
      </c>
      <c r="FI210" s="54">
        <v>11.2</v>
      </c>
      <c r="FJ210" s="1">
        <v>6.6</v>
      </c>
      <c r="FK210" s="1">
        <v>4.8999999999999995</v>
      </c>
      <c r="FL210" s="54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39">
        <v>0.86</v>
      </c>
      <c r="ED211" s="39">
        <v>0.83</v>
      </c>
      <c r="EE211" s="39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6">
        <f>Tabelle58971121[[#This Row],[Durchschnittsauslastung max]]*Tabelle58971121[[#This Row],[installierte Leistung MW max]]</f>
        <v>1699.4016000000001</v>
      </c>
      <c r="EI211" s="83">
        <f>Tabelle58971121[[#This Row],[Maximalauslastung durch]]*Tabelle58971121[[#This Row],[installierte Leistung MW min]]</f>
        <v>976.14399999999989</v>
      </c>
      <c r="EJ211" s="46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4">
        <v>3</v>
      </c>
      <c r="EU211" s="1">
        <v>1.625</v>
      </c>
      <c r="EV211" s="1">
        <v>0.5</v>
      </c>
      <c r="EW211" s="54">
        <v>3</v>
      </c>
      <c r="EX211" s="1">
        <v>5.2</v>
      </c>
      <c r="EY211" s="1">
        <v>4.7</v>
      </c>
      <c r="EZ211" s="54">
        <v>5.7</v>
      </c>
      <c r="FA211" s="1">
        <v>5.2</v>
      </c>
      <c r="FB211" s="1">
        <v>4.7</v>
      </c>
      <c r="FC211" s="54">
        <v>5.7</v>
      </c>
      <c r="FD211" s="1">
        <v>6</v>
      </c>
      <c r="FE211" s="1">
        <v>4.8</v>
      </c>
      <c r="FF211" s="54">
        <v>7.2</v>
      </c>
      <c r="FG211" s="1">
        <v>11.2</v>
      </c>
      <c r="FH211" s="1">
        <v>11.2</v>
      </c>
      <c r="FI211" s="54">
        <v>11.2</v>
      </c>
      <c r="FJ211" s="1">
        <v>6.6</v>
      </c>
      <c r="FK211" s="1">
        <v>4.8999999999999995</v>
      </c>
      <c r="FL211" s="54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39">
        <v>0.86</v>
      </c>
      <c r="ED212" s="39">
        <v>0.83</v>
      </c>
      <c r="EE212" s="39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6">
        <f>Tabelle58971121[[#This Row],[Durchschnittsauslastung max]]*Tabelle58971121[[#This Row],[installierte Leistung MW max]]</f>
        <v>1764.7632000000001</v>
      </c>
      <c r="EI212" s="83">
        <f>Tabelle58971121[[#This Row],[Maximalauslastung durch]]*Tabelle58971121[[#This Row],[installierte Leistung MW min]]</f>
        <v>1013.6879999999999</v>
      </c>
      <c r="EJ212" s="46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4">
        <v>3</v>
      </c>
      <c r="EU212" s="1">
        <v>1.625</v>
      </c>
      <c r="EV212" s="1">
        <v>0.5</v>
      </c>
      <c r="EW212" s="54">
        <v>3</v>
      </c>
      <c r="EX212" s="1">
        <v>5.2</v>
      </c>
      <c r="EY212" s="1">
        <v>4.7</v>
      </c>
      <c r="EZ212" s="54">
        <v>5.7</v>
      </c>
      <c r="FA212" s="1">
        <v>5.2</v>
      </c>
      <c r="FB212" s="1">
        <v>4.7</v>
      </c>
      <c r="FC212" s="54">
        <v>5.7</v>
      </c>
      <c r="FD212" s="1">
        <v>6</v>
      </c>
      <c r="FE212" s="1">
        <v>4.8</v>
      </c>
      <c r="FF212" s="54">
        <v>7.2</v>
      </c>
      <c r="FG212" s="1">
        <v>11.2</v>
      </c>
      <c r="FH212" s="1">
        <v>11.2</v>
      </c>
      <c r="FI212" s="54">
        <v>11.2</v>
      </c>
      <c r="FJ212" s="1">
        <v>6.6</v>
      </c>
      <c r="FK212" s="1">
        <v>4.8999999999999995</v>
      </c>
      <c r="FL212" s="54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39">
        <v>0.86</v>
      </c>
      <c r="ED213" s="39">
        <v>0.83</v>
      </c>
      <c r="EE213" s="39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6">
        <f>Tabelle58971121[[#This Row],[Durchschnittsauslastung max]]*Tabelle58971121[[#This Row],[installierte Leistung MW max]]</f>
        <v>1911.8267999999998</v>
      </c>
      <c r="EI213" s="83">
        <f>Tabelle58971121[[#This Row],[Maximalauslastung durch]]*Tabelle58971121[[#This Row],[installierte Leistung MW min]]</f>
        <v>1098.162</v>
      </c>
      <c r="EJ213" s="46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4">
        <v>3</v>
      </c>
      <c r="EU213" s="1">
        <v>1.625</v>
      </c>
      <c r="EV213" s="1">
        <v>0.5</v>
      </c>
      <c r="EW213" s="54">
        <v>3</v>
      </c>
      <c r="EX213" s="1">
        <v>5.2</v>
      </c>
      <c r="EY213" s="1">
        <v>4.7</v>
      </c>
      <c r="EZ213" s="54">
        <v>5.7</v>
      </c>
      <c r="FA213" s="1">
        <v>5.2</v>
      </c>
      <c r="FB213" s="1">
        <v>4.7</v>
      </c>
      <c r="FC213" s="54">
        <v>5.7</v>
      </c>
      <c r="FD213" s="1">
        <v>6</v>
      </c>
      <c r="FE213" s="1">
        <v>4.8</v>
      </c>
      <c r="FF213" s="54">
        <v>7.2</v>
      </c>
      <c r="FG213" s="1">
        <v>11.2</v>
      </c>
      <c r="FH213" s="1">
        <v>11.2</v>
      </c>
      <c r="FI213" s="54">
        <v>11.2</v>
      </c>
      <c r="FJ213" s="1">
        <v>6.6</v>
      </c>
      <c r="FK213" s="1">
        <v>4.8999999999999995</v>
      </c>
      <c r="FL213" s="54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39">
        <v>0.86</v>
      </c>
      <c r="ED214" s="39">
        <v>0.83</v>
      </c>
      <c r="EE214" s="39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6">
        <f>Tabelle58971121[[#This Row],[Durchschnittsauslastung max]]*Tabelle58971121[[#This Row],[installierte Leistung MW max]]</f>
        <v>2058.8904000000002</v>
      </c>
      <c r="EI214" s="83">
        <f>Tabelle58971121[[#This Row],[Maximalauslastung durch]]*Tabelle58971121[[#This Row],[installierte Leistung MW min]]</f>
        <v>1182.636</v>
      </c>
      <c r="EJ214" s="46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4">
        <v>3</v>
      </c>
      <c r="EU214" s="1">
        <v>1.625</v>
      </c>
      <c r="EV214" s="1">
        <v>0.5</v>
      </c>
      <c r="EW214" s="54">
        <v>3</v>
      </c>
      <c r="EX214" s="1">
        <v>5.2</v>
      </c>
      <c r="EY214" s="1">
        <v>4.7</v>
      </c>
      <c r="EZ214" s="54">
        <v>5.7</v>
      </c>
      <c r="FA214" s="1">
        <v>5.2</v>
      </c>
      <c r="FB214" s="1">
        <v>4.7</v>
      </c>
      <c r="FC214" s="54">
        <v>5.7</v>
      </c>
      <c r="FD214" s="1">
        <v>6</v>
      </c>
      <c r="FE214" s="1">
        <v>4.8</v>
      </c>
      <c r="FF214" s="54">
        <v>7.2</v>
      </c>
      <c r="FG214" s="1">
        <v>11.2</v>
      </c>
      <c r="FH214" s="1">
        <v>11.2</v>
      </c>
      <c r="FI214" s="54">
        <v>11.2</v>
      </c>
      <c r="FJ214" s="1">
        <v>6.6</v>
      </c>
      <c r="FK214" s="1">
        <v>4.8999999999999995</v>
      </c>
      <c r="FL214" s="54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39">
        <v>0.86</v>
      </c>
      <c r="ED215" s="39">
        <v>0.83</v>
      </c>
      <c r="EE215" s="39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6">
        <f>Tabelle58971121[[#This Row],[Durchschnittsauslastung max]]*Tabelle58971121[[#This Row],[installierte Leistung MW max]]</f>
        <v>2205.9540000000002</v>
      </c>
      <c r="EI215" s="83">
        <f>Tabelle58971121[[#This Row],[Maximalauslastung durch]]*Tabelle58971121[[#This Row],[installierte Leistung MW min]]</f>
        <v>1267.1100000000001</v>
      </c>
      <c r="EJ215" s="46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4">
        <v>3</v>
      </c>
      <c r="EU215" s="1">
        <v>1.625</v>
      </c>
      <c r="EV215" s="1">
        <v>0.5</v>
      </c>
      <c r="EW215" s="54">
        <v>3</v>
      </c>
      <c r="EX215" s="1">
        <v>5.2</v>
      </c>
      <c r="EY215" s="1">
        <v>4.7</v>
      </c>
      <c r="EZ215" s="54">
        <v>5.7</v>
      </c>
      <c r="FA215" s="1">
        <v>5.2</v>
      </c>
      <c r="FB215" s="1">
        <v>4.7</v>
      </c>
      <c r="FC215" s="54">
        <v>5.7</v>
      </c>
      <c r="FD215" s="1">
        <v>6</v>
      </c>
      <c r="FE215" s="1">
        <v>4.8</v>
      </c>
      <c r="FF215" s="54">
        <v>7.2</v>
      </c>
      <c r="FG215" s="1">
        <v>11.2</v>
      </c>
      <c r="FH215" s="1">
        <v>11.2</v>
      </c>
      <c r="FI215" s="54">
        <v>11.2</v>
      </c>
      <c r="FJ215" s="1">
        <v>6.6</v>
      </c>
      <c r="FK215" s="1">
        <v>4.8999999999999995</v>
      </c>
      <c r="FL215" s="54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39">
        <v>0.86</v>
      </c>
      <c r="ED216" s="39">
        <v>0.83</v>
      </c>
      <c r="EE216" s="39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6">
        <f>Tabelle58971121[[#This Row],[Durchschnittsauslastung max]]*Tabelle58971121[[#This Row],[installierte Leistung MW max]]</f>
        <v>2385.6983999999998</v>
      </c>
      <c r="EI216" s="83">
        <f>Tabelle58971121[[#This Row],[Maximalauslastung durch]]*Tabelle58971121[[#This Row],[installierte Leistung MW min]]</f>
        <v>1370.356</v>
      </c>
      <c r="EJ216" s="46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4">
        <v>3</v>
      </c>
      <c r="EU216" s="1">
        <v>1.625</v>
      </c>
      <c r="EV216" s="1">
        <v>0.5</v>
      </c>
      <c r="EW216" s="54">
        <v>3</v>
      </c>
      <c r="EX216" s="1">
        <v>5.2</v>
      </c>
      <c r="EY216" s="1">
        <v>4.7</v>
      </c>
      <c r="EZ216" s="54">
        <v>5.7</v>
      </c>
      <c r="FA216" s="1">
        <v>5.2</v>
      </c>
      <c r="FB216" s="1">
        <v>4.7</v>
      </c>
      <c r="FC216" s="54">
        <v>5.7</v>
      </c>
      <c r="FD216" s="1">
        <v>6</v>
      </c>
      <c r="FE216" s="1">
        <v>4.8</v>
      </c>
      <c r="FF216" s="54">
        <v>7.2</v>
      </c>
      <c r="FG216" s="1">
        <v>11.2</v>
      </c>
      <c r="FH216" s="1">
        <v>11.2</v>
      </c>
      <c r="FI216" s="54">
        <v>11.2</v>
      </c>
      <c r="FJ216" s="1">
        <v>6.6</v>
      </c>
      <c r="FK216" s="1">
        <v>4.8999999999999995</v>
      </c>
      <c r="FL216" s="54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39">
        <v>0.86</v>
      </c>
      <c r="ED217" s="39">
        <v>0.83</v>
      </c>
      <c r="EE217" s="39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6">
        <f>Tabelle58971121[[#This Row],[Durchschnittsauslastung max]]*Tabelle58971121[[#This Row],[installierte Leistung MW max]]</f>
        <v>2565.4427999999998</v>
      </c>
      <c r="EI217" s="83">
        <f>Tabelle58971121[[#This Row],[Maximalauslastung durch]]*Tabelle58971121[[#This Row],[installierte Leistung MW min]]</f>
        <v>1473.6020000000001</v>
      </c>
      <c r="EJ217" s="46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4">
        <v>3</v>
      </c>
      <c r="EU217" s="1">
        <v>1.625</v>
      </c>
      <c r="EV217" s="1">
        <v>0.5</v>
      </c>
      <c r="EW217" s="54">
        <v>3</v>
      </c>
      <c r="EX217" s="1">
        <v>5.2</v>
      </c>
      <c r="EY217" s="1">
        <v>4.7</v>
      </c>
      <c r="EZ217" s="54">
        <v>5.7</v>
      </c>
      <c r="FA217" s="1">
        <v>5.2</v>
      </c>
      <c r="FB217" s="1">
        <v>4.7</v>
      </c>
      <c r="FC217" s="54">
        <v>5.7</v>
      </c>
      <c r="FD217" s="1">
        <v>6</v>
      </c>
      <c r="FE217" s="1">
        <v>4.8</v>
      </c>
      <c r="FF217" s="54">
        <v>7.2</v>
      </c>
      <c r="FG217" s="1">
        <v>11.2</v>
      </c>
      <c r="FH217" s="1">
        <v>11.2</v>
      </c>
      <c r="FI217" s="54">
        <v>11.2</v>
      </c>
      <c r="FJ217" s="1">
        <v>6.6</v>
      </c>
      <c r="FK217" s="1">
        <v>4.8999999999999995</v>
      </c>
      <c r="FL217" s="54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39">
        <v>0.8</v>
      </c>
      <c r="ED218" s="39">
        <v>0.72</v>
      </c>
      <c r="EE218" s="39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6">
        <f>Tabelle58971121[[#This Row],[Durchschnittsauslastung max]]*Tabelle58971121[[#This Row],[installierte Leistung MW max]]</f>
        <v>180.4</v>
      </c>
      <c r="EI218" s="83">
        <f>Tabelle58971121[[#This Row],[Maximalauslastung durch]]*Tabelle58971121[[#This Row],[installierte Leistung MW min]]</f>
        <v>152.94999999999999</v>
      </c>
      <c r="EJ218" s="46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4">
        <v>1</v>
      </c>
      <c r="EU218" s="1">
        <v>0.24374999999999999</v>
      </c>
      <c r="EV218" s="1">
        <v>2.7777777777777778E-4</v>
      </c>
      <c r="EW218" s="54">
        <v>1</v>
      </c>
      <c r="EX218" s="1">
        <v>2.8</v>
      </c>
      <c r="EY218" s="1">
        <v>2.5</v>
      </c>
      <c r="EZ218" s="54">
        <v>3.0999999999999996</v>
      </c>
      <c r="FA218" s="1">
        <v>2.8</v>
      </c>
      <c r="FB218" s="1">
        <v>2.5</v>
      </c>
      <c r="FC218" s="54">
        <v>3.0999999999999996</v>
      </c>
      <c r="FD218" s="1">
        <v>3</v>
      </c>
      <c r="FE218" s="1">
        <v>2.7</v>
      </c>
      <c r="FF218" s="54">
        <v>3.3</v>
      </c>
      <c r="FG218" s="1">
        <v>5.8</v>
      </c>
      <c r="FH218" s="1">
        <v>5.8</v>
      </c>
      <c r="FI218" s="54">
        <v>5.8</v>
      </c>
      <c r="FJ218" s="1">
        <v>3.6</v>
      </c>
      <c r="FK218" s="1">
        <v>2.9000000000000004</v>
      </c>
      <c r="FL218" s="54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39">
        <v>0.8</v>
      </c>
      <c r="ED219" s="39">
        <v>0.72</v>
      </c>
      <c r="EE219" s="39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6">
        <f>Tabelle58971121[[#This Row],[Durchschnittsauslastung max]]*Tabelle58971121[[#This Row],[installierte Leistung MW max]]</f>
        <v>182.20400000000001</v>
      </c>
      <c r="EI219" s="83">
        <f>Tabelle58971121[[#This Row],[Maximalauslastung durch]]*Tabelle58971121[[#This Row],[installierte Leistung MW min]]</f>
        <v>154.4795</v>
      </c>
      <c r="EJ219" s="46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4">
        <v>1</v>
      </c>
      <c r="EU219" s="1">
        <v>0.24374999999999999</v>
      </c>
      <c r="EV219" s="1">
        <v>2.7777777777777778E-4</v>
      </c>
      <c r="EW219" s="54">
        <v>1</v>
      </c>
      <c r="EX219" s="1">
        <v>2.8</v>
      </c>
      <c r="EY219" s="1">
        <v>2.5</v>
      </c>
      <c r="EZ219" s="54">
        <v>3.0999999999999996</v>
      </c>
      <c r="FA219" s="1">
        <v>2.8</v>
      </c>
      <c r="FB219" s="1">
        <v>2.5</v>
      </c>
      <c r="FC219" s="54">
        <v>3.0999999999999996</v>
      </c>
      <c r="FD219" s="1">
        <v>3</v>
      </c>
      <c r="FE219" s="1">
        <v>2.7</v>
      </c>
      <c r="FF219" s="54">
        <v>3.3</v>
      </c>
      <c r="FG219" s="1">
        <v>5.8</v>
      </c>
      <c r="FH219" s="1">
        <v>5.8</v>
      </c>
      <c r="FI219" s="54">
        <v>5.8</v>
      </c>
      <c r="FJ219" s="1">
        <v>3.6</v>
      </c>
      <c r="FK219" s="1">
        <v>2.9000000000000004</v>
      </c>
      <c r="FL219" s="54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39">
        <v>0.8</v>
      </c>
      <c r="ED220" s="39">
        <v>0.72</v>
      </c>
      <c r="EE220" s="39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6">
        <f>Tabelle58971121[[#This Row],[Durchschnittsauslastung max]]*Tabelle58971121[[#This Row],[installierte Leistung MW max]]</f>
        <v>184.00800000000001</v>
      </c>
      <c r="EI220" s="83">
        <f>Tabelle58971121[[#This Row],[Maximalauslastung durch]]*Tabelle58971121[[#This Row],[installierte Leistung MW min]]</f>
        <v>156.00899999999999</v>
      </c>
      <c r="EJ220" s="46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4">
        <v>1</v>
      </c>
      <c r="EU220" s="1">
        <v>0.24374999999999999</v>
      </c>
      <c r="EV220" s="1">
        <v>2.7777777777777778E-4</v>
      </c>
      <c r="EW220" s="54">
        <v>1</v>
      </c>
      <c r="EX220" s="1">
        <v>2.8</v>
      </c>
      <c r="EY220" s="1">
        <v>2.5</v>
      </c>
      <c r="EZ220" s="54">
        <v>3.0999999999999996</v>
      </c>
      <c r="FA220" s="1">
        <v>2.8</v>
      </c>
      <c r="FB220" s="1">
        <v>2.5</v>
      </c>
      <c r="FC220" s="54">
        <v>3.0999999999999996</v>
      </c>
      <c r="FD220" s="1">
        <v>3</v>
      </c>
      <c r="FE220" s="1">
        <v>2.7</v>
      </c>
      <c r="FF220" s="54">
        <v>3.3</v>
      </c>
      <c r="FG220" s="1">
        <v>5.8</v>
      </c>
      <c r="FH220" s="1">
        <v>5.8</v>
      </c>
      <c r="FI220" s="54">
        <v>5.8</v>
      </c>
      <c r="FJ220" s="1">
        <v>3.6</v>
      </c>
      <c r="FK220" s="1">
        <v>2.9000000000000004</v>
      </c>
      <c r="FL220" s="54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39">
        <v>0.8</v>
      </c>
      <c r="ED221" s="39">
        <v>0.72</v>
      </c>
      <c r="EE221" s="39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6">
        <f>Tabelle58971121[[#This Row],[Durchschnittsauslastung max]]*Tabelle58971121[[#This Row],[installierte Leistung MW max]]</f>
        <v>185.81200000000001</v>
      </c>
      <c r="EI221" s="83">
        <f>Tabelle58971121[[#This Row],[Maximalauslastung durch]]*Tabelle58971121[[#This Row],[installierte Leistung MW min]]</f>
        <v>157.5385</v>
      </c>
      <c r="EJ221" s="46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4">
        <v>1</v>
      </c>
      <c r="EU221" s="1">
        <v>0.24374999999999999</v>
      </c>
      <c r="EV221" s="1">
        <v>2.7777777777777778E-4</v>
      </c>
      <c r="EW221" s="54">
        <v>1</v>
      </c>
      <c r="EX221" s="1">
        <v>2.8</v>
      </c>
      <c r="EY221" s="1">
        <v>2.5</v>
      </c>
      <c r="EZ221" s="54">
        <v>3.0999999999999996</v>
      </c>
      <c r="FA221" s="1">
        <v>2.8</v>
      </c>
      <c r="FB221" s="1">
        <v>2.5</v>
      </c>
      <c r="FC221" s="54">
        <v>3.0999999999999996</v>
      </c>
      <c r="FD221" s="1">
        <v>3</v>
      </c>
      <c r="FE221" s="1">
        <v>2.7</v>
      </c>
      <c r="FF221" s="54">
        <v>3.3</v>
      </c>
      <c r="FG221" s="1">
        <v>5.8</v>
      </c>
      <c r="FH221" s="1">
        <v>5.8</v>
      </c>
      <c r="FI221" s="54">
        <v>5.8</v>
      </c>
      <c r="FJ221" s="1">
        <v>3.6</v>
      </c>
      <c r="FK221" s="1">
        <v>2.9000000000000004</v>
      </c>
      <c r="FL221" s="54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39">
        <v>0.8</v>
      </c>
      <c r="ED222" s="39">
        <v>0.72</v>
      </c>
      <c r="EE222" s="39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6">
        <f>Tabelle58971121[[#This Row],[Durchschnittsauslastung max]]*Tabelle58971121[[#This Row],[installierte Leistung MW max]]</f>
        <v>187.61600000000001</v>
      </c>
      <c r="EI222" s="83">
        <f>Tabelle58971121[[#This Row],[Maximalauslastung durch]]*Tabelle58971121[[#This Row],[installierte Leistung MW min]]</f>
        <v>159.06799999999998</v>
      </c>
      <c r="EJ222" s="46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4">
        <v>1</v>
      </c>
      <c r="EU222" s="1">
        <v>0.24374999999999999</v>
      </c>
      <c r="EV222" s="1">
        <v>2.7777777777777778E-4</v>
      </c>
      <c r="EW222" s="54">
        <v>1</v>
      </c>
      <c r="EX222" s="1">
        <v>2.8</v>
      </c>
      <c r="EY222" s="1">
        <v>2.5</v>
      </c>
      <c r="EZ222" s="54">
        <v>3.0999999999999996</v>
      </c>
      <c r="FA222" s="1">
        <v>2.8</v>
      </c>
      <c r="FB222" s="1">
        <v>2.5</v>
      </c>
      <c r="FC222" s="54">
        <v>3.0999999999999996</v>
      </c>
      <c r="FD222" s="1">
        <v>3</v>
      </c>
      <c r="FE222" s="1">
        <v>2.7</v>
      </c>
      <c r="FF222" s="54">
        <v>3.3</v>
      </c>
      <c r="FG222" s="1">
        <v>5.8</v>
      </c>
      <c r="FH222" s="1">
        <v>5.8</v>
      </c>
      <c r="FI222" s="54">
        <v>5.8</v>
      </c>
      <c r="FJ222" s="1">
        <v>3.6</v>
      </c>
      <c r="FK222" s="1">
        <v>2.9000000000000004</v>
      </c>
      <c r="FL222" s="54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39">
        <v>0.8</v>
      </c>
      <c r="ED223" s="39">
        <v>0.72</v>
      </c>
      <c r="EE223" s="39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6">
        <f>Tabelle58971121[[#This Row],[Durchschnittsauslastung max]]*Tabelle58971121[[#This Row],[installierte Leistung MW max]]</f>
        <v>189.42</v>
      </c>
      <c r="EI223" s="83">
        <f>Tabelle58971121[[#This Row],[Maximalauslastung durch]]*Tabelle58971121[[#This Row],[installierte Leistung MW min]]</f>
        <v>160.5975</v>
      </c>
      <c r="EJ223" s="46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4">
        <v>1</v>
      </c>
      <c r="EU223" s="1">
        <v>0.24374999999999999</v>
      </c>
      <c r="EV223" s="1">
        <v>2.7777777777777778E-4</v>
      </c>
      <c r="EW223" s="54">
        <v>1</v>
      </c>
      <c r="EX223" s="1">
        <v>2.8</v>
      </c>
      <c r="EY223" s="1">
        <v>2.5</v>
      </c>
      <c r="EZ223" s="54">
        <v>3.0999999999999996</v>
      </c>
      <c r="FA223" s="1">
        <v>2.8</v>
      </c>
      <c r="FB223" s="1">
        <v>2.5</v>
      </c>
      <c r="FC223" s="54">
        <v>3.0999999999999996</v>
      </c>
      <c r="FD223" s="1">
        <v>3</v>
      </c>
      <c r="FE223" s="1">
        <v>2.7</v>
      </c>
      <c r="FF223" s="54">
        <v>3.3</v>
      </c>
      <c r="FG223" s="1">
        <v>5.8</v>
      </c>
      <c r="FH223" s="1">
        <v>5.8</v>
      </c>
      <c r="FI223" s="54">
        <v>5.8</v>
      </c>
      <c r="FJ223" s="1">
        <v>3.6</v>
      </c>
      <c r="FK223" s="1">
        <v>2.9000000000000004</v>
      </c>
      <c r="FL223" s="54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39">
        <v>0.8</v>
      </c>
      <c r="ED224" s="39">
        <v>0.72</v>
      </c>
      <c r="EE224" s="39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6">
        <f>Tabelle58971121[[#This Row],[Durchschnittsauslastung max]]*Tabelle58971121[[#This Row],[installierte Leistung MW max]]</f>
        <v>191.22400000000002</v>
      </c>
      <c r="EI224" s="83">
        <f>Tabelle58971121[[#This Row],[Maximalauslastung durch]]*Tabelle58971121[[#This Row],[installierte Leistung MW min]]</f>
        <v>162.12699999999998</v>
      </c>
      <c r="EJ224" s="46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4">
        <v>1</v>
      </c>
      <c r="EU224" s="1">
        <v>0.24374999999999999</v>
      </c>
      <c r="EV224" s="1">
        <v>2.7777777777777778E-4</v>
      </c>
      <c r="EW224" s="54">
        <v>1</v>
      </c>
      <c r="EX224" s="1">
        <v>2.8</v>
      </c>
      <c r="EY224" s="1">
        <v>2.5</v>
      </c>
      <c r="EZ224" s="54">
        <v>3.0999999999999996</v>
      </c>
      <c r="FA224" s="1">
        <v>2.8</v>
      </c>
      <c r="FB224" s="1">
        <v>2.5</v>
      </c>
      <c r="FC224" s="54">
        <v>3.0999999999999996</v>
      </c>
      <c r="FD224" s="1">
        <v>3</v>
      </c>
      <c r="FE224" s="1">
        <v>2.7</v>
      </c>
      <c r="FF224" s="54">
        <v>3.3</v>
      </c>
      <c r="FG224" s="1">
        <v>5.8</v>
      </c>
      <c r="FH224" s="1">
        <v>5.8</v>
      </c>
      <c r="FI224" s="54">
        <v>5.8</v>
      </c>
      <c r="FJ224" s="1">
        <v>3.6</v>
      </c>
      <c r="FK224" s="1">
        <v>2.9000000000000004</v>
      </c>
      <c r="FL224" s="54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39">
        <v>0.8</v>
      </c>
      <c r="ED225" s="39">
        <v>0.72</v>
      </c>
      <c r="EE225" s="39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6">
        <f>Tabelle58971121[[#This Row],[Durchschnittsauslastung max]]*Tabelle58971121[[#This Row],[installierte Leistung MW max]]</f>
        <v>193.02800000000002</v>
      </c>
      <c r="EI225" s="83">
        <f>Tabelle58971121[[#This Row],[Maximalauslastung durch]]*Tabelle58971121[[#This Row],[installierte Leistung MW min]]</f>
        <v>163.65649999999999</v>
      </c>
      <c r="EJ225" s="46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4">
        <v>1</v>
      </c>
      <c r="EU225" s="1">
        <v>0.24374999999999999</v>
      </c>
      <c r="EV225" s="1">
        <v>2.7777777777777778E-4</v>
      </c>
      <c r="EW225" s="54">
        <v>1</v>
      </c>
      <c r="EX225" s="1">
        <v>2.8</v>
      </c>
      <c r="EY225" s="1">
        <v>2.5</v>
      </c>
      <c r="EZ225" s="54">
        <v>3.0999999999999996</v>
      </c>
      <c r="FA225" s="1">
        <v>2.8</v>
      </c>
      <c r="FB225" s="1">
        <v>2.5</v>
      </c>
      <c r="FC225" s="54">
        <v>3.0999999999999996</v>
      </c>
      <c r="FD225" s="1">
        <v>3</v>
      </c>
      <c r="FE225" s="1">
        <v>2.7</v>
      </c>
      <c r="FF225" s="54">
        <v>3.3</v>
      </c>
      <c r="FG225" s="1">
        <v>5.8</v>
      </c>
      <c r="FH225" s="1">
        <v>5.8</v>
      </c>
      <c r="FI225" s="54">
        <v>5.8</v>
      </c>
      <c r="FJ225" s="1">
        <v>3.6</v>
      </c>
      <c r="FK225" s="1">
        <v>2.9000000000000004</v>
      </c>
      <c r="FL225" s="54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39">
        <v>0.84730659025787969</v>
      </c>
      <c r="ED226" s="39">
        <v>0.80401221995926675</v>
      </c>
      <c r="EE226" s="39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6">
        <f>Tabelle58971121[[#This Row],[Durchschnittsauslastung max]]*Tabelle58971121[[#This Row],[installierte Leistung MW max]]</f>
        <v>798.40620994475137</v>
      </c>
      <c r="EI226" s="83">
        <f>Tabelle58971121[[#This Row],[Maximalauslastung durch]]*Tabelle58971121[[#This Row],[installierte Leistung MW min]]</f>
        <v>467.40000000000009</v>
      </c>
      <c r="EJ226" s="46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4">
        <v>0.5</v>
      </c>
      <c r="EU226" s="1">
        <v>0.77166666666666672</v>
      </c>
      <c r="EV226" s="1">
        <v>8.3333333333333329E-2</v>
      </c>
      <c r="EW226" s="54">
        <v>3</v>
      </c>
      <c r="EX226" s="1">
        <v>1.3</v>
      </c>
      <c r="EY226" s="1">
        <v>0.5</v>
      </c>
      <c r="EZ226" s="54">
        <v>2.4</v>
      </c>
      <c r="FA226" s="1">
        <v>1.3</v>
      </c>
      <c r="FB226" s="1">
        <v>0.5</v>
      </c>
      <c r="FC226" s="54">
        <v>2.4</v>
      </c>
      <c r="FD226" s="1">
        <v>3</v>
      </c>
      <c r="FE226" s="1">
        <v>1</v>
      </c>
      <c r="FF226" s="54">
        <v>5</v>
      </c>
      <c r="FG226" s="1">
        <v>4.3</v>
      </c>
      <c r="FH226" s="1">
        <v>4.3</v>
      </c>
      <c r="FI226" s="54">
        <v>4.3</v>
      </c>
      <c r="FJ226" s="1">
        <v>3.4</v>
      </c>
      <c r="FK226" s="1">
        <v>1.6</v>
      </c>
      <c r="FL226" s="54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39">
        <v>0.84754284054603546</v>
      </c>
      <c r="ED227" s="39">
        <v>0.80262852163810638</v>
      </c>
      <c r="EE227" s="39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6">
        <f>Tabelle58971121[[#This Row],[Durchschnittsauslastung max]]*Tabelle58971121[[#This Row],[installierte Leistung MW max]]</f>
        <v>865.82311805157588</v>
      </c>
      <c r="EI227" s="83">
        <f>Tabelle58971121[[#This Row],[Maximalauslastung durch]]*Tabelle58971121[[#This Row],[installierte Leistung MW min]]</f>
        <v>507.2160515759312</v>
      </c>
      <c r="EJ227" s="46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4">
        <v>0.5</v>
      </c>
      <c r="EU227" s="1">
        <v>0.77166666666666672</v>
      </c>
      <c r="EV227" s="1">
        <v>8.3333333333333329E-2</v>
      </c>
      <c r="EW227" s="54">
        <v>3</v>
      </c>
      <c r="EX227" s="1">
        <v>0.77200116177751965</v>
      </c>
      <c r="EY227" s="1">
        <v>0.5</v>
      </c>
      <c r="EZ227" s="54">
        <v>2.4</v>
      </c>
      <c r="FA227" s="1">
        <v>0.77200116177751965</v>
      </c>
      <c r="FB227" s="1">
        <v>0.5</v>
      </c>
      <c r="FC227" s="54">
        <v>2.4</v>
      </c>
      <c r="FD227" s="1">
        <v>2.2457159453964568</v>
      </c>
      <c r="FE227" s="1">
        <v>1</v>
      </c>
      <c r="FF227" s="54">
        <v>5</v>
      </c>
      <c r="FG227" s="1">
        <v>3.0177171071739766</v>
      </c>
      <c r="FH227" s="1">
        <v>2.3674418604651164</v>
      </c>
      <c r="FI227" s="54">
        <v>2.6029526238088847</v>
      </c>
      <c r="FJ227" s="1">
        <v>2.4948591344757483</v>
      </c>
      <c r="FK227" s="1">
        <v>1.6</v>
      </c>
      <c r="FL227" s="54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39">
        <v>0.84778156249239667</v>
      </c>
      <c r="ED228" s="39">
        <v>0.80334468747719034</v>
      </c>
      <c r="EE228" s="39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6">
        <f>Tabelle58971121[[#This Row],[Durchschnittsauslastung max]]*Tabelle58971121[[#This Row],[installierte Leistung MW max]]</f>
        <v>939.36781031518626</v>
      </c>
      <c r="EI228" s="83">
        <f>Tabelle58971121[[#This Row],[Maximalauslastung durch]]*Tabelle58971121[[#This Row],[installierte Leistung MW min]]</f>
        <v>550.44720343839538</v>
      </c>
      <c r="EJ228" s="46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4">
        <v>0.5</v>
      </c>
      <c r="EU228" s="1">
        <v>0.77166666666666672</v>
      </c>
      <c r="EV228" s="1">
        <v>8.3333333333333329E-2</v>
      </c>
      <c r="EW228" s="54">
        <v>3</v>
      </c>
      <c r="EX228" s="1">
        <v>0.75529062553222559</v>
      </c>
      <c r="EY228" s="1">
        <v>0.5</v>
      </c>
      <c r="EZ228" s="54">
        <v>2.4</v>
      </c>
      <c r="FA228" s="1">
        <v>0.75529062553222559</v>
      </c>
      <c r="FB228" s="1">
        <v>0.5</v>
      </c>
      <c r="FC228" s="54">
        <v>2.4</v>
      </c>
      <c r="FD228" s="1">
        <v>2.2218437507603221</v>
      </c>
      <c r="FE228" s="1">
        <v>1</v>
      </c>
      <c r="FF228" s="54">
        <v>5</v>
      </c>
      <c r="FG228" s="1">
        <v>2.9771343762925482</v>
      </c>
      <c r="FH228" s="1">
        <v>2.3502905100064559</v>
      </c>
      <c r="FI228" s="54">
        <v>2.5656282837869906</v>
      </c>
      <c r="FJ228" s="1">
        <v>2.4662125009123868</v>
      </c>
      <c r="FK228" s="1">
        <v>1.6</v>
      </c>
      <c r="FL228" s="54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39">
        <v>0.84786474847380633</v>
      </c>
      <c r="ED229" s="39">
        <v>0.80359424542141877</v>
      </c>
      <c r="EE229" s="39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6">
        <f>Tabelle58971121[[#This Row],[Durchschnittsauslastung max]]*Tabelle58971121[[#This Row],[installierte Leistung MW max]]</f>
        <v>965.81253524355293</v>
      </c>
      <c r="EI229" s="83">
        <f>Tabelle58971121[[#This Row],[Maximalauslastung durch]]*Tabelle58971121[[#This Row],[installierte Leistung MW min]]</f>
        <v>565.99595415472777</v>
      </c>
      <c r="EJ229" s="46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4">
        <v>0.5</v>
      </c>
      <c r="EU229" s="1">
        <v>0.77166666666666672</v>
      </c>
      <c r="EV229" s="1">
        <v>8.3333333333333329E-2</v>
      </c>
      <c r="EW229" s="54">
        <v>3</v>
      </c>
      <c r="EX229" s="1">
        <v>0.74946760683356195</v>
      </c>
      <c r="EY229" s="1">
        <v>0.5</v>
      </c>
      <c r="EZ229" s="54">
        <v>2.4</v>
      </c>
      <c r="FA229" s="1">
        <v>0.74946760683356195</v>
      </c>
      <c r="FB229" s="1">
        <v>0.5</v>
      </c>
      <c r="FC229" s="54">
        <v>2.4</v>
      </c>
      <c r="FD229" s="1">
        <v>2.2135251526193742</v>
      </c>
      <c r="FE229" s="1">
        <v>1</v>
      </c>
      <c r="FF229" s="54">
        <v>5</v>
      </c>
      <c r="FG229" s="1">
        <v>2.9629927594529364</v>
      </c>
      <c r="FH229" s="1">
        <v>2.3443609022556395</v>
      </c>
      <c r="FI229" s="54">
        <v>2.5525340143542774</v>
      </c>
      <c r="FJ229" s="1">
        <v>2.4562301831432491</v>
      </c>
      <c r="FK229" s="1">
        <v>1.6</v>
      </c>
      <c r="FL229" s="54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39">
        <v>0.84795769010863353</v>
      </c>
      <c r="ED230" s="39">
        <v>0.8038730703259005</v>
      </c>
      <c r="EE230" s="39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6">
        <f>Tabelle58971121[[#This Row],[Durchschnittsauslastung max]]*Tabelle58971121[[#This Row],[installierte Leistung MW max]]</f>
        <v>999.14234097421195</v>
      </c>
      <c r="EI230" s="83">
        <f>Tabelle58971121[[#This Row],[Maximalauslastung durch]]*Tabelle58971121[[#This Row],[installierte Leistung MW min]]</f>
        <v>585.5892550143268</v>
      </c>
      <c r="EJ230" s="46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4">
        <v>0.5</v>
      </c>
      <c r="EU230" s="1">
        <v>0.77166666666666683</v>
      </c>
      <c r="EV230" s="1">
        <v>8.3333333333333329E-2</v>
      </c>
      <c r="EW230" s="54">
        <v>3</v>
      </c>
      <c r="EX230" s="1">
        <v>0.74296169239565468</v>
      </c>
      <c r="EY230" s="1">
        <v>0.5</v>
      </c>
      <c r="EZ230" s="54">
        <v>2.4</v>
      </c>
      <c r="FA230" s="1">
        <v>0.74296169239565468</v>
      </c>
      <c r="FB230" s="1">
        <v>0.5</v>
      </c>
      <c r="FC230" s="54">
        <v>2.4</v>
      </c>
      <c r="FD230" s="1">
        <v>2.2042309891366498</v>
      </c>
      <c r="FE230" s="1">
        <v>1</v>
      </c>
      <c r="FF230" s="54">
        <v>5</v>
      </c>
      <c r="FG230" s="1">
        <v>2.9471926815323046</v>
      </c>
      <c r="FH230" s="1">
        <v>2.3377643504531727</v>
      </c>
      <c r="FI230" s="54">
        <v>2.5378497947870589</v>
      </c>
      <c r="FJ230" s="1">
        <v>2.4450771869639798</v>
      </c>
      <c r="FK230" s="1">
        <v>1.6</v>
      </c>
      <c r="FL230" s="54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39">
        <v>0.84806340134246028</v>
      </c>
      <c r="ED231" s="39">
        <v>0.80419020402738084</v>
      </c>
      <c r="EE231" s="39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6">
        <f>Tabelle58971121[[#This Row],[Durchschnittsauslastung max]]*Tabelle58971121[[#This Row],[installierte Leistung MW max]]</f>
        <v>1031.3765484240689</v>
      </c>
      <c r="EI231" s="83">
        <f>Tabelle58971121[[#This Row],[Maximalauslastung durch]]*Tabelle58971121[[#This Row],[installierte Leistung MW min]]</f>
        <v>604.55310601719214</v>
      </c>
      <c r="EJ231" s="46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4">
        <v>0.5</v>
      </c>
      <c r="EU231" s="1">
        <v>0.77166666666666683</v>
      </c>
      <c r="EV231" s="1">
        <v>8.3333333333333329E-2</v>
      </c>
      <c r="EW231" s="54">
        <v>3</v>
      </c>
      <c r="EX231" s="1">
        <v>0.7355619060277796</v>
      </c>
      <c r="EY231" s="1">
        <v>0.5</v>
      </c>
      <c r="EZ231" s="54">
        <v>2.4</v>
      </c>
      <c r="FA231" s="1">
        <v>0.7355619060277796</v>
      </c>
      <c r="FB231" s="1">
        <v>0.5</v>
      </c>
      <c r="FC231" s="54">
        <v>2.4</v>
      </c>
      <c r="FD231" s="1">
        <v>2.193659865753971</v>
      </c>
      <c r="FE231" s="1">
        <v>1</v>
      </c>
      <c r="FF231" s="54">
        <v>5</v>
      </c>
      <c r="FG231" s="1">
        <v>2.9292217717817506</v>
      </c>
      <c r="FH231" s="1">
        <v>2.3302977232924693</v>
      </c>
      <c r="FI231" s="54">
        <v>2.521077959576516</v>
      </c>
      <c r="FJ231" s="1">
        <v>2.4323918389047652</v>
      </c>
      <c r="FK231" s="1">
        <v>1.6</v>
      </c>
      <c r="FL231" s="54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39">
        <v>0.84814436529053305</v>
      </c>
      <c r="ED232" s="39">
        <v>0.80443309587159884</v>
      </c>
      <c r="EE232" s="39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6">
        <f>Tabelle58971121[[#This Row],[Durchschnittsauslastung max]]*Tabelle58971121[[#This Row],[installierte Leistung MW max]]</f>
        <v>1064.7063541547277</v>
      </c>
      <c r="EI232" s="83">
        <f>Tabelle58971121[[#This Row],[Maximalauslastung durch]]*Tabelle58971121[[#This Row],[installierte Leistung MW min]]</f>
        <v>624.14640687679082</v>
      </c>
      <c r="EJ232" s="46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4">
        <v>0.5</v>
      </c>
      <c r="EU232" s="1">
        <v>0.77166666666666683</v>
      </c>
      <c r="EV232" s="1">
        <v>8.3333333333333329E-2</v>
      </c>
      <c r="EW232" s="54">
        <v>3</v>
      </c>
      <c r="EX232" s="1">
        <v>0.72989442966268991</v>
      </c>
      <c r="EY232" s="1">
        <v>0.5</v>
      </c>
      <c r="EZ232" s="54">
        <v>2.4</v>
      </c>
      <c r="FA232" s="1">
        <v>0.72989442966268991</v>
      </c>
      <c r="FB232" s="1">
        <v>0.5</v>
      </c>
      <c r="FC232" s="54">
        <v>2.4</v>
      </c>
      <c r="FD232" s="1">
        <v>2.1855634709466996</v>
      </c>
      <c r="FE232" s="1">
        <v>1</v>
      </c>
      <c r="FF232" s="54">
        <v>5</v>
      </c>
      <c r="FG232" s="1">
        <v>2.9154579006093897</v>
      </c>
      <c r="FH232" s="1">
        <v>2.324604966139955</v>
      </c>
      <c r="FI232" s="54">
        <v>2.5081817086395954</v>
      </c>
      <c r="FJ232" s="1">
        <v>2.42267616513604</v>
      </c>
      <c r="FK232" s="1">
        <v>1.6</v>
      </c>
      <c r="FL232" s="54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39">
        <v>0.84822040069070259</v>
      </c>
      <c r="ED233" s="39">
        <v>0.80466120207210767</v>
      </c>
      <c r="EE233" s="39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6">
        <f>Tabelle58971121[[#This Row],[Durchschnittsauslastung max]]*Tabelle58971121[[#This Row],[installierte Leistung MW max]]</f>
        <v>1098.0361598853867</v>
      </c>
      <c r="EI233" s="83">
        <f>Tabelle58971121[[#This Row],[Maximalauslastung durch]]*Tabelle58971121[[#This Row],[installierte Leistung MW min]]</f>
        <v>643.73970773638962</v>
      </c>
      <c r="EJ233" s="46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4">
        <v>0.5</v>
      </c>
      <c r="EU233" s="1">
        <v>0.77166666666666672</v>
      </c>
      <c r="EV233" s="1">
        <v>8.3333333333333329E-2</v>
      </c>
      <c r="EW233" s="54">
        <v>3</v>
      </c>
      <c r="EX233" s="1">
        <v>0.72457195165082078</v>
      </c>
      <c r="EY233" s="1">
        <v>0.5</v>
      </c>
      <c r="EZ233" s="54">
        <v>2.4</v>
      </c>
      <c r="FA233" s="1">
        <v>0.72457195165082078</v>
      </c>
      <c r="FB233" s="1">
        <v>0.5</v>
      </c>
      <c r="FC233" s="54">
        <v>2.4</v>
      </c>
      <c r="FD233" s="1">
        <v>2.1779599309297439</v>
      </c>
      <c r="FE233" s="1">
        <v>1</v>
      </c>
      <c r="FF233" s="54">
        <v>5</v>
      </c>
      <c r="FG233" s="1">
        <v>2.9025318825805648</v>
      </c>
      <c r="FH233" s="1">
        <v>2.3192790824685967</v>
      </c>
      <c r="FI233" s="54">
        <v>2.4960301904455431</v>
      </c>
      <c r="FJ233" s="1">
        <v>2.4135519171156927</v>
      </c>
      <c r="FK233" s="1">
        <v>1.6</v>
      </c>
      <c r="FL233" s="54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946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39">
        <v>0.70128691983122371</v>
      </c>
      <c r="ED234" s="39">
        <v>0.66094594594594591</v>
      </c>
      <c r="EE234" s="39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6">
        <f>Tabelle58971121[[#This Row],[Durchschnittsauslastung max]]*Tabelle58971121[[#This Row],[installierte Leistung MW max]]</f>
        <v>429.33150519031142</v>
      </c>
      <c r="EI234" s="83">
        <f>Tabelle58971121[[#This Row],[Maximalauslastung durch]]*Tabelle58971121[[#This Row],[installierte Leistung MW min]]</f>
        <v>328.4546835443038</v>
      </c>
      <c r="EJ234" s="46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4">
        <v>0.25</v>
      </c>
      <c r="EU234" s="1">
        <v>0.27083333333333331</v>
      </c>
      <c r="EV234" s="1">
        <v>8.3333333333333329E-2</v>
      </c>
      <c r="EW234" s="54">
        <v>0.5</v>
      </c>
      <c r="EX234" s="1">
        <v>9.9499999999999993</v>
      </c>
      <c r="EY234" s="1">
        <v>4</v>
      </c>
      <c r="EZ234" s="54">
        <v>16.399999999999999</v>
      </c>
      <c r="FA234" s="1">
        <v>9.9499999999999993</v>
      </c>
      <c r="FB234" s="1">
        <v>4</v>
      </c>
      <c r="FC234" s="54">
        <v>16.399999999999999</v>
      </c>
      <c r="FD234" s="1">
        <v>11.6</v>
      </c>
      <c r="FE234" s="1">
        <v>4.9000000000000004</v>
      </c>
      <c r="FF234" s="54">
        <v>18.899999999999999</v>
      </c>
      <c r="FG234" s="1">
        <v>21.4</v>
      </c>
      <c r="FH234" s="1">
        <v>21.4</v>
      </c>
      <c r="FI234" s="54">
        <v>21.4</v>
      </c>
      <c r="FJ234" s="1">
        <v>13.600000000000001</v>
      </c>
      <c r="FK234" s="1">
        <v>4.8</v>
      </c>
      <c r="FL234" s="54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946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39">
        <v>0.70128691983122371</v>
      </c>
      <c r="ED235" s="39">
        <v>0.66128691983122356</v>
      </c>
      <c r="EE235" s="39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6">
        <f>Tabelle58971121[[#This Row],[Durchschnittsauslastung max]]*Tabelle58971121[[#This Row],[installierte Leistung MW max]]</f>
        <v>420.62102405063297</v>
      </c>
      <c r="EI235" s="83">
        <f>Tabelle58971121[[#This Row],[Maximalauslastung durch]]*Tabelle58971121[[#This Row],[installierte Leistung MW min]]</f>
        <v>321.88558987341776</v>
      </c>
      <c r="EJ235" s="46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4">
        <v>0.25</v>
      </c>
      <c r="EU235" s="1">
        <v>0.27083333333333337</v>
      </c>
      <c r="EV235" s="1">
        <v>8.3333333333333329E-2</v>
      </c>
      <c r="EW235" s="54">
        <v>0.5</v>
      </c>
      <c r="EX235" s="1">
        <v>10.994303797468355</v>
      </c>
      <c r="EY235" s="1">
        <v>4</v>
      </c>
      <c r="EZ235" s="54">
        <v>16.399999999999999</v>
      </c>
      <c r="FA235" s="1">
        <v>10.994303797468355</v>
      </c>
      <c r="FB235" s="1">
        <v>4</v>
      </c>
      <c r="FC235" s="54">
        <v>16.399999999999999</v>
      </c>
      <c r="FD235" s="1">
        <v>12.781434599156119</v>
      </c>
      <c r="FE235" s="1">
        <v>4.9000000000000004</v>
      </c>
      <c r="FF235" s="54">
        <v>18.899999999999999</v>
      </c>
      <c r="FG235" s="1">
        <v>23.657383966244726</v>
      </c>
      <c r="FH235" s="1">
        <v>15.113513513513514</v>
      </c>
      <c r="FI235" s="54">
        <v>15.053287197231835</v>
      </c>
      <c r="FJ235" s="1">
        <v>15.076793248945149</v>
      </c>
      <c r="FK235" s="1">
        <v>4.8</v>
      </c>
      <c r="FL235" s="54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946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39">
        <v>0.70128691983122371</v>
      </c>
      <c r="ED236" s="39">
        <v>0.66128691983122367</v>
      </c>
      <c r="EE236" s="39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6">
        <f>Tabelle58971121[[#This Row],[Durchschnittsauslastung max]]*Tabelle58971121[[#This Row],[installierte Leistung MW max]]</f>
        <v>407.74487025316455</v>
      </c>
      <c r="EI236" s="83">
        <f>Tabelle58971121[[#This Row],[Maximalauslastung durch]]*Tabelle58971121[[#This Row],[installierte Leistung MW min]]</f>
        <v>312.0319493670886</v>
      </c>
      <c r="EJ236" s="46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4">
        <v>0.25</v>
      </c>
      <c r="EU236" s="1">
        <v>0.27083333333333331</v>
      </c>
      <c r="EV236" s="1">
        <v>8.3333333333333329E-2</v>
      </c>
      <c r="EW236" s="54">
        <v>0.5</v>
      </c>
      <c r="EX236" s="1">
        <v>10.994303797468355</v>
      </c>
      <c r="EY236" s="1">
        <v>4</v>
      </c>
      <c r="EZ236" s="54">
        <v>16.399999999999999</v>
      </c>
      <c r="FA236" s="1">
        <v>10.994303797468355</v>
      </c>
      <c r="FB236" s="1">
        <v>4</v>
      </c>
      <c r="FC236" s="54">
        <v>16.399999999999999</v>
      </c>
      <c r="FD236" s="1">
        <v>12.781434599156119</v>
      </c>
      <c r="FE236" s="1">
        <v>4.9000000000000004</v>
      </c>
      <c r="FF236" s="54">
        <v>18.899999999999999</v>
      </c>
      <c r="FG236" s="1">
        <v>23.65738396624473</v>
      </c>
      <c r="FH236" s="1">
        <v>15.113513513513514</v>
      </c>
      <c r="FI236" s="54">
        <v>15.053287197231835</v>
      </c>
      <c r="FJ236" s="1">
        <v>15.076793248945149</v>
      </c>
      <c r="FK236" s="1">
        <v>4.8</v>
      </c>
      <c r="FL236" s="54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946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39">
        <v>0.70128691983122371</v>
      </c>
      <c r="ED237" s="39">
        <v>0.66128691983122367</v>
      </c>
      <c r="EE237" s="39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6">
        <f>Tabelle58971121[[#This Row],[Durchschnittsauslastung max]]*Tabelle58971121[[#This Row],[installierte Leistung MW max]]</f>
        <v>399.16076772151899</v>
      </c>
      <c r="EI237" s="83">
        <f>Tabelle58971121[[#This Row],[Maximalauslastung durch]]*Tabelle58971121[[#This Row],[installierte Leistung MW min]]</f>
        <v>305.46285569620255</v>
      </c>
      <c r="EJ237" s="46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4">
        <v>0.25</v>
      </c>
      <c r="EU237" s="1">
        <v>0.27083333333333337</v>
      </c>
      <c r="EV237" s="1">
        <v>8.3333333333333329E-2</v>
      </c>
      <c r="EW237" s="54">
        <v>0.5</v>
      </c>
      <c r="EX237" s="1">
        <v>10.994303797468353</v>
      </c>
      <c r="EY237" s="1">
        <v>4</v>
      </c>
      <c r="EZ237" s="54">
        <v>16.399999999999999</v>
      </c>
      <c r="FA237" s="1">
        <v>10.994303797468353</v>
      </c>
      <c r="FB237" s="1">
        <v>4</v>
      </c>
      <c r="FC237" s="54">
        <v>16.399999999999999</v>
      </c>
      <c r="FD237" s="1">
        <v>12.781434599156118</v>
      </c>
      <c r="FE237" s="1">
        <v>4.9000000000000004</v>
      </c>
      <c r="FF237" s="54">
        <v>18.899999999999999</v>
      </c>
      <c r="FG237" s="1">
        <v>23.657383966244723</v>
      </c>
      <c r="FH237" s="1">
        <v>15.113513513513514</v>
      </c>
      <c r="FI237" s="54">
        <v>15.053287197231835</v>
      </c>
      <c r="FJ237" s="1">
        <v>15.076793248945147</v>
      </c>
      <c r="FK237" s="1">
        <v>4.8</v>
      </c>
      <c r="FL237" s="54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946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39">
        <v>0.70128691983122371</v>
      </c>
      <c r="ED238" s="39">
        <v>0.66128691983122356</v>
      </c>
      <c r="EE238" s="39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6">
        <f>Tabelle58971121[[#This Row],[Durchschnittsauslastung max]]*Tabelle58971121[[#This Row],[installierte Leistung MW max]]</f>
        <v>386.28461392405063</v>
      </c>
      <c r="EI238" s="83">
        <f>Tabelle58971121[[#This Row],[Maximalauslastung durch]]*Tabelle58971121[[#This Row],[installierte Leistung MW min]]</f>
        <v>295.60921518987345</v>
      </c>
      <c r="EJ238" s="46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4">
        <v>0.25</v>
      </c>
      <c r="EU238" s="1">
        <v>0.27083333333333331</v>
      </c>
      <c r="EV238" s="1">
        <v>8.3333333333333329E-2</v>
      </c>
      <c r="EW238" s="54">
        <v>0.5</v>
      </c>
      <c r="EX238" s="1">
        <v>10.994303797468355</v>
      </c>
      <c r="EY238" s="1">
        <v>4</v>
      </c>
      <c r="EZ238" s="54">
        <v>16.399999999999999</v>
      </c>
      <c r="FA238" s="1">
        <v>10.994303797468355</v>
      </c>
      <c r="FB238" s="1">
        <v>4</v>
      </c>
      <c r="FC238" s="54">
        <v>16.399999999999999</v>
      </c>
      <c r="FD238" s="1">
        <v>12.781434599156119</v>
      </c>
      <c r="FE238" s="1">
        <v>4.9000000000000004</v>
      </c>
      <c r="FF238" s="54">
        <v>18.899999999999999</v>
      </c>
      <c r="FG238" s="1">
        <v>23.657383966244726</v>
      </c>
      <c r="FH238" s="1">
        <v>15.113513513513514</v>
      </c>
      <c r="FI238" s="54">
        <v>15.053287197231835</v>
      </c>
      <c r="FJ238" s="1">
        <v>15.076793248945149</v>
      </c>
      <c r="FK238" s="1">
        <v>4.8</v>
      </c>
      <c r="FL238" s="54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946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39">
        <v>0.70128691983122371</v>
      </c>
      <c r="ED239" s="39">
        <v>0.66128691983122367</v>
      </c>
      <c r="EE239" s="39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6">
        <f>Tabelle58971121[[#This Row],[Durchschnittsauslastung max]]*Tabelle58971121[[#This Row],[installierte Leistung MW max]]</f>
        <v>377.70051139240508</v>
      </c>
      <c r="EI239" s="83">
        <f>Tabelle58971121[[#This Row],[Maximalauslastung durch]]*Tabelle58971121[[#This Row],[installierte Leistung MW min]]</f>
        <v>289.04012151898735</v>
      </c>
      <c r="EJ239" s="46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4">
        <v>0.25</v>
      </c>
      <c r="EU239" s="1">
        <v>0.27083333333333331</v>
      </c>
      <c r="EV239" s="1">
        <v>8.3333333333333329E-2</v>
      </c>
      <c r="EW239" s="54">
        <v>0.5</v>
      </c>
      <c r="EX239" s="1">
        <v>10.994303797468355</v>
      </c>
      <c r="EY239" s="1">
        <v>4</v>
      </c>
      <c r="EZ239" s="54">
        <v>16.399999999999999</v>
      </c>
      <c r="FA239" s="1">
        <v>10.994303797468355</v>
      </c>
      <c r="FB239" s="1">
        <v>4</v>
      </c>
      <c r="FC239" s="54">
        <v>16.399999999999999</v>
      </c>
      <c r="FD239" s="1">
        <v>12.781434599156119</v>
      </c>
      <c r="FE239" s="1">
        <v>4.9000000000000004</v>
      </c>
      <c r="FF239" s="54">
        <v>18.899999999999999</v>
      </c>
      <c r="FG239" s="1">
        <v>23.657383966244726</v>
      </c>
      <c r="FH239" s="1">
        <v>15.113513513513514</v>
      </c>
      <c r="FI239" s="54">
        <v>15.053287197231835</v>
      </c>
      <c r="FJ239" s="1">
        <v>15.076793248945149</v>
      </c>
      <c r="FK239" s="1">
        <v>4.8</v>
      </c>
      <c r="FL239" s="54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946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39">
        <v>0.70128691983122371</v>
      </c>
      <c r="ED240" s="39">
        <v>0.66128691983122367</v>
      </c>
      <c r="EE240" s="39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6">
        <f>Tabelle58971121[[#This Row],[Durchschnittsauslastung max]]*Tabelle58971121[[#This Row],[installierte Leistung MW max]]</f>
        <v>369.11640886075952</v>
      </c>
      <c r="EI240" s="83">
        <f>Tabelle58971121[[#This Row],[Maximalauslastung durch]]*Tabelle58971121[[#This Row],[installierte Leistung MW min]]</f>
        <v>282.4710278481013</v>
      </c>
      <c r="EJ240" s="46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4">
        <v>0.25</v>
      </c>
      <c r="EU240" s="1">
        <v>0.27083333333333331</v>
      </c>
      <c r="EV240" s="1">
        <v>8.3333333333333329E-2</v>
      </c>
      <c r="EW240" s="54">
        <v>0.5</v>
      </c>
      <c r="EX240" s="1">
        <v>10.994303797468355</v>
      </c>
      <c r="EY240" s="1">
        <v>4</v>
      </c>
      <c r="EZ240" s="54">
        <v>16.399999999999999</v>
      </c>
      <c r="FA240" s="1">
        <v>10.994303797468355</v>
      </c>
      <c r="FB240" s="1">
        <v>4</v>
      </c>
      <c r="FC240" s="54">
        <v>16.399999999999999</v>
      </c>
      <c r="FD240" s="1">
        <v>12.781434599156119</v>
      </c>
      <c r="FE240" s="1">
        <v>4.9000000000000004</v>
      </c>
      <c r="FF240" s="54">
        <v>18.899999999999999</v>
      </c>
      <c r="FG240" s="1">
        <v>23.657383966244726</v>
      </c>
      <c r="FH240" s="1">
        <v>15.113513513513514</v>
      </c>
      <c r="FI240" s="54">
        <v>15.053287197231835</v>
      </c>
      <c r="FJ240" s="1">
        <v>15.076793248945149</v>
      </c>
      <c r="FK240" s="1">
        <v>4.8</v>
      </c>
      <c r="FL240" s="54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946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39">
        <v>0.70128691983122371</v>
      </c>
      <c r="ED241" s="39">
        <v>0.66128691983122367</v>
      </c>
      <c r="EE241" s="39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6">
        <f>Tabelle58971121[[#This Row],[Durchschnittsauslastung max]]*Tabelle58971121[[#This Row],[installierte Leistung MW max]]</f>
        <v>360.53230632911396</v>
      </c>
      <c r="EI241" s="83">
        <f>Tabelle58971121[[#This Row],[Maximalauslastung durch]]*Tabelle58971121[[#This Row],[installierte Leistung MW min]]</f>
        <v>275.9019341772152</v>
      </c>
      <c r="EJ241" s="46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4">
        <v>0.25</v>
      </c>
      <c r="EU241" s="1">
        <v>0.27083333333333337</v>
      </c>
      <c r="EV241" s="1">
        <v>8.3333333333333329E-2</v>
      </c>
      <c r="EW241" s="54">
        <v>0.5</v>
      </c>
      <c r="EX241" s="1">
        <v>10.994303797468355</v>
      </c>
      <c r="EY241" s="1">
        <v>4</v>
      </c>
      <c r="EZ241" s="54">
        <v>16.399999999999999</v>
      </c>
      <c r="FA241" s="1">
        <v>10.994303797468355</v>
      </c>
      <c r="FB241" s="1">
        <v>4</v>
      </c>
      <c r="FC241" s="54">
        <v>16.399999999999999</v>
      </c>
      <c r="FD241" s="1">
        <v>12.781434599156119</v>
      </c>
      <c r="FE241" s="1">
        <v>4.9000000000000004</v>
      </c>
      <c r="FF241" s="54">
        <v>18.899999999999999</v>
      </c>
      <c r="FG241" s="1">
        <v>23.657383966244726</v>
      </c>
      <c r="FH241" s="1">
        <v>15.113513513513514</v>
      </c>
      <c r="FI241" s="54">
        <v>15.053287197231832</v>
      </c>
      <c r="FJ241" s="1">
        <v>15.076793248945149</v>
      </c>
      <c r="FK241" s="1">
        <v>4.8</v>
      </c>
      <c r="FL241" s="54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39">
        <v>0.88100558659217887</v>
      </c>
      <c r="ED242" s="39">
        <v>0.84802816901408451</v>
      </c>
      <c r="EE242" s="39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6">
        <f>Tabelle58971121[[#This Row],[Durchschnittsauslastung max]]*Tabelle58971121[[#This Row],[installierte Leistung MW max]]</f>
        <v>171.17425925925926</v>
      </c>
      <c r="EI242" s="83">
        <f>Tabelle58971121[[#This Row],[Maximalauslastung durch]]*Tabelle58971121[[#This Row],[installierte Leistung MW min]]</f>
        <v>170.25620111731845</v>
      </c>
      <c r="EJ242" s="46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4">
        <v>0.25</v>
      </c>
      <c r="EU242" s="1">
        <v>0.10624999999999998</v>
      </c>
      <c r="EV242" s="1">
        <v>8.3333333333333332E-3</v>
      </c>
      <c r="EW242" s="54">
        <v>0.25</v>
      </c>
      <c r="EX242" s="1">
        <v>3</v>
      </c>
      <c r="EY242" s="1">
        <v>1.6</v>
      </c>
      <c r="EZ242" s="54">
        <v>7.2</v>
      </c>
      <c r="FA242" s="1">
        <v>3</v>
      </c>
      <c r="FB242" s="1">
        <v>1.6</v>
      </c>
      <c r="FC242" s="54">
        <v>7.2</v>
      </c>
      <c r="FD242" s="1">
        <v>4</v>
      </c>
      <c r="FE242" s="1">
        <v>3.2</v>
      </c>
      <c r="FF242" s="54">
        <v>4.8</v>
      </c>
      <c r="FG242" s="1">
        <v>7</v>
      </c>
      <c r="FH242" s="1">
        <v>7</v>
      </c>
      <c r="FI242" s="54">
        <v>7</v>
      </c>
      <c r="FJ242" s="1">
        <v>4.5500000000000007</v>
      </c>
      <c r="FK242" s="1">
        <v>3.1999999999999997</v>
      </c>
      <c r="FL242" s="54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39">
        <v>0.88100558659217887</v>
      </c>
      <c r="ED243" s="39">
        <v>0.84553072625698322</v>
      </c>
      <c r="EE243" s="39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6">
        <f>Tabelle58971121[[#This Row],[Durchschnittsauslastung max]]*Tabelle58971121[[#This Row],[installierte Leistung MW max]]</f>
        <v>171.381843575419</v>
      </c>
      <c r="EI243" s="83">
        <f>Tabelle58971121[[#This Row],[Maximalauslastung durch]]*Tabelle58971121[[#This Row],[installierte Leistung MW min]]</f>
        <v>170.25620111731845</v>
      </c>
      <c r="EJ243" s="46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4">
        <v>0.25</v>
      </c>
      <c r="EU243" s="1">
        <v>8.8466014897579132E-2</v>
      </c>
      <c r="EV243" s="1">
        <v>8.3333333333333332E-3</v>
      </c>
      <c r="EW243" s="54">
        <v>0.25</v>
      </c>
      <c r="EX243" s="1">
        <v>3.58659217877095</v>
      </c>
      <c r="EY243" s="1">
        <v>1.6</v>
      </c>
      <c r="EZ243" s="54">
        <v>7.2</v>
      </c>
      <c r="FA243" s="1">
        <v>3.58659217877095</v>
      </c>
      <c r="FB243" s="1">
        <v>1.6</v>
      </c>
      <c r="FC243" s="54">
        <v>7.2</v>
      </c>
      <c r="FD243" s="1">
        <v>4</v>
      </c>
      <c r="FE243" s="1">
        <v>3.2</v>
      </c>
      <c r="FF243" s="54">
        <v>4.8</v>
      </c>
      <c r="FG243" s="1">
        <v>7.5865921787709496</v>
      </c>
      <c r="FH243" s="1">
        <v>4.3774647887323948</v>
      </c>
      <c r="FI243" s="54">
        <v>4.4037037037037035</v>
      </c>
      <c r="FJ243" s="1">
        <v>4.3932960893854744</v>
      </c>
      <c r="FK243" s="1">
        <v>3.1999999999999997</v>
      </c>
      <c r="FL243" s="54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39">
        <v>0.88100558659217887</v>
      </c>
      <c r="ED244" s="39">
        <v>0.84553072625698322</v>
      </c>
      <c r="EE244" s="39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6">
        <f>Tabelle58971121[[#This Row],[Durchschnittsauslastung max]]*Tabelle58971121[[#This Row],[installierte Leistung MW max]]</f>
        <v>171.381843575419</v>
      </c>
      <c r="EI244" s="83">
        <f>Tabelle58971121[[#This Row],[Maximalauslastung durch]]*Tabelle58971121[[#This Row],[installierte Leistung MW min]]</f>
        <v>170.25620111731845</v>
      </c>
      <c r="EJ244" s="46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4">
        <v>0.25</v>
      </c>
      <c r="EU244" s="1">
        <v>8.8466014897579132E-2</v>
      </c>
      <c r="EV244" s="1">
        <v>8.3333333333333332E-3</v>
      </c>
      <c r="EW244" s="54">
        <v>0.25</v>
      </c>
      <c r="EX244" s="1">
        <v>3.58659217877095</v>
      </c>
      <c r="EY244" s="1">
        <v>1.6</v>
      </c>
      <c r="EZ244" s="54">
        <v>7.2</v>
      </c>
      <c r="FA244" s="1">
        <v>3.58659217877095</v>
      </c>
      <c r="FB244" s="1">
        <v>1.6</v>
      </c>
      <c r="FC244" s="54">
        <v>7.2</v>
      </c>
      <c r="FD244" s="1">
        <v>4</v>
      </c>
      <c r="FE244" s="1">
        <v>3.2</v>
      </c>
      <c r="FF244" s="54">
        <v>4.8</v>
      </c>
      <c r="FG244" s="1">
        <v>7.5865921787709496</v>
      </c>
      <c r="FH244" s="1">
        <v>4.3774647887323948</v>
      </c>
      <c r="FI244" s="54">
        <v>4.4037037037037035</v>
      </c>
      <c r="FJ244" s="1">
        <v>4.3932960893854744</v>
      </c>
      <c r="FK244" s="1">
        <v>3.1999999999999997</v>
      </c>
      <c r="FL244" s="54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39">
        <v>0.88100558659217865</v>
      </c>
      <c r="ED245" s="39">
        <v>0.84553072625698322</v>
      </c>
      <c r="EE245" s="39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6">
        <f>Tabelle58971121[[#This Row],[Durchschnittsauslastung max]]*Tabelle58971121[[#This Row],[installierte Leistung MW max]]</f>
        <v>169.66802513966479</v>
      </c>
      <c r="EI245" s="83">
        <f>Tabelle58971121[[#This Row],[Maximalauslastung durch]]*Tabelle58971121[[#This Row],[installierte Leistung MW min]]</f>
        <v>168.55363910614525</v>
      </c>
      <c r="EJ245" s="46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4">
        <v>0.25</v>
      </c>
      <c r="EU245" s="1">
        <v>8.8466014897579132E-2</v>
      </c>
      <c r="EV245" s="1">
        <v>8.3333333333333332E-3</v>
      </c>
      <c r="EW245" s="54">
        <v>0.25</v>
      </c>
      <c r="EX245" s="1">
        <v>3.5865921787709505</v>
      </c>
      <c r="EY245" s="1">
        <v>1.6</v>
      </c>
      <c r="EZ245" s="54">
        <v>7.2</v>
      </c>
      <c r="FA245" s="1">
        <v>3.5865921787709505</v>
      </c>
      <c r="FB245" s="1">
        <v>1.6</v>
      </c>
      <c r="FC245" s="54">
        <v>7.2</v>
      </c>
      <c r="FD245" s="1">
        <v>4</v>
      </c>
      <c r="FE245" s="1">
        <v>3.2</v>
      </c>
      <c r="FF245" s="54">
        <v>4.8</v>
      </c>
      <c r="FG245" s="1">
        <v>7.5865921787709514</v>
      </c>
      <c r="FH245" s="1">
        <v>4.3774647887323948</v>
      </c>
      <c r="FI245" s="54">
        <v>4.4037037037037035</v>
      </c>
      <c r="FJ245" s="1">
        <v>4.3932960893854753</v>
      </c>
      <c r="FK245" s="1">
        <v>3.1999999999999997</v>
      </c>
      <c r="FL245" s="54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39">
        <v>0.88100558659217887</v>
      </c>
      <c r="ED246" s="39">
        <v>0.84553072625698322</v>
      </c>
      <c r="EE246" s="39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6">
        <f>Tabelle58971121[[#This Row],[Durchschnittsauslastung max]]*Tabelle58971121[[#This Row],[installierte Leistung MW max]]</f>
        <v>167.95420670391059</v>
      </c>
      <c r="EI246" s="83">
        <f>Tabelle58971121[[#This Row],[Maximalauslastung durch]]*Tabelle58971121[[#This Row],[installierte Leistung MW min]]</f>
        <v>166.85107709497208</v>
      </c>
      <c r="EJ246" s="46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4">
        <v>0.25</v>
      </c>
      <c r="EU246" s="1">
        <v>8.8466014897579132E-2</v>
      </c>
      <c r="EV246" s="1">
        <v>8.3333333333333332E-3</v>
      </c>
      <c r="EW246" s="54">
        <v>0.25</v>
      </c>
      <c r="EX246" s="1">
        <v>3.5865921787709496</v>
      </c>
      <c r="EY246" s="1">
        <v>1.6</v>
      </c>
      <c r="EZ246" s="54">
        <v>7.2</v>
      </c>
      <c r="FA246" s="1">
        <v>3.5865921787709496</v>
      </c>
      <c r="FB246" s="1">
        <v>1.6</v>
      </c>
      <c r="FC246" s="54">
        <v>7.2</v>
      </c>
      <c r="FD246" s="1">
        <v>4</v>
      </c>
      <c r="FE246" s="1">
        <v>3.2</v>
      </c>
      <c r="FF246" s="54">
        <v>4.8</v>
      </c>
      <c r="FG246" s="1">
        <v>7.5865921787709496</v>
      </c>
      <c r="FH246" s="1">
        <v>4.3774647887323948</v>
      </c>
      <c r="FI246" s="54">
        <v>4.4037037037037035</v>
      </c>
      <c r="FJ246" s="1">
        <v>4.3932960893854744</v>
      </c>
      <c r="FK246" s="1">
        <v>3.1999999999999997</v>
      </c>
      <c r="FL246" s="54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39">
        <v>0.88100558659217887</v>
      </c>
      <c r="ED247" s="39">
        <v>0.84553072625698311</v>
      </c>
      <c r="EE247" s="39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6">
        <f>Tabelle58971121[[#This Row],[Durchschnittsauslastung max]]*Tabelle58971121[[#This Row],[installierte Leistung MW max]]</f>
        <v>164.5265698324022</v>
      </c>
      <c r="EI247" s="83">
        <f>Tabelle58971121[[#This Row],[Maximalauslastung durch]]*Tabelle58971121[[#This Row],[installierte Leistung MW min]]</f>
        <v>163.44595307262574</v>
      </c>
      <c r="EJ247" s="46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4">
        <v>0.25</v>
      </c>
      <c r="EU247" s="1">
        <v>8.8466014897579145E-2</v>
      </c>
      <c r="EV247" s="1">
        <v>8.3333333333333332E-3</v>
      </c>
      <c r="EW247" s="54">
        <v>0.25</v>
      </c>
      <c r="EX247" s="1">
        <v>3.58659217877095</v>
      </c>
      <c r="EY247" s="1">
        <v>1.6</v>
      </c>
      <c r="EZ247" s="54">
        <v>7.2</v>
      </c>
      <c r="FA247" s="1">
        <v>3.58659217877095</v>
      </c>
      <c r="FB247" s="1">
        <v>1.6</v>
      </c>
      <c r="FC247" s="54">
        <v>7.2</v>
      </c>
      <c r="FD247" s="1">
        <v>4</v>
      </c>
      <c r="FE247" s="1">
        <v>3.2</v>
      </c>
      <c r="FF247" s="54">
        <v>4.8</v>
      </c>
      <c r="FG247" s="1">
        <v>7.5865921787709496</v>
      </c>
      <c r="FH247" s="1">
        <v>4.3774647887323948</v>
      </c>
      <c r="FI247" s="54">
        <v>4.4037037037037035</v>
      </c>
      <c r="FJ247" s="1">
        <v>4.3932960893854753</v>
      </c>
      <c r="FK247" s="1">
        <v>3.1999999999999997</v>
      </c>
      <c r="FL247" s="54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39">
        <v>0.88100558659217887</v>
      </c>
      <c r="ED248" s="39">
        <v>0.84553072625698322</v>
      </c>
      <c r="EE248" s="39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6">
        <f>Tabelle58971121[[#This Row],[Durchschnittsauslastung max]]*Tabelle58971121[[#This Row],[installierte Leistung MW max]]</f>
        <v>162.81275139664803</v>
      </c>
      <c r="EI248" s="83">
        <f>Tabelle58971121[[#This Row],[Maximalauslastung durch]]*Tabelle58971121[[#This Row],[installierte Leistung MW min]]</f>
        <v>161.74339106145254</v>
      </c>
      <c r="EJ248" s="46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4">
        <v>0.25</v>
      </c>
      <c r="EU248" s="1">
        <v>8.8466014897579132E-2</v>
      </c>
      <c r="EV248" s="1">
        <v>8.3333333333333332E-3</v>
      </c>
      <c r="EW248" s="54">
        <v>0.25</v>
      </c>
      <c r="EX248" s="1">
        <v>3.5865921787709496</v>
      </c>
      <c r="EY248" s="1">
        <v>1.6</v>
      </c>
      <c r="EZ248" s="54">
        <v>7.2</v>
      </c>
      <c r="FA248" s="1">
        <v>3.5865921787709496</v>
      </c>
      <c r="FB248" s="1">
        <v>1.6</v>
      </c>
      <c r="FC248" s="54">
        <v>7.2</v>
      </c>
      <c r="FD248" s="1">
        <v>4</v>
      </c>
      <c r="FE248" s="1">
        <v>3.2</v>
      </c>
      <c r="FF248" s="54">
        <v>4.8</v>
      </c>
      <c r="FG248" s="1">
        <v>7.5865921787709496</v>
      </c>
      <c r="FH248" s="1">
        <v>4.3774647887323939</v>
      </c>
      <c r="FI248" s="54">
        <v>4.4037037037037035</v>
      </c>
      <c r="FJ248" s="1">
        <v>4.3932960893854744</v>
      </c>
      <c r="FK248" s="1">
        <v>3.1999999999999997</v>
      </c>
      <c r="FL248" s="54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39">
        <v>0.88100558659217887</v>
      </c>
      <c r="ED249" s="39">
        <v>0.84553072625698322</v>
      </c>
      <c r="EE249" s="39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6">
        <f>Tabelle58971121[[#This Row],[Durchschnittsauslastung max]]*Tabelle58971121[[#This Row],[installierte Leistung MW max]]</f>
        <v>161.09893296089382</v>
      </c>
      <c r="EI249" s="83">
        <f>Tabelle58971121[[#This Row],[Maximalauslastung durch]]*Tabelle58971121[[#This Row],[installierte Leistung MW min]]</f>
        <v>160.04082905027934</v>
      </c>
      <c r="EJ249" s="46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4">
        <v>0.25</v>
      </c>
      <c r="EU249" s="1">
        <v>8.8466014897579132E-2</v>
      </c>
      <c r="EV249" s="1">
        <v>8.3333333333333332E-3</v>
      </c>
      <c r="EW249" s="54">
        <v>0.25</v>
      </c>
      <c r="EX249" s="1">
        <v>3.5865921787709496</v>
      </c>
      <c r="EY249" s="1">
        <v>1.6</v>
      </c>
      <c r="EZ249" s="54">
        <v>7.2</v>
      </c>
      <c r="FA249" s="1">
        <v>3.5865921787709496</v>
      </c>
      <c r="FB249" s="1">
        <v>1.6</v>
      </c>
      <c r="FC249" s="54">
        <v>7.2</v>
      </c>
      <c r="FD249" s="1">
        <v>4</v>
      </c>
      <c r="FE249" s="1">
        <v>3.2</v>
      </c>
      <c r="FF249" s="54">
        <v>4.8</v>
      </c>
      <c r="FG249" s="1">
        <v>7.5865921787709496</v>
      </c>
      <c r="FH249" s="1">
        <v>4.3774647887323948</v>
      </c>
      <c r="FI249" s="54">
        <v>4.4037037037037035</v>
      </c>
      <c r="FJ249" s="1">
        <v>4.3932960893854744</v>
      </c>
      <c r="FK249" s="1">
        <v>3.1999999999999997</v>
      </c>
      <c r="FL249" s="54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0" t="s">
        <v>141</v>
      </c>
      <c r="C2" s="30">
        <v>2010</v>
      </c>
      <c r="D2" s="30"/>
      <c r="E2" s="30"/>
      <c r="F2" s="31"/>
      <c r="G2" s="31"/>
      <c r="H2" s="31">
        <v>2600</v>
      </c>
      <c r="I2" s="31">
        <v>0</v>
      </c>
      <c r="J2" s="31">
        <v>2600</v>
      </c>
      <c r="K2" s="31">
        <v>0</v>
      </c>
      <c r="L2" s="31"/>
      <c r="M2" s="31"/>
      <c r="N2" s="31"/>
      <c r="O2" s="31"/>
      <c r="P2" s="31"/>
      <c r="Q2" s="32"/>
      <c r="R2" s="33"/>
      <c r="S2" s="33"/>
      <c r="T2" s="33"/>
      <c r="U2" s="32"/>
      <c r="V2" s="31"/>
      <c r="W2" s="33"/>
      <c r="X2" s="31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1"/>
      <c r="AN2" s="31"/>
      <c r="AO2" s="31"/>
      <c r="AP2" s="34"/>
      <c r="AQ2" s="34"/>
      <c r="AR2" s="34"/>
      <c r="AS2" s="34"/>
      <c r="AT2" s="34"/>
      <c r="AU2" s="30"/>
      <c r="AV2" s="30"/>
      <c r="AW2" s="30"/>
      <c r="AX2" s="30"/>
      <c r="AY2" s="35">
        <v>34</v>
      </c>
      <c r="AZ2" s="30"/>
      <c r="BA2" s="35"/>
      <c r="BB2" s="35"/>
      <c r="BC2" s="35"/>
      <c r="BD2" s="35"/>
      <c r="BE2" s="30"/>
      <c r="BF2" s="35"/>
      <c r="BG2" s="35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</row>
    <row r="3" spans="1:70" x14ac:dyDescent="0.2">
      <c r="A3" s="1" t="s">
        <v>364</v>
      </c>
      <c r="B3" s="30" t="s">
        <v>141</v>
      </c>
      <c r="C3" s="30">
        <v>2020</v>
      </c>
      <c r="D3" s="30"/>
      <c r="E3" s="30"/>
      <c r="F3" s="31"/>
      <c r="G3" s="31"/>
      <c r="H3" s="31">
        <v>7800</v>
      </c>
      <c r="I3" s="31">
        <v>0</v>
      </c>
      <c r="J3" s="31">
        <v>7800</v>
      </c>
      <c r="K3" s="31">
        <v>0</v>
      </c>
      <c r="L3" s="31"/>
      <c r="M3" s="31"/>
      <c r="N3" s="31"/>
      <c r="O3" s="31"/>
      <c r="P3" s="31"/>
      <c r="Q3" s="32"/>
      <c r="R3" s="33"/>
      <c r="S3" s="33"/>
      <c r="T3" s="33"/>
      <c r="U3" s="32"/>
      <c r="V3" s="31"/>
      <c r="W3" s="33"/>
      <c r="X3" s="31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1"/>
      <c r="AN3" s="31"/>
      <c r="AO3" s="31"/>
      <c r="AP3" s="34"/>
      <c r="AQ3" s="34"/>
      <c r="AR3" s="34"/>
      <c r="AS3" s="34"/>
      <c r="AT3" s="34"/>
      <c r="AU3" s="30"/>
      <c r="AV3" s="30"/>
      <c r="AW3" s="30"/>
      <c r="AX3" s="30"/>
      <c r="AY3" s="35">
        <v>34</v>
      </c>
      <c r="AZ3" s="30"/>
      <c r="BA3" s="35"/>
      <c r="BB3" s="35"/>
      <c r="BC3" s="35"/>
      <c r="BD3" s="35"/>
      <c r="BE3" s="30"/>
      <c r="BF3" s="35"/>
      <c r="BG3" s="35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</row>
    <row r="4" spans="1:70" x14ac:dyDescent="0.2">
      <c r="A4" s="1" t="s">
        <v>364</v>
      </c>
      <c r="B4" s="30" t="s">
        <v>141</v>
      </c>
      <c r="C4" s="30">
        <v>2030</v>
      </c>
      <c r="D4" s="30"/>
      <c r="E4" s="30"/>
      <c r="F4" s="31"/>
      <c r="G4" s="31"/>
      <c r="H4" s="31">
        <v>11300</v>
      </c>
      <c r="I4" s="31">
        <v>0</v>
      </c>
      <c r="J4" s="31">
        <v>11300</v>
      </c>
      <c r="K4" s="31">
        <v>0</v>
      </c>
      <c r="L4" s="31"/>
      <c r="M4" s="31"/>
      <c r="N4" s="31"/>
      <c r="O4" s="31"/>
      <c r="P4" s="31"/>
      <c r="Q4" s="32"/>
      <c r="R4" s="33"/>
      <c r="S4" s="33"/>
      <c r="T4" s="33"/>
      <c r="U4" s="32"/>
      <c r="V4" s="31"/>
      <c r="W4" s="33"/>
      <c r="X4" s="31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1"/>
      <c r="AN4" s="31"/>
      <c r="AO4" s="31"/>
      <c r="AP4" s="34"/>
      <c r="AQ4" s="34"/>
      <c r="AR4" s="34"/>
      <c r="AS4" s="34"/>
      <c r="AT4" s="34"/>
      <c r="AU4" s="30"/>
      <c r="AV4" s="30"/>
      <c r="AW4" s="30"/>
      <c r="AX4" s="30"/>
      <c r="AY4" s="35">
        <v>34</v>
      </c>
      <c r="AZ4" s="30"/>
      <c r="BA4" s="35"/>
      <c r="BB4" s="35"/>
      <c r="BC4" s="35"/>
      <c r="BD4" s="35"/>
      <c r="BE4" s="30"/>
      <c r="BF4" s="35"/>
      <c r="BG4" s="35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</row>
    <row r="5" spans="1:70" x14ac:dyDescent="0.2">
      <c r="A5" s="1" t="s">
        <v>134</v>
      </c>
      <c r="B5" s="30" t="s">
        <v>141</v>
      </c>
      <c r="C5" s="30">
        <v>2010</v>
      </c>
      <c r="D5" s="30"/>
      <c r="E5" s="30"/>
      <c r="F5" s="31"/>
      <c r="G5" s="31"/>
      <c r="H5" s="31">
        <v>800</v>
      </c>
      <c r="I5" s="31">
        <v>800</v>
      </c>
      <c r="J5" s="31">
        <v>800</v>
      </c>
      <c r="K5" s="31">
        <v>800</v>
      </c>
      <c r="L5" s="31"/>
      <c r="M5" s="31"/>
      <c r="N5" s="31"/>
      <c r="O5" s="31"/>
      <c r="P5" s="31"/>
      <c r="Q5" s="32"/>
      <c r="R5" s="33"/>
      <c r="S5" s="33"/>
      <c r="T5" s="33"/>
      <c r="U5" s="32"/>
      <c r="V5" s="31"/>
      <c r="W5" s="33"/>
      <c r="X5" s="31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1"/>
      <c r="AN5" s="31"/>
      <c r="AO5" s="31"/>
      <c r="AP5" s="34"/>
      <c r="AQ5" s="34"/>
      <c r="AR5" s="34"/>
      <c r="AS5" s="34"/>
      <c r="AT5" s="34"/>
      <c r="AU5" s="30"/>
      <c r="AV5" s="30"/>
      <c r="AW5" s="30"/>
      <c r="AX5" s="30"/>
      <c r="AY5" s="35">
        <v>34</v>
      </c>
      <c r="AZ5" s="30"/>
      <c r="BA5" s="35"/>
      <c r="BB5" s="35"/>
      <c r="BC5" s="35"/>
      <c r="BD5" s="35"/>
      <c r="BE5" s="30"/>
      <c r="BF5" s="35"/>
      <c r="BG5" s="35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</row>
    <row r="6" spans="1:70" x14ac:dyDescent="0.2">
      <c r="A6" s="1" t="s">
        <v>134</v>
      </c>
      <c r="B6" s="30" t="s">
        <v>141</v>
      </c>
      <c r="C6" s="30">
        <v>2020</v>
      </c>
      <c r="D6" s="30"/>
      <c r="E6" s="30"/>
      <c r="F6" s="31"/>
      <c r="G6" s="31"/>
      <c r="H6" s="31">
        <v>900</v>
      </c>
      <c r="I6" s="31">
        <v>900</v>
      </c>
      <c r="J6" s="31">
        <v>900</v>
      </c>
      <c r="K6" s="31">
        <v>900</v>
      </c>
      <c r="L6" s="31"/>
      <c r="M6" s="31"/>
      <c r="N6" s="31"/>
      <c r="O6" s="31"/>
      <c r="P6" s="31"/>
      <c r="Q6" s="32"/>
      <c r="R6" s="33"/>
      <c r="S6" s="33"/>
      <c r="T6" s="33"/>
      <c r="U6" s="32"/>
      <c r="V6" s="31"/>
      <c r="W6" s="33"/>
      <c r="X6" s="31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1"/>
      <c r="AN6" s="31"/>
      <c r="AO6" s="31"/>
      <c r="AP6" s="34"/>
      <c r="AQ6" s="34"/>
      <c r="AR6" s="34"/>
      <c r="AS6" s="34"/>
      <c r="AT6" s="34"/>
      <c r="AU6" s="30"/>
      <c r="AV6" s="30"/>
      <c r="AW6" s="30"/>
      <c r="AX6" s="30"/>
      <c r="AY6" s="35">
        <v>34</v>
      </c>
      <c r="AZ6" s="30"/>
      <c r="BA6" s="35"/>
      <c r="BB6" s="35"/>
      <c r="BC6" s="35"/>
      <c r="BD6" s="35"/>
      <c r="BE6" s="30"/>
      <c r="BF6" s="35"/>
      <c r="BG6" s="35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</row>
    <row r="7" spans="1:70" x14ac:dyDescent="0.2">
      <c r="A7" s="1" t="s">
        <v>134</v>
      </c>
      <c r="B7" s="30" t="s">
        <v>141</v>
      </c>
      <c r="C7" s="30">
        <v>2030</v>
      </c>
      <c r="D7" s="30"/>
      <c r="E7" s="30"/>
      <c r="F7" s="31"/>
      <c r="G7" s="31"/>
      <c r="H7" s="19">
        <v>1000</v>
      </c>
      <c r="I7" s="19">
        <v>1000</v>
      </c>
      <c r="J7" s="19">
        <v>1000</v>
      </c>
      <c r="K7" s="19">
        <v>1000</v>
      </c>
      <c r="L7" s="31"/>
      <c r="M7" s="31"/>
      <c r="N7" s="31"/>
      <c r="O7" s="31"/>
      <c r="P7" s="31"/>
      <c r="Q7" s="32"/>
      <c r="R7" s="33"/>
      <c r="S7" s="33"/>
      <c r="T7" s="33"/>
      <c r="U7" s="32"/>
      <c r="V7" s="31"/>
      <c r="W7" s="33"/>
      <c r="X7" s="31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1"/>
      <c r="AN7" s="31"/>
      <c r="AO7" s="31"/>
      <c r="AP7" s="34"/>
      <c r="AQ7" s="34"/>
      <c r="AR7" s="34"/>
      <c r="AS7" s="34"/>
      <c r="AT7" s="34"/>
      <c r="AU7" s="30"/>
      <c r="AV7" s="30"/>
      <c r="AW7" s="30"/>
      <c r="AX7" s="30"/>
      <c r="AY7" s="35">
        <v>34</v>
      </c>
      <c r="AZ7" s="30"/>
      <c r="BA7" s="35"/>
      <c r="BB7" s="35"/>
      <c r="BC7" s="35"/>
      <c r="BD7" s="35"/>
      <c r="BE7" s="30"/>
      <c r="BF7" s="35"/>
      <c r="BG7" s="35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</row>
    <row r="8" spans="1:70" x14ac:dyDescent="0.2">
      <c r="A8" s="1" t="s">
        <v>285</v>
      </c>
      <c r="B8" s="1" t="s">
        <v>141</v>
      </c>
      <c r="C8" s="30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5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0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5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0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5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0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5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0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5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0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5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0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5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0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5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0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5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0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5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0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5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0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5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0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5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0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5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0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5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0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5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0">
        <v>2020</v>
      </c>
      <c r="D24" s="55"/>
      <c r="E24" s="55"/>
      <c r="F24" s="56"/>
      <c r="G24" s="56"/>
      <c r="H24" s="56">
        <v>0</v>
      </c>
      <c r="I24" s="56">
        <v>6000</v>
      </c>
      <c r="J24" s="56">
        <v>0</v>
      </c>
      <c r="K24" s="56">
        <v>6000</v>
      </c>
      <c r="L24" s="56"/>
      <c r="M24" s="56"/>
      <c r="N24" s="56"/>
      <c r="O24" s="56"/>
      <c r="P24" s="56"/>
      <c r="Q24" s="57"/>
      <c r="R24" s="58"/>
      <c r="S24" s="59"/>
      <c r="T24" s="58"/>
      <c r="U24" s="57"/>
      <c r="V24" s="56"/>
      <c r="W24" s="59"/>
      <c r="X24" s="56"/>
      <c r="Y24" s="60"/>
      <c r="Z24" s="60"/>
      <c r="AA24" s="60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6"/>
      <c r="AN24" s="56"/>
      <c r="AO24" s="56"/>
      <c r="AP24" s="61"/>
      <c r="AQ24" s="61"/>
      <c r="AR24" s="61"/>
      <c r="AS24" s="61"/>
      <c r="AT24" s="61"/>
      <c r="AU24" s="55"/>
      <c r="AV24" s="55"/>
      <c r="AW24" s="55"/>
      <c r="AX24" s="55"/>
      <c r="AY24" s="35">
        <v>34</v>
      </c>
      <c r="AZ24" s="55"/>
      <c r="BA24" s="62"/>
      <c r="BB24" s="62"/>
      <c r="BC24" s="62"/>
      <c r="BD24" s="62"/>
      <c r="BE24" s="55"/>
      <c r="BF24" s="62"/>
      <c r="BG24" s="62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</row>
    <row r="25" spans="1:70" x14ac:dyDescent="0.2">
      <c r="A25" s="1" t="s">
        <v>136</v>
      </c>
      <c r="B25" s="1" t="s">
        <v>141</v>
      </c>
      <c r="C25" s="30">
        <v>2030</v>
      </c>
      <c r="D25" s="55"/>
      <c r="E25" s="55"/>
      <c r="F25" s="56"/>
      <c r="G25" s="56"/>
      <c r="H25" s="56">
        <v>0</v>
      </c>
      <c r="I25" s="56">
        <v>8300</v>
      </c>
      <c r="J25" s="56">
        <v>0</v>
      </c>
      <c r="K25" s="56">
        <v>8300</v>
      </c>
      <c r="L25" s="56"/>
      <c r="M25" s="56"/>
      <c r="N25" s="56"/>
      <c r="O25" s="56"/>
      <c r="P25" s="56"/>
      <c r="Q25" s="57"/>
      <c r="R25" s="58"/>
      <c r="S25" s="59"/>
      <c r="T25" s="58"/>
      <c r="U25" s="57"/>
      <c r="V25" s="56"/>
      <c r="W25" s="59"/>
      <c r="X25" s="56"/>
      <c r="Y25" s="60"/>
      <c r="Z25" s="60"/>
      <c r="AA25" s="60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6"/>
      <c r="AN25" s="56"/>
      <c r="AO25" s="56"/>
      <c r="AP25" s="61"/>
      <c r="AQ25" s="61"/>
      <c r="AR25" s="61"/>
      <c r="AS25" s="61"/>
      <c r="AT25" s="61"/>
      <c r="AU25" s="55"/>
      <c r="AV25" s="55"/>
      <c r="AW25" s="55"/>
      <c r="AX25" s="55"/>
      <c r="AY25" s="35">
        <v>34</v>
      </c>
      <c r="AZ25" s="55"/>
      <c r="BA25" s="62"/>
      <c r="BB25" s="62"/>
      <c r="BC25" s="62"/>
      <c r="BD25" s="62"/>
      <c r="BE25" s="55"/>
      <c r="BF25" s="62"/>
      <c r="BG25" s="62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</row>
    <row r="26" spans="1:70" x14ac:dyDescent="0.2">
      <c r="A26" s="55" t="s">
        <v>140</v>
      </c>
      <c r="B26" s="55" t="s">
        <v>141</v>
      </c>
      <c r="C26" s="55">
        <v>2010</v>
      </c>
      <c r="D26" s="55"/>
      <c r="E26" s="55"/>
      <c r="F26" s="56"/>
      <c r="G26" s="56"/>
      <c r="H26" s="56">
        <v>0</v>
      </c>
      <c r="I26" s="19">
        <v>2300</v>
      </c>
      <c r="J26" s="56">
        <v>0</v>
      </c>
      <c r="K26" s="19">
        <v>2300</v>
      </c>
      <c r="L26" s="56"/>
      <c r="M26" s="56"/>
      <c r="N26" s="56"/>
      <c r="O26" s="56"/>
      <c r="P26" s="56"/>
      <c r="Q26" s="57"/>
      <c r="R26" s="58"/>
      <c r="S26" s="59"/>
      <c r="T26" s="58"/>
      <c r="U26" s="57"/>
      <c r="V26" s="56"/>
      <c r="W26" s="59"/>
      <c r="X26" s="56"/>
      <c r="Y26" s="60"/>
      <c r="Z26" s="60"/>
      <c r="AA26" s="60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6"/>
      <c r="AN26" s="56"/>
      <c r="AO26" s="56"/>
      <c r="AP26" s="61"/>
      <c r="AQ26" s="61"/>
      <c r="AR26" s="61"/>
      <c r="AS26" s="61"/>
      <c r="AT26" s="61"/>
      <c r="AU26" s="55"/>
      <c r="AV26" s="55"/>
      <c r="AW26" s="55"/>
      <c r="AX26" s="55"/>
      <c r="AY26" s="35">
        <v>34</v>
      </c>
      <c r="AZ26" s="55"/>
      <c r="BA26" s="62"/>
      <c r="BB26" s="62"/>
      <c r="BC26" s="62"/>
      <c r="BD26" s="62"/>
      <c r="BE26" s="55"/>
      <c r="BF26" s="62"/>
      <c r="BG26" s="62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</row>
    <row r="27" spans="1:70" x14ac:dyDescent="0.2">
      <c r="A27" s="55" t="s">
        <v>140</v>
      </c>
      <c r="B27" s="55" t="s">
        <v>141</v>
      </c>
      <c r="C27" s="55">
        <v>2020</v>
      </c>
      <c r="D27" s="55"/>
      <c r="E27" s="55"/>
      <c r="F27" s="56"/>
      <c r="G27" s="56"/>
      <c r="H27" s="56">
        <v>0</v>
      </c>
      <c r="I27" s="19">
        <v>1300</v>
      </c>
      <c r="J27" s="56">
        <v>0</v>
      </c>
      <c r="K27" s="19">
        <v>1300</v>
      </c>
      <c r="L27" s="56"/>
      <c r="M27" s="56"/>
      <c r="N27" s="56"/>
      <c r="O27" s="56"/>
      <c r="P27" s="56"/>
      <c r="Q27" s="57"/>
      <c r="R27" s="58"/>
      <c r="S27" s="59"/>
      <c r="T27" s="58"/>
      <c r="U27" s="57"/>
      <c r="V27" s="56"/>
      <c r="W27" s="59"/>
      <c r="X27" s="56"/>
      <c r="Y27" s="60"/>
      <c r="Z27" s="60"/>
      <c r="AA27" s="60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6"/>
      <c r="AN27" s="56"/>
      <c r="AO27" s="56"/>
      <c r="AP27" s="61"/>
      <c r="AQ27" s="61"/>
      <c r="AR27" s="61"/>
      <c r="AS27" s="61"/>
      <c r="AT27" s="61"/>
      <c r="AU27" s="55"/>
      <c r="AV27" s="55"/>
      <c r="AW27" s="55"/>
      <c r="AX27" s="55"/>
      <c r="AY27" s="35">
        <v>34</v>
      </c>
      <c r="AZ27" s="55"/>
      <c r="BA27" s="62"/>
      <c r="BB27" s="62"/>
      <c r="BC27" s="62"/>
      <c r="BD27" s="62"/>
      <c r="BE27" s="55"/>
      <c r="BF27" s="62"/>
      <c r="BG27" s="62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</row>
    <row r="28" spans="1:70" x14ac:dyDescent="0.2">
      <c r="A28" s="55" t="s">
        <v>140</v>
      </c>
      <c r="B28" s="55" t="s">
        <v>141</v>
      </c>
      <c r="C28" s="55">
        <v>2030</v>
      </c>
      <c r="D28" s="55"/>
      <c r="E28" s="55"/>
      <c r="F28" s="56"/>
      <c r="G28" s="56"/>
      <c r="H28" s="56">
        <v>0</v>
      </c>
      <c r="I28" s="19">
        <v>0</v>
      </c>
      <c r="J28" s="56">
        <v>0</v>
      </c>
      <c r="K28" s="19">
        <v>0</v>
      </c>
      <c r="L28" s="56"/>
      <c r="M28" s="56"/>
      <c r="N28" s="56"/>
      <c r="O28" s="56"/>
      <c r="P28" s="56"/>
      <c r="Q28" s="57"/>
      <c r="R28" s="58"/>
      <c r="S28" s="59"/>
      <c r="T28" s="58"/>
      <c r="U28" s="57"/>
      <c r="V28" s="56"/>
      <c r="W28" s="59"/>
      <c r="X28" s="56"/>
      <c r="Y28" s="60"/>
      <c r="Z28" s="60"/>
      <c r="AA28" s="60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6"/>
      <c r="AN28" s="56"/>
      <c r="AO28" s="56"/>
      <c r="AP28" s="61"/>
      <c r="AQ28" s="61"/>
      <c r="AR28" s="61"/>
      <c r="AS28" s="61"/>
      <c r="AT28" s="61"/>
      <c r="AU28" s="55"/>
      <c r="AV28" s="55"/>
      <c r="AW28" s="55"/>
      <c r="AX28" s="55"/>
      <c r="AY28" s="35">
        <v>34</v>
      </c>
      <c r="AZ28" s="55"/>
      <c r="BA28" s="62"/>
      <c r="BB28" s="62"/>
      <c r="BC28" s="62"/>
      <c r="BD28" s="62"/>
      <c r="BE28" s="55"/>
      <c r="BF28" s="62"/>
      <c r="BG28" s="62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</row>
    <row r="29" spans="1:70" x14ac:dyDescent="0.2">
      <c r="A29" s="55" t="s">
        <v>291</v>
      </c>
      <c r="B29" s="55" t="s">
        <v>129</v>
      </c>
      <c r="C29" s="55">
        <v>2010</v>
      </c>
      <c r="D29" s="55"/>
      <c r="E29" s="55"/>
      <c r="F29" s="56"/>
      <c r="G29" s="56"/>
      <c r="H29" s="56">
        <v>1800</v>
      </c>
      <c r="I29" s="19">
        <v>1800</v>
      </c>
      <c r="J29" s="56">
        <v>1800</v>
      </c>
      <c r="K29" s="19">
        <v>1800</v>
      </c>
      <c r="L29" s="56"/>
      <c r="M29" s="56"/>
      <c r="N29" s="56"/>
      <c r="O29" s="56"/>
      <c r="P29" s="56"/>
      <c r="Q29" s="57"/>
      <c r="R29" s="58"/>
      <c r="S29" s="59"/>
      <c r="T29" s="58"/>
      <c r="U29" s="57"/>
      <c r="V29" s="56"/>
      <c r="W29" s="59"/>
      <c r="X29" s="56"/>
      <c r="Y29" s="60"/>
      <c r="Z29" s="60"/>
      <c r="AA29" s="60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6"/>
      <c r="AN29" s="56"/>
      <c r="AO29" s="56"/>
      <c r="AP29" s="61"/>
      <c r="AQ29" s="61"/>
      <c r="AR29" s="61"/>
      <c r="AS29" s="61"/>
      <c r="AT29" s="61"/>
      <c r="AU29" s="55"/>
      <c r="AV29" s="55"/>
      <c r="AW29" s="55"/>
      <c r="AX29" s="55"/>
      <c r="AY29" s="62">
        <v>34</v>
      </c>
      <c r="AZ29" s="55"/>
      <c r="BA29" s="62"/>
      <c r="BB29" s="62"/>
      <c r="BC29" s="62"/>
      <c r="BD29" s="62"/>
      <c r="BE29" s="55"/>
      <c r="BF29" s="62"/>
      <c r="BG29" s="62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</row>
    <row r="30" spans="1:70" x14ac:dyDescent="0.2">
      <c r="A30" s="55" t="s">
        <v>291</v>
      </c>
      <c r="B30" s="55" t="s">
        <v>129</v>
      </c>
      <c r="C30" s="55">
        <v>2020</v>
      </c>
      <c r="D30" s="55"/>
      <c r="E30" s="55"/>
      <c r="F30" s="56"/>
      <c r="G30" s="56"/>
      <c r="H30" s="56">
        <v>1900</v>
      </c>
      <c r="I30" s="19">
        <v>2700</v>
      </c>
      <c r="J30" s="56">
        <v>1900</v>
      </c>
      <c r="K30" s="19">
        <v>2700</v>
      </c>
      <c r="L30" s="56"/>
      <c r="M30" s="56"/>
      <c r="N30" s="56"/>
      <c r="O30" s="56"/>
      <c r="P30" s="56"/>
      <c r="Q30" s="57"/>
      <c r="R30" s="58"/>
      <c r="S30" s="59"/>
      <c r="T30" s="58"/>
      <c r="U30" s="57"/>
      <c r="V30" s="56"/>
      <c r="W30" s="59"/>
      <c r="X30" s="56"/>
      <c r="Y30" s="60"/>
      <c r="Z30" s="60"/>
      <c r="AA30" s="60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6"/>
      <c r="AN30" s="56"/>
      <c r="AO30" s="56"/>
      <c r="AP30" s="61"/>
      <c r="AQ30" s="61"/>
      <c r="AR30" s="61"/>
      <c r="AS30" s="61"/>
      <c r="AT30" s="61"/>
      <c r="AU30" s="55"/>
      <c r="AV30" s="55"/>
      <c r="AW30" s="55"/>
      <c r="AX30" s="55"/>
      <c r="AY30" s="62">
        <v>34</v>
      </c>
      <c r="AZ30" s="55"/>
      <c r="BA30" s="62"/>
      <c r="BB30" s="62"/>
      <c r="BC30" s="62"/>
      <c r="BD30" s="62"/>
      <c r="BE30" s="55"/>
      <c r="BF30" s="62"/>
      <c r="BG30" s="62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</row>
    <row r="31" spans="1:70" x14ac:dyDescent="0.2">
      <c r="A31" s="55" t="s">
        <v>291</v>
      </c>
      <c r="B31" s="55" t="s">
        <v>129</v>
      </c>
      <c r="C31" s="55">
        <v>2030</v>
      </c>
      <c r="D31" s="55"/>
      <c r="E31" s="55"/>
      <c r="F31" s="56"/>
      <c r="G31" s="56"/>
      <c r="H31" s="56">
        <v>1700</v>
      </c>
      <c r="I31" s="19">
        <v>2500</v>
      </c>
      <c r="J31" s="56">
        <v>1700</v>
      </c>
      <c r="K31" s="19">
        <v>2500</v>
      </c>
      <c r="L31" s="56"/>
      <c r="M31" s="56"/>
      <c r="N31" s="56"/>
      <c r="O31" s="56"/>
      <c r="P31" s="56"/>
      <c r="Q31" s="57"/>
      <c r="R31" s="58"/>
      <c r="S31" s="59"/>
      <c r="T31" s="58"/>
      <c r="U31" s="57"/>
      <c r="V31" s="56"/>
      <c r="W31" s="59"/>
      <c r="X31" s="56"/>
      <c r="Y31" s="60"/>
      <c r="Z31" s="60"/>
      <c r="AA31" s="60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6"/>
      <c r="AN31" s="56"/>
      <c r="AO31" s="56"/>
      <c r="AP31" s="61"/>
      <c r="AQ31" s="61"/>
      <c r="AR31" s="61"/>
      <c r="AS31" s="61"/>
      <c r="AT31" s="61"/>
      <c r="AU31" s="55"/>
      <c r="AV31" s="55"/>
      <c r="AW31" s="55"/>
      <c r="AX31" s="55"/>
      <c r="AY31" s="62">
        <v>34</v>
      </c>
      <c r="AZ31" s="55"/>
      <c r="BA31" s="62"/>
      <c r="BB31" s="62"/>
      <c r="BC31" s="62"/>
      <c r="BD31" s="62"/>
      <c r="BE31" s="55"/>
      <c r="BF31" s="62"/>
      <c r="BG31" s="62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</row>
    <row r="32" spans="1:70" x14ac:dyDescent="0.2">
      <c r="A32" s="55" t="s">
        <v>292</v>
      </c>
      <c r="B32" s="55" t="s">
        <v>129</v>
      </c>
      <c r="C32" s="55">
        <v>2010</v>
      </c>
      <c r="D32" s="55"/>
      <c r="E32" s="55"/>
      <c r="F32" s="56"/>
      <c r="G32" s="56"/>
      <c r="H32" s="56">
        <v>800</v>
      </c>
      <c r="I32" s="19">
        <v>2200</v>
      </c>
      <c r="J32" s="56">
        <v>800</v>
      </c>
      <c r="K32" s="19">
        <v>2200</v>
      </c>
      <c r="L32" s="56"/>
      <c r="M32" s="56"/>
      <c r="N32" s="56"/>
      <c r="O32" s="56"/>
      <c r="P32" s="56"/>
      <c r="Q32" s="57"/>
      <c r="R32" s="58"/>
      <c r="S32" s="59"/>
      <c r="T32" s="58"/>
      <c r="U32" s="57"/>
      <c r="V32" s="56"/>
      <c r="W32" s="59"/>
      <c r="X32" s="56"/>
      <c r="Y32" s="60"/>
      <c r="Z32" s="60"/>
      <c r="AA32" s="60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6"/>
      <c r="AN32" s="56"/>
      <c r="AO32" s="56"/>
      <c r="AP32" s="61"/>
      <c r="AQ32" s="61"/>
      <c r="AR32" s="61"/>
      <c r="AS32" s="61"/>
      <c r="AT32" s="61"/>
      <c r="AU32" s="55"/>
      <c r="AV32" s="55"/>
      <c r="AW32" s="55"/>
      <c r="AX32" s="55"/>
      <c r="AY32" s="62">
        <v>34</v>
      </c>
      <c r="AZ32" s="55"/>
      <c r="BA32" s="62"/>
      <c r="BB32" s="62"/>
      <c r="BC32" s="62"/>
      <c r="BD32" s="62"/>
      <c r="BE32" s="55"/>
      <c r="BF32" s="62"/>
      <c r="BG32" s="62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</row>
    <row r="33" spans="1:70" x14ac:dyDescent="0.2">
      <c r="A33" s="55" t="s">
        <v>292</v>
      </c>
      <c r="B33" s="55" t="s">
        <v>129</v>
      </c>
      <c r="C33" s="55">
        <v>2020</v>
      </c>
      <c r="D33" s="55"/>
      <c r="E33" s="55"/>
      <c r="F33" s="56"/>
      <c r="G33" s="56"/>
      <c r="H33" s="56">
        <v>850</v>
      </c>
      <c r="I33" s="19">
        <v>2500</v>
      </c>
      <c r="J33" s="56">
        <v>850</v>
      </c>
      <c r="K33" s="19">
        <v>2500</v>
      </c>
      <c r="L33" s="56"/>
      <c r="M33" s="56"/>
      <c r="N33" s="56"/>
      <c r="O33" s="56"/>
      <c r="P33" s="56"/>
      <c r="Q33" s="57"/>
      <c r="R33" s="58"/>
      <c r="S33" s="59"/>
      <c r="T33" s="58"/>
      <c r="U33" s="57"/>
      <c r="V33" s="56"/>
      <c r="W33" s="59"/>
      <c r="X33" s="56"/>
      <c r="Y33" s="60"/>
      <c r="Z33" s="60"/>
      <c r="AA33" s="60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6"/>
      <c r="AN33" s="56"/>
      <c r="AO33" s="56"/>
      <c r="AP33" s="61"/>
      <c r="AQ33" s="61"/>
      <c r="AR33" s="61"/>
      <c r="AS33" s="61"/>
      <c r="AT33" s="61"/>
      <c r="AU33" s="55"/>
      <c r="AV33" s="55"/>
      <c r="AW33" s="55"/>
      <c r="AX33" s="55"/>
      <c r="AY33" s="62">
        <v>34</v>
      </c>
      <c r="AZ33" s="55"/>
      <c r="BA33" s="62"/>
      <c r="BB33" s="62"/>
      <c r="BC33" s="62"/>
      <c r="BD33" s="62"/>
      <c r="BE33" s="55"/>
      <c r="BF33" s="62"/>
      <c r="BG33" s="62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</row>
    <row r="34" spans="1:70" x14ac:dyDescent="0.2">
      <c r="A34" s="55" t="s">
        <v>292</v>
      </c>
      <c r="B34" s="55" t="s">
        <v>129</v>
      </c>
      <c r="C34" s="55">
        <v>2030</v>
      </c>
      <c r="D34" s="55"/>
      <c r="E34" s="55"/>
      <c r="F34" s="56"/>
      <c r="G34" s="56"/>
      <c r="H34" s="56">
        <v>800</v>
      </c>
      <c r="I34" s="19">
        <v>2400</v>
      </c>
      <c r="J34" s="56">
        <v>800</v>
      </c>
      <c r="K34" s="19">
        <v>2400</v>
      </c>
      <c r="L34" s="56"/>
      <c r="M34" s="56"/>
      <c r="N34" s="56"/>
      <c r="O34" s="56"/>
      <c r="P34" s="56"/>
      <c r="Q34" s="57"/>
      <c r="R34" s="58"/>
      <c r="S34" s="59"/>
      <c r="T34" s="58"/>
      <c r="U34" s="57"/>
      <c r="V34" s="56"/>
      <c r="W34" s="59"/>
      <c r="X34" s="56"/>
      <c r="Y34" s="60"/>
      <c r="Z34" s="60"/>
      <c r="AA34" s="60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6"/>
      <c r="AN34" s="56"/>
      <c r="AO34" s="56"/>
      <c r="AP34" s="61"/>
      <c r="AQ34" s="61"/>
      <c r="AR34" s="61"/>
      <c r="AS34" s="61"/>
      <c r="AT34" s="61"/>
      <c r="AU34" s="55"/>
      <c r="AV34" s="55"/>
      <c r="AW34" s="55"/>
      <c r="AX34" s="55"/>
      <c r="AY34" s="62">
        <v>34</v>
      </c>
      <c r="AZ34" s="55"/>
      <c r="BA34" s="62"/>
      <c r="BB34" s="62"/>
      <c r="BC34" s="62"/>
      <c r="BD34" s="62"/>
      <c r="BE34" s="55"/>
      <c r="BF34" s="62"/>
      <c r="BG34" s="62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</row>
    <row r="35" spans="1:70" x14ac:dyDescent="0.2">
      <c r="A35" s="55" t="s">
        <v>293</v>
      </c>
      <c r="B35" s="55" t="s">
        <v>129</v>
      </c>
      <c r="C35" s="55">
        <v>2010</v>
      </c>
      <c r="D35" s="55"/>
      <c r="E35" s="55"/>
      <c r="F35" s="56"/>
      <c r="G35" s="56"/>
      <c r="H35" s="56">
        <v>2350</v>
      </c>
      <c r="I35" s="19">
        <v>2200</v>
      </c>
      <c r="J35" s="56">
        <v>2350</v>
      </c>
      <c r="K35" s="19">
        <v>2200</v>
      </c>
      <c r="L35" s="56"/>
      <c r="M35" s="56"/>
      <c r="N35" s="56"/>
      <c r="O35" s="56"/>
      <c r="P35" s="56"/>
      <c r="Q35" s="57"/>
      <c r="R35" s="58"/>
      <c r="S35" s="59"/>
      <c r="T35" s="58"/>
      <c r="U35" s="57"/>
      <c r="V35" s="56"/>
      <c r="W35" s="59"/>
      <c r="X35" s="56"/>
      <c r="Y35" s="60"/>
      <c r="Z35" s="60"/>
      <c r="AA35" s="60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6"/>
      <c r="AN35" s="56"/>
      <c r="AO35" s="56"/>
      <c r="AP35" s="61"/>
      <c r="AQ35" s="61"/>
      <c r="AR35" s="61"/>
      <c r="AS35" s="61"/>
      <c r="AT35" s="61"/>
      <c r="AU35" s="55"/>
      <c r="AV35" s="55"/>
      <c r="AW35" s="55"/>
      <c r="AX35" s="55"/>
      <c r="AY35" s="62">
        <v>34</v>
      </c>
      <c r="AZ35" s="55"/>
      <c r="BA35" s="62"/>
      <c r="BB35" s="62"/>
      <c r="BC35" s="62"/>
      <c r="BD35" s="62"/>
      <c r="BE35" s="55"/>
      <c r="BF35" s="62"/>
      <c r="BG35" s="62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</row>
    <row r="36" spans="1:70" x14ac:dyDescent="0.2">
      <c r="A36" s="55" t="s">
        <v>293</v>
      </c>
      <c r="B36" s="55" t="s">
        <v>129</v>
      </c>
      <c r="C36" s="55">
        <v>2020</v>
      </c>
      <c r="D36" s="55"/>
      <c r="E36" s="55"/>
      <c r="F36" s="56"/>
      <c r="G36" s="56"/>
      <c r="H36" s="56">
        <v>2400</v>
      </c>
      <c r="I36" s="19">
        <v>2700</v>
      </c>
      <c r="J36" s="56">
        <v>2400</v>
      </c>
      <c r="K36" s="19">
        <v>2700</v>
      </c>
      <c r="L36" s="56"/>
      <c r="M36" s="56"/>
      <c r="N36" s="56"/>
      <c r="O36" s="56"/>
      <c r="P36" s="56"/>
      <c r="Q36" s="57"/>
      <c r="R36" s="58"/>
      <c r="S36" s="59"/>
      <c r="T36" s="58"/>
      <c r="U36" s="57"/>
      <c r="V36" s="56"/>
      <c r="W36" s="59"/>
      <c r="X36" s="56"/>
      <c r="Y36" s="60"/>
      <c r="Z36" s="60"/>
      <c r="AA36" s="60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6"/>
      <c r="AN36" s="56"/>
      <c r="AO36" s="56"/>
      <c r="AP36" s="61"/>
      <c r="AQ36" s="61"/>
      <c r="AR36" s="61"/>
      <c r="AS36" s="61"/>
      <c r="AT36" s="61"/>
      <c r="AU36" s="55"/>
      <c r="AV36" s="55"/>
      <c r="AW36" s="55"/>
      <c r="AX36" s="55"/>
      <c r="AY36" s="62">
        <v>34</v>
      </c>
      <c r="AZ36" s="55"/>
      <c r="BA36" s="62"/>
      <c r="BB36" s="62"/>
      <c r="BC36" s="62"/>
      <c r="BD36" s="62"/>
      <c r="BE36" s="55"/>
      <c r="BF36" s="62"/>
      <c r="BG36" s="62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</row>
    <row r="37" spans="1:70" x14ac:dyDescent="0.2">
      <c r="A37" s="55" t="s">
        <v>293</v>
      </c>
      <c r="B37" s="55" t="s">
        <v>129</v>
      </c>
      <c r="C37" s="55">
        <v>2030</v>
      </c>
      <c r="D37" s="55"/>
      <c r="E37" s="55"/>
      <c r="F37" s="56"/>
      <c r="G37" s="56"/>
      <c r="H37" s="56">
        <v>2150</v>
      </c>
      <c r="I37" s="19">
        <v>2500</v>
      </c>
      <c r="J37" s="56">
        <v>2150</v>
      </c>
      <c r="K37" s="19">
        <v>2500</v>
      </c>
      <c r="L37" s="56"/>
      <c r="M37" s="56"/>
      <c r="N37" s="56"/>
      <c r="O37" s="56"/>
      <c r="P37" s="56"/>
      <c r="Q37" s="57"/>
      <c r="R37" s="58"/>
      <c r="S37" s="59"/>
      <c r="T37" s="58"/>
      <c r="U37" s="57"/>
      <c r="V37" s="56"/>
      <c r="W37" s="59"/>
      <c r="X37" s="56"/>
      <c r="Y37" s="60"/>
      <c r="Z37" s="60"/>
      <c r="AA37" s="60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6"/>
      <c r="AN37" s="56"/>
      <c r="AO37" s="56"/>
      <c r="AP37" s="61"/>
      <c r="AQ37" s="61"/>
      <c r="AR37" s="61"/>
      <c r="AS37" s="61"/>
      <c r="AT37" s="61"/>
      <c r="AU37" s="55"/>
      <c r="AV37" s="55"/>
      <c r="AW37" s="55"/>
      <c r="AX37" s="55"/>
      <c r="AY37" s="62">
        <v>34</v>
      </c>
      <c r="AZ37" s="55"/>
      <c r="BA37" s="62"/>
      <c r="BB37" s="62"/>
      <c r="BC37" s="62"/>
      <c r="BD37" s="62"/>
      <c r="BE37" s="55"/>
      <c r="BF37" s="62"/>
      <c r="BG37" s="62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</row>
    <row r="38" spans="1:70" x14ac:dyDescent="0.2">
      <c r="A38" s="55" t="s">
        <v>294</v>
      </c>
      <c r="B38" s="55" t="s">
        <v>129</v>
      </c>
      <c r="C38" s="55">
        <v>2010</v>
      </c>
      <c r="D38" s="55"/>
      <c r="E38" s="55"/>
      <c r="F38" s="56"/>
      <c r="G38" s="56"/>
      <c r="H38" s="56">
        <v>600</v>
      </c>
      <c r="I38" s="19">
        <v>600</v>
      </c>
      <c r="J38" s="56">
        <v>600</v>
      </c>
      <c r="K38" s="19">
        <v>600</v>
      </c>
      <c r="L38" s="56"/>
      <c r="M38" s="56"/>
      <c r="N38" s="56"/>
      <c r="O38" s="56"/>
      <c r="P38" s="56"/>
      <c r="Q38" s="57"/>
      <c r="R38" s="58"/>
      <c r="S38" s="59"/>
      <c r="T38" s="58"/>
      <c r="U38" s="57"/>
      <c r="V38" s="56"/>
      <c r="W38" s="59"/>
      <c r="X38" s="56"/>
      <c r="Y38" s="60"/>
      <c r="Z38" s="60"/>
      <c r="AA38" s="60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6"/>
      <c r="AN38" s="56"/>
      <c r="AO38" s="56"/>
      <c r="AP38" s="61"/>
      <c r="AQ38" s="61"/>
      <c r="AR38" s="61"/>
      <c r="AS38" s="61"/>
      <c r="AT38" s="61"/>
      <c r="AU38" s="55"/>
      <c r="AV38" s="55"/>
      <c r="AW38" s="55"/>
      <c r="AX38" s="55"/>
      <c r="AY38" s="62">
        <v>34</v>
      </c>
      <c r="AZ38" s="55"/>
      <c r="BA38" s="62"/>
      <c r="BB38" s="62"/>
      <c r="BC38" s="62"/>
      <c r="BD38" s="62"/>
      <c r="BE38" s="55"/>
      <c r="BF38" s="62"/>
      <c r="BG38" s="62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</row>
    <row r="39" spans="1:70" x14ac:dyDescent="0.2">
      <c r="A39" s="55" t="s">
        <v>294</v>
      </c>
      <c r="B39" s="55" t="s">
        <v>129</v>
      </c>
      <c r="C39" s="55">
        <v>2020</v>
      </c>
      <c r="D39" s="55"/>
      <c r="E39" s="55"/>
      <c r="F39" s="56"/>
      <c r="G39" s="56"/>
      <c r="H39" s="56">
        <v>700</v>
      </c>
      <c r="I39" s="19">
        <v>600</v>
      </c>
      <c r="J39" s="56">
        <v>700</v>
      </c>
      <c r="K39" s="19">
        <v>600</v>
      </c>
      <c r="L39" s="56"/>
      <c r="M39" s="56"/>
      <c r="N39" s="56"/>
      <c r="O39" s="56"/>
      <c r="P39" s="56"/>
      <c r="Q39" s="57"/>
      <c r="R39" s="58"/>
      <c r="S39" s="59"/>
      <c r="T39" s="58"/>
      <c r="U39" s="57"/>
      <c r="V39" s="56"/>
      <c r="W39" s="59"/>
      <c r="X39" s="56"/>
      <c r="Y39" s="60"/>
      <c r="Z39" s="60"/>
      <c r="AA39" s="60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6"/>
      <c r="AN39" s="56"/>
      <c r="AO39" s="56"/>
      <c r="AP39" s="61"/>
      <c r="AQ39" s="61"/>
      <c r="AR39" s="61"/>
      <c r="AS39" s="61"/>
      <c r="AT39" s="61"/>
      <c r="AU39" s="55"/>
      <c r="AV39" s="55"/>
      <c r="AW39" s="55"/>
      <c r="AX39" s="55"/>
      <c r="AY39" s="62">
        <v>34</v>
      </c>
      <c r="AZ39" s="55"/>
      <c r="BA39" s="62"/>
      <c r="BB39" s="62"/>
      <c r="BC39" s="62"/>
      <c r="BD39" s="62"/>
      <c r="BE39" s="55"/>
      <c r="BF39" s="62"/>
      <c r="BG39" s="62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</row>
    <row r="40" spans="1:70" x14ac:dyDescent="0.2">
      <c r="A40" s="55" t="s">
        <v>294</v>
      </c>
      <c r="B40" s="55" t="s">
        <v>129</v>
      </c>
      <c r="C40" s="55">
        <v>2030</v>
      </c>
      <c r="D40" s="55"/>
      <c r="E40" s="55"/>
      <c r="F40" s="56"/>
      <c r="G40" s="56"/>
      <c r="H40" s="56">
        <v>600</v>
      </c>
      <c r="I40" s="19">
        <v>550</v>
      </c>
      <c r="J40" s="56">
        <v>600</v>
      </c>
      <c r="K40" s="19">
        <v>550</v>
      </c>
      <c r="L40" s="56"/>
      <c r="M40" s="56"/>
      <c r="N40" s="56"/>
      <c r="O40" s="56"/>
      <c r="P40" s="56"/>
      <c r="Q40" s="57"/>
      <c r="R40" s="58"/>
      <c r="S40" s="59"/>
      <c r="T40" s="58"/>
      <c r="U40" s="57"/>
      <c r="V40" s="56"/>
      <c r="W40" s="59"/>
      <c r="X40" s="56"/>
      <c r="Y40" s="60"/>
      <c r="Z40" s="60"/>
      <c r="AA40" s="60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6"/>
      <c r="AN40" s="56"/>
      <c r="AO40" s="56"/>
      <c r="AP40" s="61"/>
      <c r="AQ40" s="61"/>
      <c r="AR40" s="61"/>
      <c r="AS40" s="61"/>
      <c r="AT40" s="61"/>
      <c r="AU40" s="55"/>
      <c r="AV40" s="55"/>
      <c r="AW40" s="55"/>
      <c r="AX40" s="55"/>
      <c r="AY40" s="62">
        <v>34</v>
      </c>
      <c r="AZ40" s="55"/>
      <c r="BA40" s="62"/>
      <c r="BB40" s="62"/>
      <c r="BC40" s="62"/>
      <c r="BD40" s="62"/>
      <c r="BE40" s="55"/>
      <c r="BF40" s="62"/>
      <c r="BG40" s="62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</row>
    <row r="41" spans="1:70" x14ac:dyDescent="0.2">
      <c r="A41" s="55" t="s">
        <v>295</v>
      </c>
      <c r="B41" s="55" t="s">
        <v>129</v>
      </c>
      <c r="C41" s="55">
        <v>2010</v>
      </c>
      <c r="D41" s="55"/>
      <c r="E41" s="55"/>
      <c r="F41" s="56"/>
      <c r="G41" s="56"/>
      <c r="H41" s="56">
        <v>50</v>
      </c>
      <c r="I41" s="19">
        <v>50</v>
      </c>
      <c r="J41" s="56">
        <v>50</v>
      </c>
      <c r="K41" s="19">
        <v>50</v>
      </c>
      <c r="L41" s="56"/>
      <c r="M41" s="56"/>
      <c r="N41" s="56"/>
      <c r="O41" s="56"/>
      <c r="P41" s="56"/>
      <c r="Q41" s="57"/>
      <c r="R41" s="58"/>
      <c r="S41" s="59"/>
      <c r="T41" s="58"/>
      <c r="U41" s="57"/>
      <c r="V41" s="56"/>
      <c r="W41" s="59"/>
      <c r="X41" s="56"/>
      <c r="Y41" s="60"/>
      <c r="Z41" s="60"/>
      <c r="AA41" s="60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6"/>
      <c r="AN41" s="56"/>
      <c r="AO41" s="56"/>
      <c r="AP41" s="61"/>
      <c r="AQ41" s="61"/>
      <c r="AR41" s="61"/>
      <c r="AS41" s="61"/>
      <c r="AT41" s="61"/>
      <c r="AU41" s="55"/>
      <c r="AV41" s="55"/>
      <c r="AW41" s="55"/>
      <c r="AX41" s="55"/>
      <c r="AY41" s="62">
        <v>34</v>
      </c>
      <c r="AZ41" s="55"/>
      <c r="BA41" s="62"/>
      <c r="BB41" s="62"/>
      <c r="BC41" s="62"/>
      <c r="BD41" s="62"/>
      <c r="BE41" s="55"/>
      <c r="BF41" s="62"/>
      <c r="BG41" s="62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2" spans="1:70" x14ac:dyDescent="0.2">
      <c r="A42" s="55" t="s">
        <v>295</v>
      </c>
      <c r="B42" s="55" t="s">
        <v>129</v>
      </c>
      <c r="C42" s="55">
        <v>2020</v>
      </c>
      <c r="D42" s="55"/>
      <c r="E42" s="55"/>
      <c r="F42" s="56"/>
      <c r="G42" s="56"/>
      <c r="H42" s="56">
        <v>150</v>
      </c>
      <c r="I42" s="19">
        <v>100</v>
      </c>
      <c r="J42" s="56">
        <v>150</v>
      </c>
      <c r="K42" s="19">
        <v>100</v>
      </c>
      <c r="L42" s="56"/>
      <c r="M42" s="56"/>
      <c r="N42" s="56"/>
      <c r="O42" s="56"/>
      <c r="P42" s="56"/>
      <c r="Q42" s="57"/>
      <c r="R42" s="58"/>
      <c r="S42" s="59"/>
      <c r="T42" s="58"/>
      <c r="U42" s="57"/>
      <c r="V42" s="56"/>
      <c r="W42" s="59"/>
      <c r="X42" s="56"/>
      <c r="Y42" s="60"/>
      <c r="Z42" s="60"/>
      <c r="AA42" s="60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6"/>
      <c r="AN42" s="56"/>
      <c r="AO42" s="56"/>
      <c r="AP42" s="61"/>
      <c r="AQ42" s="61"/>
      <c r="AR42" s="61"/>
      <c r="AS42" s="61"/>
      <c r="AT42" s="61"/>
      <c r="AU42" s="55"/>
      <c r="AV42" s="55"/>
      <c r="AW42" s="55"/>
      <c r="AX42" s="55"/>
      <c r="AY42" s="62">
        <v>34</v>
      </c>
      <c r="AZ42" s="55"/>
      <c r="BA42" s="62"/>
      <c r="BB42" s="62"/>
      <c r="BC42" s="62"/>
      <c r="BD42" s="62"/>
      <c r="BE42" s="55"/>
      <c r="BF42" s="62"/>
      <c r="BG42" s="62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</row>
    <row r="43" spans="1:70" x14ac:dyDescent="0.2">
      <c r="A43" s="55" t="s">
        <v>295</v>
      </c>
      <c r="B43" s="55" t="s">
        <v>129</v>
      </c>
      <c r="C43" s="55">
        <v>2030</v>
      </c>
      <c r="D43" s="55"/>
      <c r="E43" s="55"/>
      <c r="F43" s="56"/>
      <c r="G43" s="56"/>
      <c r="H43" s="56">
        <v>150</v>
      </c>
      <c r="I43" s="19">
        <v>100</v>
      </c>
      <c r="J43" s="56">
        <v>150</v>
      </c>
      <c r="K43" s="19">
        <v>100</v>
      </c>
      <c r="L43" s="56"/>
      <c r="M43" s="56"/>
      <c r="N43" s="56"/>
      <c r="O43" s="56"/>
      <c r="P43" s="56"/>
      <c r="Q43" s="57"/>
      <c r="R43" s="58"/>
      <c r="S43" s="59"/>
      <c r="T43" s="58"/>
      <c r="U43" s="57"/>
      <c r="V43" s="56"/>
      <c r="W43" s="59"/>
      <c r="X43" s="56"/>
      <c r="Y43" s="60"/>
      <c r="Z43" s="60"/>
      <c r="AA43" s="60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6"/>
      <c r="AN43" s="56"/>
      <c r="AO43" s="56"/>
      <c r="AP43" s="61"/>
      <c r="AQ43" s="61"/>
      <c r="AR43" s="61"/>
      <c r="AS43" s="61"/>
      <c r="AT43" s="61"/>
      <c r="AU43" s="55"/>
      <c r="AV43" s="55"/>
      <c r="AW43" s="55"/>
      <c r="AX43" s="55"/>
      <c r="AY43" s="62">
        <v>34</v>
      </c>
      <c r="AZ43" s="55"/>
      <c r="BA43" s="62"/>
      <c r="BB43" s="62"/>
      <c r="BC43" s="62"/>
      <c r="BD43" s="62"/>
      <c r="BE43" s="55"/>
      <c r="BF43" s="62"/>
      <c r="BG43" s="62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</row>
    <row r="44" spans="1:70" x14ac:dyDescent="0.2">
      <c r="A44" s="55" t="s">
        <v>296</v>
      </c>
      <c r="B44" s="55" t="s">
        <v>129</v>
      </c>
      <c r="C44" s="55">
        <v>2010</v>
      </c>
      <c r="D44" s="55"/>
      <c r="E44" s="55"/>
      <c r="F44" s="56"/>
      <c r="G44" s="56"/>
      <c r="H44" s="56">
        <v>600</v>
      </c>
      <c r="I44" s="19">
        <v>600</v>
      </c>
      <c r="J44" s="56">
        <v>600</v>
      </c>
      <c r="K44" s="19">
        <v>600</v>
      </c>
      <c r="L44" s="56"/>
      <c r="M44" s="56"/>
      <c r="N44" s="56"/>
      <c r="O44" s="56"/>
      <c r="P44" s="56"/>
      <c r="Q44" s="57"/>
      <c r="R44" s="58"/>
      <c r="S44" s="59"/>
      <c r="T44" s="58"/>
      <c r="U44" s="57"/>
      <c r="V44" s="56"/>
      <c r="W44" s="59"/>
      <c r="X44" s="56"/>
      <c r="Y44" s="60"/>
      <c r="Z44" s="60"/>
      <c r="AA44" s="60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6"/>
      <c r="AN44" s="56"/>
      <c r="AO44" s="56"/>
      <c r="AP44" s="61"/>
      <c r="AQ44" s="61"/>
      <c r="AR44" s="61"/>
      <c r="AS44" s="61"/>
      <c r="AT44" s="61"/>
      <c r="AU44" s="55"/>
      <c r="AV44" s="55"/>
      <c r="AW44" s="55"/>
      <c r="AX44" s="55"/>
      <c r="AY44" s="62"/>
      <c r="AZ44" s="55"/>
      <c r="BA44" s="62"/>
      <c r="BB44" s="62"/>
      <c r="BC44" s="62"/>
      <c r="BD44" s="62"/>
      <c r="BE44" s="55"/>
      <c r="BF44" s="62"/>
      <c r="BG44" s="62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</row>
    <row r="45" spans="1:70" x14ac:dyDescent="0.2">
      <c r="A45" s="55" t="s">
        <v>296</v>
      </c>
      <c r="B45" s="55" t="s">
        <v>129</v>
      </c>
      <c r="C45" s="55">
        <v>2020</v>
      </c>
      <c r="D45" s="55"/>
      <c r="E45" s="55"/>
      <c r="F45" s="56"/>
      <c r="G45" s="56"/>
      <c r="H45" s="56">
        <v>700</v>
      </c>
      <c r="I45" s="19">
        <v>600</v>
      </c>
      <c r="J45" s="56">
        <v>700</v>
      </c>
      <c r="K45" s="19">
        <v>600</v>
      </c>
      <c r="L45" s="56"/>
      <c r="M45" s="56"/>
      <c r="N45" s="56"/>
      <c r="O45" s="56"/>
      <c r="P45" s="56"/>
      <c r="Q45" s="57"/>
      <c r="R45" s="58"/>
      <c r="S45" s="59"/>
      <c r="T45" s="58"/>
      <c r="U45" s="57"/>
      <c r="V45" s="56"/>
      <c r="W45" s="59"/>
      <c r="X45" s="56"/>
      <c r="Y45" s="60"/>
      <c r="Z45" s="60"/>
      <c r="AA45" s="60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6"/>
      <c r="AN45" s="56"/>
      <c r="AO45" s="56"/>
      <c r="AP45" s="61"/>
      <c r="AQ45" s="61"/>
      <c r="AR45" s="61"/>
      <c r="AS45" s="61"/>
      <c r="AT45" s="61"/>
      <c r="AU45" s="55"/>
      <c r="AV45" s="55"/>
      <c r="AW45" s="55"/>
      <c r="AX45" s="55"/>
      <c r="AY45" s="62"/>
      <c r="AZ45" s="55"/>
      <c r="BA45" s="62"/>
      <c r="BB45" s="62"/>
      <c r="BC45" s="62"/>
      <c r="BD45" s="62"/>
      <c r="BE45" s="55"/>
      <c r="BF45" s="62"/>
      <c r="BG45" s="62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</row>
    <row r="46" spans="1:70" x14ac:dyDescent="0.2">
      <c r="A46" s="55" t="s">
        <v>296</v>
      </c>
      <c r="B46" s="55" t="s">
        <v>129</v>
      </c>
      <c r="C46" s="55">
        <v>2030</v>
      </c>
      <c r="D46" s="55"/>
      <c r="E46" s="55"/>
      <c r="F46" s="56"/>
      <c r="G46" s="56"/>
      <c r="H46" s="56">
        <v>600</v>
      </c>
      <c r="I46" s="19">
        <v>500</v>
      </c>
      <c r="J46" s="56">
        <v>600</v>
      </c>
      <c r="K46" s="19">
        <v>500</v>
      </c>
      <c r="L46" s="56"/>
      <c r="M46" s="56"/>
      <c r="N46" s="56"/>
      <c r="O46" s="56"/>
      <c r="P46" s="56"/>
      <c r="Q46" s="57"/>
      <c r="R46" s="58"/>
      <c r="S46" s="59"/>
      <c r="T46" s="58"/>
      <c r="U46" s="57"/>
      <c r="V46" s="56"/>
      <c r="W46" s="59"/>
      <c r="X46" s="56"/>
      <c r="Y46" s="60"/>
      <c r="Z46" s="60"/>
      <c r="AA46" s="60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6"/>
      <c r="AN46" s="56"/>
      <c r="AO46" s="56"/>
      <c r="AP46" s="61"/>
      <c r="AQ46" s="61"/>
      <c r="AR46" s="61"/>
      <c r="AS46" s="61"/>
      <c r="AT46" s="61"/>
      <c r="AU46" s="55"/>
      <c r="AV46" s="55"/>
      <c r="AW46" s="55"/>
      <c r="AX46" s="55"/>
      <c r="AY46" s="62"/>
      <c r="AZ46" s="55"/>
      <c r="BA46" s="62"/>
      <c r="BB46" s="62"/>
      <c r="BC46" s="62"/>
      <c r="BD46" s="62"/>
      <c r="BE46" s="55"/>
      <c r="BF46" s="62"/>
      <c r="BG46" s="62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</row>
    <row r="47" spans="1:70" x14ac:dyDescent="0.2">
      <c r="A47" s="55" t="s">
        <v>297</v>
      </c>
      <c r="B47" s="55" t="s">
        <v>129</v>
      </c>
      <c r="C47" s="55">
        <v>2010</v>
      </c>
      <c r="D47" s="55"/>
      <c r="E47" s="55"/>
      <c r="F47" s="56"/>
      <c r="G47" s="56"/>
      <c r="H47" s="56">
        <v>100</v>
      </c>
      <c r="I47" s="19">
        <v>100</v>
      </c>
      <c r="J47" s="56">
        <v>100</v>
      </c>
      <c r="K47" s="19">
        <v>100</v>
      </c>
      <c r="L47" s="56"/>
      <c r="M47" s="56"/>
      <c r="N47" s="56"/>
      <c r="O47" s="56"/>
      <c r="P47" s="56"/>
      <c r="Q47" s="57"/>
      <c r="R47" s="58"/>
      <c r="S47" s="59"/>
      <c r="T47" s="58"/>
      <c r="U47" s="57"/>
      <c r="V47" s="56"/>
      <c r="W47" s="59"/>
      <c r="X47" s="56"/>
      <c r="Y47" s="60"/>
      <c r="Z47" s="60"/>
      <c r="AA47" s="60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6"/>
      <c r="AN47" s="56"/>
      <c r="AO47" s="56"/>
      <c r="AP47" s="61"/>
      <c r="AQ47" s="61"/>
      <c r="AR47" s="61"/>
      <c r="AS47" s="61"/>
      <c r="AT47" s="61"/>
      <c r="AU47" s="55"/>
      <c r="AV47" s="55"/>
      <c r="AW47" s="55"/>
      <c r="AX47" s="55"/>
      <c r="AY47" s="62"/>
      <c r="AZ47" s="55"/>
      <c r="BA47" s="62"/>
      <c r="BB47" s="62"/>
      <c r="BC47" s="62"/>
      <c r="BD47" s="62"/>
      <c r="BE47" s="55"/>
      <c r="BF47" s="62"/>
      <c r="BG47" s="62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</row>
    <row r="48" spans="1:70" x14ac:dyDescent="0.2">
      <c r="A48" s="55" t="s">
        <v>297</v>
      </c>
      <c r="B48" s="55" t="s">
        <v>129</v>
      </c>
      <c r="C48" s="55">
        <v>2020</v>
      </c>
      <c r="D48" s="55"/>
      <c r="E48" s="55"/>
      <c r="F48" s="56"/>
      <c r="G48" s="56"/>
      <c r="H48" s="56">
        <v>250</v>
      </c>
      <c r="I48" s="19">
        <v>200</v>
      </c>
      <c r="J48" s="56">
        <v>250</v>
      </c>
      <c r="K48" s="19">
        <v>200</v>
      </c>
      <c r="L48" s="56"/>
      <c r="M48" s="56"/>
      <c r="N48" s="56"/>
      <c r="O48" s="56"/>
      <c r="P48" s="56"/>
      <c r="Q48" s="57"/>
      <c r="R48" s="58"/>
      <c r="S48" s="59"/>
      <c r="T48" s="58"/>
      <c r="U48" s="57"/>
      <c r="V48" s="56"/>
      <c r="W48" s="59"/>
      <c r="X48" s="56"/>
      <c r="Y48" s="60"/>
      <c r="Z48" s="60"/>
      <c r="AA48" s="60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6"/>
      <c r="AN48" s="56"/>
      <c r="AO48" s="56"/>
      <c r="AP48" s="61"/>
      <c r="AQ48" s="61"/>
      <c r="AR48" s="61"/>
      <c r="AS48" s="61"/>
      <c r="AT48" s="61"/>
      <c r="AU48" s="55"/>
      <c r="AV48" s="55"/>
      <c r="AW48" s="55"/>
      <c r="AX48" s="55"/>
      <c r="AY48" s="62"/>
      <c r="AZ48" s="55"/>
      <c r="BA48" s="62"/>
      <c r="BB48" s="62"/>
      <c r="BC48" s="62"/>
      <c r="BD48" s="62"/>
      <c r="BE48" s="55"/>
      <c r="BF48" s="62"/>
      <c r="BG48" s="62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</row>
    <row r="49" spans="1:70" x14ac:dyDescent="0.2">
      <c r="A49" s="55" t="s">
        <v>297</v>
      </c>
      <c r="B49" s="55" t="s">
        <v>129</v>
      </c>
      <c r="C49" s="55">
        <v>2030</v>
      </c>
      <c r="D49" s="55"/>
      <c r="E49" s="55"/>
      <c r="F49" s="56"/>
      <c r="G49" s="56"/>
      <c r="H49" s="56">
        <v>250</v>
      </c>
      <c r="I49" s="19">
        <v>150</v>
      </c>
      <c r="J49" s="56">
        <v>250</v>
      </c>
      <c r="K49" s="19">
        <v>150</v>
      </c>
      <c r="L49" s="56"/>
      <c r="M49" s="56"/>
      <c r="N49" s="56"/>
      <c r="O49" s="56"/>
      <c r="P49" s="56"/>
      <c r="Q49" s="57"/>
      <c r="R49" s="58"/>
      <c r="S49" s="59"/>
      <c r="T49" s="58"/>
      <c r="U49" s="57"/>
      <c r="V49" s="56"/>
      <c r="W49" s="59"/>
      <c r="X49" s="56"/>
      <c r="Y49" s="60"/>
      <c r="Z49" s="60"/>
      <c r="AA49" s="60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6"/>
      <c r="AN49" s="56"/>
      <c r="AO49" s="56"/>
      <c r="AP49" s="61"/>
      <c r="AQ49" s="61"/>
      <c r="AR49" s="61"/>
      <c r="AS49" s="61"/>
      <c r="AT49" s="61"/>
      <c r="AU49" s="55"/>
      <c r="AV49" s="55"/>
      <c r="AW49" s="55"/>
      <c r="AX49" s="55"/>
      <c r="AY49" s="62"/>
      <c r="AZ49" s="55"/>
      <c r="BA49" s="62"/>
      <c r="BB49" s="62"/>
      <c r="BC49" s="62"/>
      <c r="BD49" s="62"/>
      <c r="BE49" s="55"/>
      <c r="BF49" s="62"/>
      <c r="BG49" s="62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</row>
    <row r="50" spans="1:70" x14ac:dyDescent="0.2">
      <c r="A50" s="55" t="s">
        <v>298</v>
      </c>
      <c r="B50" s="55" t="s">
        <v>129</v>
      </c>
      <c r="C50" s="55">
        <v>2010</v>
      </c>
      <c r="D50" s="55"/>
      <c r="E50" s="55"/>
      <c r="F50" s="56"/>
      <c r="G50" s="56"/>
      <c r="H50" s="56">
        <v>500</v>
      </c>
      <c r="I50" s="19">
        <v>900</v>
      </c>
      <c r="J50" s="56">
        <v>500</v>
      </c>
      <c r="K50" s="19">
        <v>900</v>
      </c>
      <c r="L50" s="56"/>
      <c r="M50" s="56"/>
      <c r="N50" s="56"/>
      <c r="O50" s="56"/>
      <c r="P50" s="56"/>
      <c r="Q50" s="57"/>
      <c r="R50" s="58"/>
      <c r="S50" s="59"/>
      <c r="T50" s="58"/>
      <c r="U50" s="57"/>
      <c r="V50" s="56"/>
      <c r="W50" s="59"/>
      <c r="X50" s="56"/>
      <c r="Y50" s="60"/>
      <c r="Z50" s="60"/>
      <c r="AA50" s="60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6"/>
      <c r="AN50" s="56"/>
      <c r="AO50" s="56"/>
      <c r="AP50" s="61"/>
      <c r="AQ50" s="61"/>
      <c r="AR50" s="61"/>
      <c r="AS50" s="61"/>
      <c r="AT50" s="61"/>
      <c r="AU50" s="55"/>
      <c r="AV50" s="55"/>
      <c r="AW50" s="55"/>
      <c r="AX50" s="55"/>
      <c r="AY50" s="62"/>
      <c r="AZ50" s="55"/>
      <c r="BA50" s="62"/>
      <c r="BB50" s="62"/>
      <c r="BC50" s="62"/>
      <c r="BD50" s="62"/>
      <c r="BE50" s="55"/>
      <c r="BF50" s="62"/>
      <c r="BG50" s="62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</row>
    <row r="51" spans="1:70" x14ac:dyDescent="0.2">
      <c r="A51" s="55" t="s">
        <v>298</v>
      </c>
      <c r="B51" s="55" t="s">
        <v>129</v>
      </c>
      <c r="C51" s="55">
        <v>2020</v>
      </c>
      <c r="D51" s="55"/>
      <c r="E51" s="55"/>
      <c r="F51" s="56"/>
      <c r="G51" s="56"/>
      <c r="H51" s="56">
        <v>600</v>
      </c>
      <c r="I51" s="19">
        <v>1000</v>
      </c>
      <c r="J51" s="56">
        <v>600</v>
      </c>
      <c r="K51" s="19">
        <v>1000</v>
      </c>
      <c r="L51" s="56"/>
      <c r="M51" s="56"/>
      <c r="N51" s="56"/>
      <c r="O51" s="56"/>
      <c r="P51" s="56"/>
      <c r="Q51" s="57"/>
      <c r="R51" s="58"/>
      <c r="S51" s="59"/>
      <c r="T51" s="58"/>
      <c r="U51" s="57"/>
      <c r="V51" s="56"/>
      <c r="W51" s="59"/>
      <c r="X51" s="56"/>
      <c r="Y51" s="60"/>
      <c r="Z51" s="60"/>
      <c r="AA51" s="60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6"/>
      <c r="AN51" s="56"/>
      <c r="AO51" s="56"/>
      <c r="AP51" s="61"/>
      <c r="AQ51" s="61"/>
      <c r="AR51" s="61"/>
      <c r="AS51" s="61"/>
      <c r="AT51" s="61"/>
      <c r="AU51" s="55"/>
      <c r="AV51" s="55"/>
      <c r="AW51" s="55"/>
      <c r="AX51" s="55"/>
      <c r="AY51" s="62"/>
      <c r="AZ51" s="55"/>
      <c r="BA51" s="62"/>
      <c r="BB51" s="62"/>
      <c r="BC51" s="62"/>
      <c r="BD51" s="62"/>
      <c r="BE51" s="55"/>
      <c r="BF51" s="62"/>
      <c r="BG51" s="62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</row>
    <row r="52" spans="1:70" x14ac:dyDescent="0.2">
      <c r="A52" s="55" t="s">
        <v>298</v>
      </c>
      <c r="B52" s="55" t="s">
        <v>129</v>
      </c>
      <c r="C52" s="55">
        <v>2030</v>
      </c>
      <c r="D52" s="55"/>
      <c r="E52" s="55"/>
      <c r="F52" s="56"/>
      <c r="G52" s="56"/>
      <c r="H52" s="56">
        <v>550</v>
      </c>
      <c r="I52" s="19">
        <v>900</v>
      </c>
      <c r="J52" s="56">
        <v>550</v>
      </c>
      <c r="K52" s="19">
        <v>900</v>
      </c>
      <c r="L52" s="56"/>
      <c r="M52" s="56"/>
      <c r="N52" s="56"/>
      <c r="O52" s="56"/>
      <c r="P52" s="56"/>
      <c r="Q52" s="57"/>
      <c r="R52" s="58"/>
      <c r="S52" s="59"/>
      <c r="T52" s="58"/>
      <c r="U52" s="57"/>
      <c r="V52" s="56"/>
      <c r="W52" s="59"/>
      <c r="X52" s="56"/>
      <c r="Y52" s="60"/>
      <c r="Z52" s="60"/>
      <c r="AA52" s="60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6"/>
      <c r="AN52" s="56"/>
      <c r="AO52" s="56"/>
      <c r="AP52" s="61"/>
      <c r="AQ52" s="61"/>
      <c r="AR52" s="61"/>
      <c r="AS52" s="61"/>
      <c r="AT52" s="61"/>
      <c r="AU52" s="55"/>
      <c r="AV52" s="55"/>
      <c r="AW52" s="55"/>
      <c r="AX52" s="55"/>
      <c r="AY52" s="62"/>
      <c r="AZ52" s="55"/>
      <c r="BA52" s="62"/>
      <c r="BB52" s="62"/>
      <c r="BC52" s="62"/>
      <c r="BD52" s="62"/>
      <c r="BE52" s="55"/>
      <c r="BF52" s="62"/>
      <c r="BG52" s="62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</row>
    <row r="53" spans="1:70" x14ac:dyDescent="0.2">
      <c r="A53" s="55" t="s">
        <v>299</v>
      </c>
      <c r="B53" s="55" t="s">
        <v>129</v>
      </c>
      <c r="C53" s="55">
        <v>2010</v>
      </c>
      <c r="D53" s="55"/>
      <c r="E53" s="55"/>
      <c r="F53" s="56"/>
      <c r="G53" s="56"/>
      <c r="H53" s="56">
        <v>300</v>
      </c>
      <c r="I53" s="19">
        <v>800</v>
      </c>
      <c r="J53" s="56">
        <v>300</v>
      </c>
      <c r="K53" s="19">
        <v>800</v>
      </c>
      <c r="L53" s="56"/>
      <c r="M53" s="56"/>
      <c r="N53" s="56"/>
      <c r="O53" s="56"/>
      <c r="P53" s="56"/>
      <c r="Q53" s="57"/>
      <c r="R53" s="58"/>
      <c r="S53" s="59"/>
      <c r="T53" s="58"/>
      <c r="U53" s="57"/>
      <c r="V53" s="56"/>
      <c r="W53" s="59"/>
      <c r="X53" s="56"/>
      <c r="Y53" s="60"/>
      <c r="Z53" s="60"/>
      <c r="AA53" s="60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6"/>
      <c r="AN53" s="56"/>
      <c r="AO53" s="56"/>
      <c r="AP53" s="61"/>
      <c r="AQ53" s="61"/>
      <c r="AR53" s="61"/>
      <c r="AS53" s="61"/>
      <c r="AT53" s="61"/>
      <c r="AU53" s="55"/>
      <c r="AV53" s="55"/>
      <c r="AW53" s="55"/>
      <c r="AX53" s="55"/>
      <c r="AY53" s="62"/>
      <c r="AZ53" s="55"/>
      <c r="BA53" s="62"/>
      <c r="BB53" s="62"/>
      <c r="BC53" s="62"/>
      <c r="BD53" s="62"/>
      <c r="BE53" s="55"/>
      <c r="BF53" s="62"/>
      <c r="BG53" s="62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</row>
    <row r="54" spans="1:70" x14ac:dyDescent="0.2">
      <c r="A54" s="55" t="s">
        <v>299</v>
      </c>
      <c r="B54" s="55" t="s">
        <v>129</v>
      </c>
      <c r="C54" s="55">
        <v>2020</v>
      </c>
      <c r="D54" s="55"/>
      <c r="E54" s="55"/>
      <c r="F54" s="56"/>
      <c r="G54" s="56"/>
      <c r="H54" s="56">
        <v>400</v>
      </c>
      <c r="I54" s="19">
        <v>1000</v>
      </c>
      <c r="J54" s="56">
        <v>400</v>
      </c>
      <c r="K54" s="19">
        <v>1000</v>
      </c>
      <c r="L54" s="56"/>
      <c r="M54" s="56"/>
      <c r="N54" s="56"/>
      <c r="O54" s="56"/>
      <c r="P54" s="56"/>
      <c r="Q54" s="57"/>
      <c r="R54" s="58"/>
      <c r="S54" s="59"/>
      <c r="T54" s="58"/>
      <c r="U54" s="57"/>
      <c r="V54" s="56"/>
      <c r="W54" s="59"/>
      <c r="X54" s="56"/>
      <c r="Y54" s="60"/>
      <c r="Z54" s="60"/>
      <c r="AA54" s="60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6"/>
      <c r="AN54" s="56"/>
      <c r="AO54" s="56"/>
      <c r="AP54" s="61"/>
      <c r="AQ54" s="61"/>
      <c r="AR54" s="61"/>
      <c r="AS54" s="61"/>
      <c r="AT54" s="61"/>
      <c r="AU54" s="55"/>
      <c r="AV54" s="55"/>
      <c r="AW54" s="55"/>
      <c r="AX54" s="55"/>
      <c r="AY54" s="62"/>
      <c r="AZ54" s="55"/>
      <c r="BA54" s="62"/>
      <c r="BB54" s="62"/>
      <c r="BC54" s="62"/>
      <c r="BD54" s="62"/>
      <c r="BE54" s="55"/>
      <c r="BF54" s="62"/>
      <c r="BG54" s="62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</row>
    <row r="55" spans="1:70" x14ac:dyDescent="0.2">
      <c r="A55" s="55" t="s">
        <v>299</v>
      </c>
      <c r="B55" s="55" t="s">
        <v>129</v>
      </c>
      <c r="C55" s="55">
        <v>2030</v>
      </c>
      <c r="D55" s="55"/>
      <c r="E55" s="55"/>
      <c r="F55" s="56"/>
      <c r="G55" s="56"/>
      <c r="H55" s="56">
        <v>400</v>
      </c>
      <c r="I55" s="19">
        <v>900</v>
      </c>
      <c r="J55" s="56">
        <v>400</v>
      </c>
      <c r="K55" s="19">
        <v>900</v>
      </c>
      <c r="L55" s="56"/>
      <c r="M55" s="56"/>
      <c r="N55" s="56"/>
      <c r="O55" s="56"/>
      <c r="P55" s="56"/>
      <c r="Q55" s="57"/>
      <c r="R55" s="58"/>
      <c r="S55" s="59"/>
      <c r="T55" s="58"/>
      <c r="U55" s="57"/>
      <c r="V55" s="56"/>
      <c r="W55" s="59"/>
      <c r="X55" s="56"/>
      <c r="Y55" s="60"/>
      <c r="Z55" s="60"/>
      <c r="AA55" s="60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6"/>
      <c r="AN55" s="56"/>
      <c r="AO55" s="56"/>
      <c r="AP55" s="61"/>
      <c r="AQ55" s="61"/>
      <c r="AR55" s="61"/>
      <c r="AS55" s="61"/>
      <c r="AT55" s="61"/>
      <c r="AU55" s="55"/>
      <c r="AV55" s="55"/>
      <c r="AW55" s="55"/>
      <c r="AX55" s="55"/>
      <c r="AY55" s="62"/>
      <c r="AZ55" s="55"/>
      <c r="BA55" s="62"/>
      <c r="BB55" s="62"/>
      <c r="BC55" s="62"/>
      <c r="BD55" s="62"/>
      <c r="BE55" s="55"/>
      <c r="BF55" s="62"/>
      <c r="BG55" s="62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1151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1097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2.1076142131979698</v>
      </c>
      <c r="AD3" s="8">
        <f>9*Umrechnungsfaktoren!$B$15/Umrechnungsfaktoren!$B$10</f>
        <v>9.4842639593908622</v>
      </c>
      <c r="AE3" s="1">
        <f>AVERAGE(Tabelle58971117[[#This Row],[fixe Kosten min. €_2018/kW*a]:[fixe Kosten max. €_2018/kW*a]])</f>
        <v>5.7959390862944158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2.1076142131979698</v>
      </c>
      <c r="AD6" s="8">
        <f>9*Umrechnungsfaktoren!$B$15/Umrechnungsfaktoren!$B$10</f>
        <v>9.4842639593908622</v>
      </c>
      <c r="AE6" s="1">
        <f>AVERAGE(Tabelle58971117[[#This Row],[fixe Kosten min. €_2018/kW*a]:[fixe Kosten max. €_2018/kW*a]])</f>
        <v>5.7959390862944158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2.1076142131979698</v>
      </c>
      <c r="AD9" s="8">
        <f>9*Umrechnungsfaktoren!$B$15/Umrechnungsfaktoren!$B$10</f>
        <v>9.4842639593908622</v>
      </c>
      <c r="AE9" s="1">
        <f>AVERAGE(Tabelle58971117[[#This Row],[fixe Kosten min. €_2018/kW*a]:[fixe Kosten max. €_2018/kW*a]])</f>
        <v>5.7959390862944158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2.1076142131979698</v>
      </c>
      <c r="AD12" s="8">
        <f>9*Umrechnungsfaktoren!$B$15/Umrechnungsfaktoren!$B$10</f>
        <v>9.4842639593908622</v>
      </c>
      <c r="AE12" s="1">
        <f>AVERAGE(Tabelle58971117[[#This Row],[fixe Kosten min. €_2018/kW*a]:[fixe Kosten max. €_2018/kW*a]])</f>
        <v>5.7959390862944158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5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5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2.1076142131979698</v>
      </c>
      <c r="AD15" s="8">
        <f>9*Umrechnungsfaktoren!$B$15/Umrechnungsfaktoren!$B$10</f>
        <v>9.4842639593908622</v>
      </c>
      <c r="AE15" s="1">
        <f>AVERAGE(Tabelle58971117[[#This Row],[fixe Kosten min. €_2018/kW*a]:[fixe Kosten max. €_2018/kW*a]])</f>
        <v>5.7959390862944158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5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2.1076142131979698</v>
      </c>
      <c r="AD18" s="8">
        <f>9*Umrechnungsfaktoren!$B$15/Umrechnungsfaktoren!$B$10</f>
        <v>9.4842639593908622</v>
      </c>
      <c r="AE18" s="1">
        <f>AVERAGE(Tabelle58971117[[#This Row],[fixe Kosten min. €_2018/kW*a]:[fixe Kosten max. €_2018/kW*a]])</f>
        <v>5.7959390862944158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1073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1073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1073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0" t="s">
        <v>141</v>
      </c>
      <c r="C2" s="6"/>
      <c r="D2" s="16"/>
      <c r="E2" s="6"/>
      <c r="F2" s="6">
        <v>-10</v>
      </c>
      <c r="G2" s="27">
        <v>2</v>
      </c>
      <c r="H2" s="1" t="s">
        <v>511</v>
      </c>
    </row>
    <row r="3" spans="1:8" x14ac:dyDescent="0.2">
      <c r="A3" s="1" t="s">
        <v>140</v>
      </c>
      <c r="B3" s="30" t="s">
        <v>141</v>
      </c>
      <c r="D3" s="9"/>
      <c r="F3" s="1">
        <v>-5</v>
      </c>
      <c r="G3" s="27">
        <v>2</v>
      </c>
      <c r="H3" s="1" t="s">
        <v>511</v>
      </c>
    </row>
    <row r="4" spans="1:8" x14ac:dyDescent="0.2">
      <c r="A4" s="1" t="s">
        <v>140</v>
      </c>
      <c r="B4" s="30" t="s">
        <v>141</v>
      </c>
      <c r="C4" s="6"/>
      <c r="D4" s="16"/>
      <c r="E4" s="6"/>
      <c r="F4" s="6">
        <v>0</v>
      </c>
      <c r="G4" s="27">
        <v>3</v>
      </c>
      <c r="H4" s="1" t="s">
        <v>511</v>
      </c>
    </row>
    <row r="5" spans="1:8" x14ac:dyDescent="0.2">
      <c r="A5" s="1" t="s">
        <v>140</v>
      </c>
      <c r="B5" s="30" t="s">
        <v>141</v>
      </c>
      <c r="D5" s="9"/>
      <c r="F5" s="1">
        <v>5</v>
      </c>
      <c r="G5" s="27">
        <v>5</v>
      </c>
      <c r="H5" s="1" t="s">
        <v>511</v>
      </c>
    </row>
    <row r="6" spans="1:8" x14ac:dyDescent="0.2">
      <c r="A6" s="1" t="s">
        <v>140</v>
      </c>
      <c r="B6" s="30" t="s">
        <v>141</v>
      </c>
      <c r="C6" s="6"/>
      <c r="D6" s="16"/>
      <c r="E6" s="6"/>
      <c r="F6" s="6">
        <v>10</v>
      </c>
      <c r="G6" s="27">
        <v>10</v>
      </c>
      <c r="H6" s="1" t="s">
        <v>511</v>
      </c>
    </row>
    <row r="7" spans="1:8" x14ac:dyDescent="0.2">
      <c r="A7" s="1" t="s">
        <v>140</v>
      </c>
      <c r="B7" s="30" t="s">
        <v>141</v>
      </c>
      <c r="D7" s="9"/>
      <c r="F7" s="1">
        <v>15</v>
      </c>
      <c r="G7" s="27">
        <v>30</v>
      </c>
      <c r="H7" s="1" t="s">
        <v>511</v>
      </c>
    </row>
    <row r="8" spans="1:8" x14ac:dyDescent="0.2">
      <c r="A8" s="1" t="s">
        <v>221</v>
      </c>
      <c r="B8" s="30" t="s">
        <v>128</v>
      </c>
      <c r="C8" s="6">
        <v>2020</v>
      </c>
      <c r="D8" s="16">
        <v>0.73</v>
      </c>
      <c r="E8" s="16">
        <v>1.45</v>
      </c>
      <c r="F8" s="6"/>
      <c r="G8" s="27"/>
      <c r="H8" s="1" t="s">
        <v>538</v>
      </c>
    </row>
    <row r="9" spans="1:8" x14ac:dyDescent="0.2">
      <c r="A9" s="1" t="s">
        <v>221</v>
      </c>
      <c r="B9" s="30" t="s">
        <v>128</v>
      </c>
      <c r="C9" s="1">
        <v>2025</v>
      </c>
      <c r="D9" s="9">
        <v>0.69</v>
      </c>
      <c r="E9" s="9">
        <v>1.52</v>
      </c>
      <c r="G9" s="27"/>
      <c r="H9" s="1" t="s">
        <v>538</v>
      </c>
    </row>
    <row r="10" spans="1:8" x14ac:dyDescent="0.2">
      <c r="A10" s="1" t="s">
        <v>221</v>
      </c>
      <c r="B10" s="30" t="s">
        <v>128</v>
      </c>
      <c r="C10" s="6">
        <v>2030</v>
      </c>
      <c r="D10" s="16">
        <v>0.65</v>
      </c>
      <c r="E10" s="16">
        <v>1.58</v>
      </c>
      <c r="F10" s="6"/>
      <c r="G10" s="27"/>
      <c r="H10" s="1" t="s">
        <v>538</v>
      </c>
    </row>
    <row r="11" spans="1:8" x14ac:dyDescent="0.2">
      <c r="A11" s="1" t="s">
        <v>539</v>
      </c>
      <c r="B11" s="30" t="s">
        <v>128</v>
      </c>
      <c r="C11" s="1">
        <v>2020</v>
      </c>
      <c r="D11" s="9">
        <v>1.01</v>
      </c>
      <c r="E11" s="9">
        <v>1.28</v>
      </c>
      <c r="G11" s="27"/>
      <c r="H11" s="1" t="s">
        <v>538</v>
      </c>
    </row>
    <row r="12" spans="1:8" x14ac:dyDescent="0.2">
      <c r="A12" s="1" t="s">
        <v>539</v>
      </c>
      <c r="B12" s="30" t="s">
        <v>128</v>
      </c>
      <c r="C12" s="6">
        <v>2025</v>
      </c>
      <c r="D12" s="16">
        <v>1.01</v>
      </c>
      <c r="E12" s="16">
        <v>1.32</v>
      </c>
      <c r="F12" s="6"/>
      <c r="G12" s="27"/>
      <c r="H12" s="1" t="s">
        <v>538</v>
      </c>
    </row>
    <row r="13" spans="1:8" x14ac:dyDescent="0.2">
      <c r="A13" s="1" t="s">
        <v>539</v>
      </c>
      <c r="B13" s="30" t="s">
        <v>128</v>
      </c>
      <c r="C13" s="1">
        <v>2030</v>
      </c>
      <c r="D13" s="9">
        <v>1.01</v>
      </c>
      <c r="E13" s="9">
        <v>1.37</v>
      </c>
      <c r="G13" s="27"/>
      <c r="H13" s="1" t="s">
        <v>538</v>
      </c>
    </row>
    <row r="14" spans="1:8" x14ac:dyDescent="0.2">
      <c r="A14" s="1" t="s">
        <v>540</v>
      </c>
      <c r="B14" s="30" t="s">
        <v>128</v>
      </c>
      <c r="C14" s="6">
        <v>2020</v>
      </c>
      <c r="D14" s="16">
        <v>0.76</v>
      </c>
      <c r="E14" s="16">
        <v>0.95</v>
      </c>
      <c r="F14" s="6"/>
      <c r="G14" s="27"/>
      <c r="H14" s="1" t="s">
        <v>538</v>
      </c>
    </row>
    <row r="15" spans="1:8" x14ac:dyDescent="0.2">
      <c r="A15" s="1" t="s">
        <v>540</v>
      </c>
      <c r="B15" s="30" t="s">
        <v>128</v>
      </c>
      <c r="C15" s="1">
        <v>2025</v>
      </c>
      <c r="D15" s="9">
        <v>0.71</v>
      </c>
      <c r="E15" s="9">
        <v>0.94</v>
      </c>
      <c r="G15" s="27"/>
      <c r="H15" s="1" t="s">
        <v>538</v>
      </c>
    </row>
    <row r="16" spans="1:8" x14ac:dyDescent="0.2">
      <c r="A16" s="1" t="s">
        <v>540</v>
      </c>
      <c r="B16" s="30" t="s">
        <v>128</v>
      </c>
      <c r="C16" s="6">
        <v>2030</v>
      </c>
      <c r="D16" s="16">
        <v>0.67</v>
      </c>
      <c r="E16" s="16">
        <v>0.93</v>
      </c>
      <c r="F16" s="6"/>
      <c r="G16" s="27"/>
      <c r="H16" s="1" t="s">
        <v>538</v>
      </c>
    </row>
    <row r="17" spans="1:8" x14ac:dyDescent="0.2">
      <c r="A17" s="1" t="s">
        <v>210</v>
      </c>
      <c r="B17" s="30" t="s">
        <v>128</v>
      </c>
      <c r="C17" s="1">
        <v>2020</v>
      </c>
      <c r="D17" s="9">
        <v>0.85</v>
      </c>
      <c r="E17" s="9">
        <v>1.2</v>
      </c>
      <c r="G17" s="27"/>
      <c r="H17" s="1" t="s">
        <v>538</v>
      </c>
    </row>
    <row r="18" spans="1:8" x14ac:dyDescent="0.2">
      <c r="A18" s="1" t="s">
        <v>210</v>
      </c>
      <c r="B18" s="30" t="s">
        <v>128</v>
      </c>
      <c r="C18" s="6">
        <v>2025</v>
      </c>
      <c r="D18" s="16">
        <v>0.82</v>
      </c>
      <c r="E18" s="16">
        <v>1.25</v>
      </c>
      <c r="F18" s="6"/>
      <c r="G18" s="27"/>
      <c r="H18" s="1" t="s">
        <v>538</v>
      </c>
    </row>
    <row r="19" spans="1:8" x14ac:dyDescent="0.2">
      <c r="A19" s="1" t="s">
        <v>210</v>
      </c>
      <c r="B19" s="30" t="s">
        <v>128</v>
      </c>
      <c r="C19" s="1">
        <v>2030</v>
      </c>
      <c r="D19" s="9">
        <v>0.78</v>
      </c>
      <c r="E19" s="9">
        <v>1.29</v>
      </c>
      <c r="G19" s="27"/>
      <c r="H19" s="1" t="s">
        <v>538</v>
      </c>
    </row>
    <row r="20" spans="1:8" x14ac:dyDescent="0.2">
      <c r="A20" s="1" t="s">
        <v>541</v>
      </c>
      <c r="B20" s="30" t="s">
        <v>128</v>
      </c>
      <c r="C20" s="6">
        <v>2020</v>
      </c>
      <c r="D20" s="16">
        <v>0.83</v>
      </c>
      <c r="E20" s="16">
        <v>1.03</v>
      </c>
      <c r="F20" s="6"/>
      <c r="G20" s="27"/>
      <c r="H20" s="1" t="s">
        <v>538</v>
      </c>
    </row>
    <row r="21" spans="1:8" x14ac:dyDescent="0.2">
      <c r="A21" s="1" t="s">
        <v>541</v>
      </c>
      <c r="B21" s="30" t="s">
        <v>128</v>
      </c>
      <c r="C21" s="1">
        <v>2025</v>
      </c>
      <c r="D21" s="9">
        <v>0.79</v>
      </c>
      <c r="E21" s="9">
        <v>1.03</v>
      </c>
      <c r="G21" s="27"/>
      <c r="H21" s="1" t="s">
        <v>538</v>
      </c>
    </row>
    <row r="22" spans="1:8" x14ac:dyDescent="0.2">
      <c r="A22" s="1" t="s">
        <v>541</v>
      </c>
      <c r="B22" s="30" t="s">
        <v>128</v>
      </c>
      <c r="C22" s="6">
        <v>2030</v>
      </c>
      <c r="D22" s="16">
        <v>0.76</v>
      </c>
      <c r="E22" s="16">
        <v>1.04</v>
      </c>
      <c r="F22" s="6"/>
      <c r="G22" s="27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3" t="s">
        <v>719</v>
      </c>
      <c r="CB1" s="53" t="s">
        <v>720</v>
      </c>
      <c r="CC1" s="53" t="s">
        <v>721</v>
      </c>
      <c r="CD1" s="53" t="s">
        <v>722</v>
      </c>
      <c r="CE1" s="53" t="s">
        <v>723</v>
      </c>
      <c r="CF1" s="53" t="s">
        <v>724</v>
      </c>
      <c r="CG1" s="53" t="s">
        <v>725</v>
      </c>
      <c r="CH1" s="53" t="s">
        <v>726</v>
      </c>
      <c r="CI1" s="53" t="s">
        <v>727</v>
      </c>
      <c r="CJ1" s="53" t="s">
        <v>728</v>
      </c>
      <c r="CK1" s="53" t="s">
        <v>729</v>
      </c>
      <c r="CL1" s="53" t="s">
        <v>730</v>
      </c>
      <c r="CM1" s="53" t="s">
        <v>731</v>
      </c>
      <c r="CN1" s="53" t="s">
        <v>732</v>
      </c>
      <c r="CO1" s="53" t="s">
        <v>733</v>
      </c>
      <c r="CP1" s="53" t="s">
        <v>734</v>
      </c>
      <c r="CQ1" s="53" t="s">
        <v>735</v>
      </c>
      <c r="CR1" s="53" t="s">
        <v>736</v>
      </c>
      <c r="CS1" s="53" t="s">
        <v>737</v>
      </c>
      <c r="CT1" s="53" t="s">
        <v>738</v>
      </c>
      <c r="CU1" s="53" t="s">
        <v>739</v>
      </c>
      <c r="CV1" s="53" t="s">
        <v>740</v>
      </c>
      <c r="CW1" s="53" t="s">
        <v>741</v>
      </c>
      <c r="CX1" s="53" t="s">
        <v>742</v>
      </c>
      <c r="CY1" s="53" t="s">
        <v>743</v>
      </c>
      <c r="CZ1" s="53" t="s">
        <v>744</v>
      </c>
      <c r="DA1" s="53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1136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0">
        <f>Tabelle5897112140[[#This Row],[Durchschnittsauslastung min]]*Tabelle5897112140[[#This Row],[installierte Leistung MW min]]</f>
        <v>0</v>
      </c>
      <c r="DF2" s="40">
        <f>Tabelle5897112140[[#This Row],[Durchschnittsauslastung durch]]*Tabelle5897112140[[#This Row],[installierte Leistung MW durch]]</f>
        <v>26.88</v>
      </c>
      <c r="DG2" s="40">
        <f>Tabelle5897112140[[#This Row],[Durchschnittsauslastung max]]*Tabelle5897112140[[#This Row],[installierte Leistung MW max]]</f>
        <v>150.87</v>
      </c>
      <c r="DH2" s="46">
        <f>Tabelle5897112140[[#This Row],[Maximalauslastung min]]*Tabelle5897112140[[#This Row],[installierte Leistung MW min]]</f>
        <v>54.9</v>
      </c>
      <c r="DI2" s="46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0">
        <f>Tabelle5897112140[[#This Row],[Durchschnittsauslastung min]]*Tabelle5897112140[[#This Row],[installierte Leistung MW min]]</f>
        <v>0</v>
      </c>
      <c r="DF3" s="40">
        <f>Tabelle5897112140[[#This Row],[Durchschnittsauslastung durch]]*Tabelle5897112140[[#This Row],[installierte Leistung MW durch]]</f>
        <v>30.643199999999997</v>
      </c>
      <c r="DG3" s="40">
        <f>Tabelle5897112140[[#This Row],[Durchschnittsauslastung max]]*Tabelle5897112140[[#This Row],[installierte Leistung MW max]]</f>
        <v>171.99179999999998</v>
      </c>
      <c r="DH3" s="46">
        <f>Tabelle5897112140[[#This Row],[Maximalauslastung min]]*Tabelle5897112140[[#This Row],[installierte Leistung MW min]]</f>
        <v>62.585999999999999</v>
      </c>
      <c r="DI3" s="46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0">
        <f>Tabelle5897112140[[#This Row],[Durchschnittsauslastung min]]*Tabelle5897112140[[#This Row],[installierte Leistung MW min]]</f>
        <v>0</v>
      </c>
      <c r="DF4" s="40">
        <f>Tabelle5897112140[[#This Row],[Durchschnittsauslastung durch]]*Tabelle5897112140[[#This Row],[installierte Leistung MW durch]]</f>
        <v>35.212800000000001</v>
      </c>
      <c r="DG4" s="40">
        <f>Tabelle5897112140[[#This Row],[Durchschnittsauslastung max]]*Tabelle5897112140[[#This Row],[installierte Leistung MW max]]</f>
        <v>197.63969999999998</v>
      </c>
      <c r="DH4" s="46">
        <f>Tabelle5897112140[[#This Row],[Maximalauslastung min]]*Tabelle5897112140[[#This Row],[installierte Leistung MW min]]</f>
        <v>71.918999999999997</v>
      </c>
      <c r="DI4" s="46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0">
        <f>Tabelle5897112140[[#This Row],[Durchschnittsauslastung min]]*Tabelle5897112140[[#This Row],[installierte Leistung MW min]]</f>
        <v>0</v>
      </c>
      <c r="DF5" s="40">
        <f>Tabelle5897112140[[#This Row],[Durchschnittsauslastung durch]]*Tabelle5897112140[[#This Row],[installierte Leistung MW durch]]</f>
        <v>40.857599999999998</v>
      </c>
      <c r="DG5" s="40">
        <f>Tabelle5897112140[[#This Row],[Durchschnittsauslastung max]]*Tabelle5897112140[[#This Row],[installierte Leistung MW max]]</f>
        <v>229.32239999999999</v>
      </c>
      <c r="DH5" s="46">
        <f>Tabelle5897112140[[#This Row],[Maximalauslastung min]]*Tabelle5897112140[[#This Row],[installierte Leistung MW min]]</f>
        <v>83.448000000000008</v>
      </c>
      <c r="DI5" s="46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0">
        <f>Tabelle5897112140[[#This Row],[Durchschnittsauslastung min]]*Tabelle5897112140[[#This Row],[installierte Leistung MW min]]</f>
        <v>0</v>
      </c>
      <c r="DF6" s="40">
        <f>Tabelle5897112140[[#This Row],[Durchschnittsauslastung durch]]*Tabelle5897112140[[#This Row],[installierte Leistung MW durch]]</f>
        <v>47.308799999999998</v>
      </c>
      <c r="DG6" s="40">
        <f>Tabelle5897112140[[#This Row],[Durchschnittsauslastung max]]*Tabelle5897112140[[#This Row],[installierte Leistung MW max]]</f>
        <v>265.53120000000001</v>
      </c>
      <c r="DH6" s="46">
        <f>Tabelle5897112140[[#This Row],[Maximalauslastung min]]*Tabelle5897112140[[#This Row],[installierte Leistung MW min]]</f>
        <v>96.623999999999995</v>
      </c>
      <c r="DI6" s="46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0">
        <f>Tabelle5897112140[[#This Row],[Durchschnittsauslastung min]]*Tabelle5897112140[[#This Row],[installierte Leistung MW min]]</f>
        <v>0</v>
      </c>
      <c r="DF7" s="40">
        <f>Tabelle5897112140[[#This Row],[Durchschnittsauslastung durch]]*Tabelle5897112140[[#This Row],[installierte Leistung MW durch]]</f>
        <v>55.372799999999998</v>
      </c>
      <c r="DG7" s="40">
        <f>Tabelle5897112140[[#This Row],[Durchschnittsauslastung max]]*Tabelle5897112140[[#This Row],[installierte Leistung MW max]]</f>
        <v>310.79219999999998</v>
      </c>
      <c r="DH7" s="46">
        <f>Tabelle5897112140[[#This Row],[Maximalauslastung min]]*Tabelle5897112140[[#This Row],[installierte Leistung MW min]]</f>
        <v>113.09400000000001</v>
      </c>
      <c r="DI7" s="46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0">
        <f>Tabelle5897112140[[#This Row],[Durchschnittsauslastung min]]*Tabelle5897112140[[#This Row],[installierte Leistung MW min]]</f>
        <v>0</v>
      </c>
      <c r="DF8" s="40">
        <f>Tabelle5897112140[[#This Row],[Durchschnittsauslastung durch]]*Tabelle5897112140[[#This Row],[installierte Leistung MW durch]]</f>
        <v>64.780799999999999</v>
      </c>
      <c r="DG8" s="40">
        <f>Tabelle5897112140[[#This Row],[Durchschnittsauslastung max]]*Tabelle5897112140[[#This Row],[installierte Leistung MW max]]</f>
        <v>363.5967</v>
      </c>
      <c r="DH8" s="46">
        <f>Tabelle5897112140[[#This Row],[Maximalauslastung min]]*Tabelle5897112140[[#This Row],[installierte Leistung MW min]]</f>
        <v>132.309</v>
      </c>
      <c r="DI8" s="46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0">
        <f>Tabelle5897112140[[#This Row],[Durchschnittsauslastung min]]*Tabelle5897112140[[#This Row],[installierte Leistung MW min]]</f>
        <v>0</v>
      </c>
      <c r="DF9" s="40">
        <f>Tabelle5897112140[[#This Row],[Durchschnittsauslastung durch]]*Tabelle5897112140[[#This Row],[installierte Leistung MW durch]]</f>
        <v>76.339199999999991</v>
      </c>
      <c r="DG9" s="40">
        <f>Tabelle5897112140[[#This Row],[Durchschnittsauslastung max]]*Tabelle5897112140[[#This Row],[installierte Leistung MW max]]</f>
        <v>428.4708</v>
      </c>
      <c r="DH9" s="46">
        <f>Tabelle5897112140[[#This Row],[Maximalauslastung min]]*Tabelle5897112140[[#This Row],[installierte Leistung MW min]]</f>
        <v>155.916</v>
      </c>
      <c r="DI9" s="46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0">
        <f>Tabelle5897112140[[#This Row],[Durchschnittsauslastung min]]*Tabelle5897112140[[#This Row],[installierte Leistung MW min]]</f>
        <v>63.440000000000005</v>
      </c>
      <c r="DF10" s="40">
        <f>Tabelle5897112140[[#This Row],[Durchschnittsauslastung durch]]*Tabelle5897112140[[#This Row],[installierte Leistung MW durch]]</f>
        <v>85.54000000000002</v>
      </c>
      <c r="DG10" s="40">
        <f>Tabelle5897112140[[#This Row],[Durchschnittsauslastung max]]*Tabelle5897112140[[#This Row],[installierte Leistung MW max]]</f>
        <v>104</v>
      </c>
      <c r="DH10" s="46">
        <f>Tabelle5897112140[[#This Row],[Maximalauslastung min]]*Tabelle5897112140[[#This Row],[installierte Leistung MW min]]</f>
        <v>122</v>
      </c>
      <c r="DI10" s="46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0">
        <f>Tabelle5897112140[[#This Row],[Durchschnittsauslastung min]]*Tabelle5897112140[[#This Row],[installierte Leistung MW min]]</f>
        <v>72.321600000000004</v>
      </c>
      <c r="DF11" s="40">
        <f>Tabelle5897112140[[#This Row],[Durchschnittsauslastung durch]]*Tabelle5897112140[[#This Row],[installierte Leistung MW durch]]</f>
        <v>97.51560000000002</v>
      </c>
      <c r="DG11" s="40">
        <f>Tabelle5897112140[[#This Row],[Durchschnittsauslastung max]]*Tabelle5897112140[[#This Row],[installierte Leistung MW max]]</f>
        <v>118.56</v>
      </c>
      <c r="DH11" s="46">
        <f>Tabelle5897112140[[#This Row],[Maximalauslastung min]]*Tabelle5897112140[[#This Row],[installierte Leistung MW min]]</f>
        <v>139.08000000000001</v>
      </c>
      <c r="DI11" s="46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0">
        <f>Tabelle5897112140[[#This Row],[Durchschnittsauslastung min]]*Tabelle5897112140[[#This Row],[installierte Leistung MW min]]</f>
        <v>83.106399999999994</v>
      </c>
      <c r="DF12" s="40">
        <f>Tabelle5897112140[[#This Row],[Durchschnittsauslastung durch]]*Tabelle5897112140[[#This Row],[installierte Leistung MW durch]]</f>
        <v>112.05740000000003</v>
      </c>
      <c r="DG12" s="40">
        <f>Tabelle5897112140[[#This Row],[Durchschnittsauslastung max]]*Tabelle5897112140[[#This Row],[installierte Leistung MW max]]</f>
        <v>136.24</v>
      </c>
      <c r="DH12" s="46">
        <f>Tabelle5897112140[[#This Row],[Maximalauslastung min]]*Tabelle5897112140[[#This Row],[installierte Leistung MW min]]</f>
        <v>159.82</v>
      </c>
      <c r="DI12" s="46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0">
        <f>Tabelle5897112140[[#This Row],[Durchschnittsauslastung min]]*Tabelle5897112140[[#This Row],[installierte Leistung MW min]]</f>
        <v>96.428799999999995</v>
      </c>
      <c r="DF13" s="40">
        <f>Tabelle5897112140[[#This Row],[Durchschnittsauslastung durch]]*Tabelle5897112140[[#This Row],[installierte Leistung MW durch]]</f>
        <v>130.02080000000004</v>
      </c>
      <c r="DG13" s="40">
        <f>Tabelle5897112140[[#This Row],[Durchschnittsauslastung max]]*Tabelle5897112140[[#This Row],[installierte Leistung MW max]]</f>
        <v>158.07999999999998</v>
      </c>
      <c r="DH13" s="46">
        <f>Tabelle5897112140[[#This Row],[Maximalauslastung min]]*Tabelle5897112140[[#This Row],[installierte Leistung MW min]]</f>
        <v>185.44</v>
      </c>
      <c r="DI13" s="46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0">
        <f>Tabelle5897112140[[#This Row],[Durchschnittsauslastung min]]*Tabelle5897112140[[#This Row],[installierte Leistung MW min]]</f>
        <v>111.65440000000001</v>
      </c>
      <c r="DF14" s="40">
        <f>Tabelle5897112140[[#This Row],[Durchschnittsauslastung durch]]*Tabelle5897112140[[#This Row],[installierte Leistung MW durch]]</f>
        <v>150.55040000000002</v>
      </c>
      <c r="DG14" s="40">
        <f>Tabelle5897112140[[#This Row],[Durchschnittsauslastung max]]*Tabelle5897112140[[#This Row],[installierte Leistung MW max]]</f>
        <v>183.04000000000002</v>
      </c>
      <c r="DH14" s="46">
        <f>Tabelle5897112140[[#This Row],[Maximalauslastung min]]*Tabelle5897112140[[#This Row],[installierte Leistung MW min]]</f>
        <v>214.72</v>
      </c>
      <c r="DI14" s="46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0">
        <f>Tabelle5897112140[[#This Row],[Durchschnittsauslastung min]]*Tabelle5897112140[[#This Row],[installierte Leistung MW min]]</f>
        <v>130.68639999999999</v>
      </c>
      <c r="DF15" s="40">
        <f>Tabelle5897112140[[#This Row],[Durchschnittsauslastung durch]]*Tabelle5897112140[[#This Row],[installierte Leistung MW durch]]</f>
        <v>176.21240000000003</v>
      </c>
      <c r="DG15" s="40">
        <f>Tabelle5897112140[[#This Row],[Durchschnittsauslastung max]]*Tabelle5897112140[[#This Row],[installierte Leistung MW max]]</f>
        <v>214.24</v>
      </c>
      <c r="DH15" s="46">
        <f>Tabelle5897112140[[#This Row],[Maximalauslastung min]]*Tabelle5897112140[[#This Row],[installierte Leistung MW min]]</f>
        <v>251.32</v>
      </c>
      <c r="DI15" s="46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0">
        <f>Tabelle5897112140[[#This Row],[Durchschnittsauslastung min]]*Tabelle5897112140[[#This Row],[installierte Leistung MW min]]</f>
        <v>152.8904</v>
      </c>
      <c r="DF16" s="40">
        <f>Tabelle5897112140[[#This Row],[Durchschnittsauslastung durch]]*Tabelle5897112140[[#This Row],[installierte Leistung MW durch]]</f>
        <v>206.15140000000005</v>
      </c>
      <c r="DG16" s="40">
        <f>Tabelle5897112140[[#This Row],[Durchschnittsauslastung max]]*Tabelle5897112140[[#This Row],[installierte Leistung MW max]]</f>
        <v>250.64000000000001</v>
      </c>
      <c r="DH16" s="46">
        <f>Tabelle5897112140[[#This Row],[Maximalauslastung min]]*Tabelle5897112140[[#This Row],[installierte Leistung MW min]]</f>
        <v>294.02</v>
      </c>
      <c r="DI16" s="46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0">
        <f>Tabelle5897112140[[#This Row],[Durchschnittsauslastung min]]*Tabelle5897112140[[#This Row],[installierte Leistung MW min]]</f>
        <v>180.1696</v>
      </c>
      <c r="DF17" s="40">
        <f>Tabelle5897112140[[#This Row],[Durchschnittsauslastung durch]]*Tabelle5897112140[[#This Row],[installierte Leistung MW durch]]</f>
        <v>242.93360000000004</v>
      </c>
      <c r="DG17" s="40">
        <f>Tabelle5897112140[[#This Row],[Durchschnittsauslastung max]]*Tabelle5897112140[[#This Row],[installierte Leistung MW max]]</f>
        <v>295.36</v>
      </c>
      <c r="DH17" s="46">
        <f>Tabelle5897112140[[#This Row],[Maximalauslastung min]]*Tabelle5897112140[[#This Row],[installierte Leistung MW min]]</f>
        <v>346.48</v>
      </c>
      <c r="DI17" s="46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0">
        <f>Tabelle5897112140[[#This Row],[Durchschnittsauslastung min]]*Tabelle5897112140[[#This Row],[installierte Leistung MW min]]</f>
        <v>10.08</v>
      </c>
      <c r="DF18" s="40">
        <f>Tabelle5897112140[[#This Row],[Durchschnittsauslastung durch]]*Tabelle5897112140[[#This Row],[installierte Leistung MW durch]]</f>
        <v>20.5</v>
      </c>
      <c r="DG18" s="40">
        <f>Tabelle5897112140[[#This Row],[Durchschnittsauslastung max]]*Tabelle5897112140[[#This Row],[installierte Leistung MW max]]</f>
        <v>36.720000000000006</v>
      </c>
      <c r="DH18" s="46">
        <f>Tabelle5897112140[[#This Row],[Maximalauslastung min]]*Tabelle5897112140[[#This Row],[installierte Leistung MW min]]</f>
        <v>0</v>
      </c>
      <c r="DI18" s="46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0">
        <f>Tabelle5897112140[[#This Row],[Durchschnittsauslastung min]]*Tabelle5897112140[[#This Row],[installierte Leistung MW min]]</f>
        <v>11.491200000000001</v>
      </c>
      <c r="DF19" s="40">
        <f>Tabelle5897112140[[#This Row],[Durchschnittsauslastung durch]]*Tabelle5897112140[[#This Row],[installierte Leistung MW durch]]</f>
        <v>23.37</v>
      </c>
      <c r="DG19" s="40">
        <f>Tabelle5897112140[[#This Row],[Durchschnittsauslastung max]]*Tabelle5897112140[[#This Row],[installierte Leistung MW max]]</f>
        <v>41.860800000000005</v>
      </c>
      <c r="DH19" s="46">
        <f>Tabelle5897112140[[#This Row],[Maximalauslastung min]]*Tabelle5897112140[[#This Row],[installierte Leistung MW min]]</f>
        <v>0</v>
      </c>
      <c r="DI19" s="46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0">
        <f>Tabelle5897112140[[#This Row],[Durchschnittsauslastung min]]*Tabelle5897112140[[#This Row],[installierte Leistung MW min]]</f>
        <v>13.204799999999999</v>
      </c>
      <c r="DF20" s="40">
        <f>Tabelle5897112140[[#This Row],[Durchschnittsauslastung durch]]*Tabelle5897112140[[#This Row],[installierte Leistung MW durch]]</f>
        <v>26.855</v>
      </c>
      <c r="DG20" s="40">
        <f>Tabelle5897112140[[#This Row],[Durchschnittsauslastung max]]*Tabelle5897112140[[#This Row],[installierte Leistung MW max]]</f>
        <v>48.103200000000001</v>
      </c>
      <c r="DH20" s="46">
        <f>Tabelle5897112140[[#This Row],[Maximalauslastung min]]*Tabelle5897112140[[#This Row],[installierte Leistung MW min]]</f>
        <v>0</v>
      </c>
      <c r="DI20" s="46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0">
        <f>Tabelle5897112140[[#This Row],[Durchschnittsauslastung min]]*Tabelle5897112140[[#This Row],[installierte Leistung MW min]]</f>
        <v>15.3216</v>
      </c>
      <c r="DF21" s="40">
        <f>Tabelle5897112140[[#This Row],[Durchschnittsauslastung durch]]*Tabelle5897112140[[#This Row],[installierte Leistung MW durch]]</f>
        <v>31.16</v>
      </c>
      <c r="DG21" s="40">
        <f>Tabelle5897112140[[#This Row],[Durchschnittsauslastung max]]*Tabelle5897112140[[#This Row],[installierte Leistung MW max]]</f>
        <v>55.814400000000006</v>
      </c>
      <c r="DH21" s="46">
        <f>Tabelle5897112140[[#This Row],[Maximalauslastung min]]*Tabelle5897112140[[#This Row],[installierte Leistung MW min]]</f>
        <v>0</v>
      </c>
      <c r="DI21" s="46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0">
        <f>Tabelle5897112140[[#This Row],[Durchschnittsauslastung min]]*Tabelle5897112140[[#This Row],[installierte Leistung MW min]]</f>
        <v>17.7408</v>
      </c>
      <c r="DF22" s="40">
        <f>Tabelle5897112140[[#This Row],[Durchschnittsauslastung durch]]*Tabelle5897112140[[#This Row],[installierte Leistung MW durch]]</f>
        <v>36.08</v>
      </c>
      <c r="DG22" s="40">
        <f>Tabelle5897112140[[#This Row],[Durchschnittsauslastung max]]*Tabelle5897112140[[#This Row],[installierte Leistung MW max]]</f>
        <v>64.627200000000002</v>
      </c>
      <c r="DH22" s="46">
        <f>Tabelle5897112140[[#This Row],[Maximalauslastung min]]*Tabelle5897112140[[#This Row],[installierte Leistung MW min]]</f>
        <v>0</v>
      </c>
      <c r="DI22" s="46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0">
        <f>Tabelle5897112140[[#This Row],[Durchschnittsauslastung min]]*Tabelle5897112140[[#This Row],[installierte Leistung MW min]]</f>
        <v>20.764799999999997</v>
      </c>
      <c r="DF23" s="40">
        <f>Tabelle5897112140[[#This Row],[Durchschnittsauslastung durch]]*Tabelle5897112140[[#This Row],[installierte Leistung MW durch]]</f>
        <v>42.23</v>
      </c>
      <c r="DG23" s="40">
        <f>Tabelle5897112140[[#This Row],[Durchschnittsauslastung max]]*Tabelle5897112140[[#This Row],[installierte Leistung MW max]]</f>
        <v>75.643200000000007</v>
      </c>
      <c r="DH23" s="46">
        <f>Tabelle5897112140[[#This Row],[Maximalauslastung min]]*Tabelle5897112140[[#This Row],[installierte Leistung MW min]]</f>
        <v>0</v>
      </c>
      <c r="DI23" s="46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0">
        <f>Tabelle5897112140[[#This Row],[Durchschnittsauslastung min]]*Tabelle5897112140[[#This Row],[installierte Leistung MW min]]</f>
        <v>24.2928</v>
      </c>
      <c r="DF24" s="40">
        <f>Tabelle5897112140[[#This Row],[Durchschnittsauslastung durch]]*Tabelle5897112140[[#This Row],[installierte Leistung MW durch]]</f>
        <v>49.405000000000001</v>
      </c>
      <c r="DG24" s="40">
        <f>Tabelle5897112140[[#This Row],[Durchschnittsauslastung max]]*Tabelle5897112140[[#This Row],[installierte Leistung MW max]]</f>
        <v>88.495199999999997</v>
      </c>
      <c r="DH24" s="46">
        <f>Tabelle5897112140[[#This Row],[Maximalauslastung min]]*Tabelle5897112140[[#This Row],[installierte Leistung MW min]]</f>
        <v>0</v>
      </c>
      <c r="DI24" s="46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0">
        <f>Tabelle5897112140[[#This Row],[Durchschnittsauslastung min]]*Tabelle5897112140[[#This Row],[installierte Leistung MW min]]</f>
        <v>28.627199999999998</v>
      </c>
      <c r="DF25" s="40">
        <f>Tabelle5897112140[[#This Row],[Durchschnittsauslastung durch]]*Tabelle5897112140[[#This Row],[installierte Leistung MW durch]]</f>
        <v>58.22</v>
      </c>
      <c r="DG25" s="40">
        <f>Tabelle5897112140[[#This Row],[Durchschnittsauslastung max]]*Tabelle5897112140[[#This Row],[installierte Leistung MW max]]</f>
        <v>104.28480000000002</v>
      </c>
      <c r="DH25" s="46">
        <f>Tabelle5897112140[[#This Row],[Maximalauslastung min]]*Tabelle5897112140[[#This Row],[installierte Leistung MW min]]</f>
        <v>0</v>
      </c>
      <c r="DI25" s="46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0">
        <f>Tabelle5897112140[[#This Row],[Durchschnittsauslastung min]]*Tabelle5897112140[[#This Row],[installierte Leistung MW min]]</f>
        <v>0</v>
      </c>
      <c r="DF26" s="40">
        <f>Tabelle5897112140[[#This Row],[Durchschnittsauslastung durch]]*Tabelle5897112140[[#This Row],[installierte Leistung MW durch]]</f>
        <v>56.36666666666666</v>
      </c>
      <c r="DG26" s="40">
        <f>Tabelle5897112140[[#This Row],[Durchschnittsauslastung max]]*Tabelle5897112140[[#This Row],[installierte Leistung MW max]]</f>
        <v>581.4</v>
      </c>
      <c r="DH26" s="46">
        <f>Tabelle5897112140[[#This Row],[Maximalauslastung min]]*Tabelle5897112140[[#This Row],[installierte Leistung MW min]]</f>
        <v>167.2</v>
      </c>
      <c r="DI26" s="46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0">
        <f>Tabelle5897112140[[#This Row],[Durchschnittsauslastung min]]*Tabelle5897112140[[#This Row],[installierte Leistung MW min]]</f>
        <v>0</v>
      </c>
      <c r="DF27" s="40">
        <f>Tabelle5897112140[[#This Row],[Durchschnittsauslastung durch]]*Tabelle5897112140[[#This Row],[installierte Leistung MW durch]]</f>
        <v>63.694333333333326</v>
      </c>
      <c r="DG27" s="40">
        <f>Tabelle5897112140[[#This Row],[Durchschnittsauslastung max]]*Tabelle5897112140[[#This Row],[installierte Leistung MW max]]</f>
        <v>656.98199999999986</v>
      </c>
      <c r="DH27" s="46">
        <f>Tabelle5897112140[[#This Row],[Maximalauslastung min]]*Tabelle5897112140[[#This Row],[installierte Leistung MW min]]</f>
        <v>188.93599999999998</v>
      </c>
      <c r="DI27" s="46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0">
        <f>Tabelle5897112140[[#This Row],[Durchschnittsauslastung min]]*Tabelle5897112140[[#This Row],[installierte Leistung MW min]]</f>
        <v>0</v>
      </c>
      <c r="DF28" s="40">
        <f>Tabelle5897112140[[#This Row],[Durchschnittsauslastung durch]]*Tabelle5897112140[[#This Row],[installierte Leistung MW durch]]</f>
        <v>71.585666666666654</v>
      </c>
      <c r="DG28" s="40">
        <f>Tabelle5897112140[[#This Row],[Durchschnittsauslastung max]]*Tabelle5897112140[[#This Row],[installierte Leistung MW max]]</f>
        <v>738.37800000000004</v>
      </c>
      <c r="DH28" s="46">
        <f>Tabelle5897112140[[#This Row],[Maximalauslastung min]]*Tabelle5897112140[[#This Row],[installierte Leistung MW min]]</f>
        <v>212.34400000000002</v>
      </c>
      <c r="DI28" s="46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0">
        <f>Tabelle5897112140[[#This Row],[Durchschnittsauslastung min]]*Tabelle5897112140[[#This Row],[installierte Leistung MW min]]</f>
        <v>0</v>
      </c>
      <c r="DF29" s="40">
        <f>Tabelle5897112140[[#This Row],[Durchschnittsauslastung durch]]*Tabelle5897112140[[#This Row],[installierte Leistung MW durch]]</f>
        <v>80.604333333333329</v>
      </c>
      <c r="DG29" s="40">
        <f>Tabelle5897112140[[#This Row],[Durchschnittsauslastung max]]*Tabelle5897112140[[#This Row],[installierte Leistung MW max]]</f>
        <v>831.40199999999993</v>
      </c>
      <c r="DH29" s="46">
        <f>Tabelle5897112140[[#This Row],[Maximalauslastung min]]*Tabelle5897112140[[#This Row],[installierte Leistung MW min]]</f>
        <v>239.096</v>
      </c>
      <c r="DI29" s="46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0">
        <f>Tabelle5897112140[[#This Row],[Durchschnittsauslastung min]]*Tabelle5897112140[[#This Row],[installierte Leistung MW min]]</f>
        <v>0</v>
      </c>
      <c r="DF30" s="40">
        <f>Tabelle5897112140[[#This Row],[Durchschnittsauslastung durch]]*Tabelle5897112140[[#This Row],[installierte Leistung MW durch]]</f>
        <v>90.75033333333333</v>
      </c>
      <c r="DG30" s="40">
        <f>Tabelle5897112140[[#This Row],[Durchschnittsauslastung max]]*Tabelle5897112140[[#This Row],[installierte Leistung MW max]]</f>
        <v>936.05399999999997</v>
      </c>
      <c r="DH30" s="46">
        <f>Tabelle5897112140[[#This Row],[Maximalauslastung min]]*Tabelle5897112140[[#This Row],[installierte Leistung MW min]]</f>
        <v>269.19200000000001</v>
      </c>
      <c r="DI30" s="46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0">
        <f>Tabelle5897112140[[#This Row],[Durchschnittsauslastung min]]*Tabelle5897112140[[#This Row],[installierte Leistung MW min]]</f>
        <v>0</v>
      </c>
      <c r="DF31" s="40">
        <f>Tabelle5897112140[[#This Row],[Durchschnittsauslastung durch]]*Tabelle5897112140[[#This Row],[installierte Leistung MW durch]]</f>
        <v>102.02366666666666</v>
      </c>
      <c r="DG31" s="40">
        <f>Tabelle5897112140[[#This Row],[Durchschnittsauslastung max]]*Tabelle5897112140[[#This Row],[installierte Leistung MW max]]</f>
        <v>1052.3339999999998</v>
      </c>
      <c r="DH31" s="46">
        <f>Tabelle5897112140[[#This Row],[Maximalauslastung min]]*Tabelle5897112140[[#This Row],[installierte Leistung MW min]]</f>
        <v>302.63200000000001</v>
      </c>
      <c r="DI31" s="46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0">
        <f>Tabelle5897112140[[#This Row],[Durchschnittsauslastung min]]*Tabelle5897112140[[#This Row],[installierte Leistung MW min]]</f>
        <v>0</v>
      </c>
      <c r="DF32" s="40">
        <f>Tabelle5897112140[[#This Row],[Durchschnittsauslastung durch]]*Tabelle5897112140[[#This Row],[installierte Leistung MW durch]]</f>
        <v>114.98799999999999</v>
      </c>
      <c r="DG32" s="40">
        <f>Tabelle5897112140[[#This Row],[Durchschnittsauslastung max]]*Tabelle5897112140[[#This Row],[installierte Leistung MW max]]</f>
        <v>1186.056</v>
      </c>
      <c r="DH32" s="46">
        <f>Tabelle5897112140[[#This Row],[Maximalauslastung min]]*Tabelle5897112140[[#This Row],[installierte Leistung MW min]]</f>
        <v>341.08800000000002</v>
      </c>
      <c r="DI32" s="46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0">
        <f>Tabelle5897112140[[#This Row],[Durchschnittsauslastung min]]*Tabelle5897112140[[#This Row],[installierte Leistung MW min]]</f>
        <v>0</v>
      </c>
      <c r="DF33" s="40">
        <f>Tabelle5897112140[[#This Row],[Durchschnittsauslastung durch]]*Tabelle5897112140[[#This Row],[installierte Leistung MW durch]]</f>
        <v>129.64333333333332</v>
      </c>
      <c r="DG33" s="40">
        <f>Tabelle5897112140[[#This Row],[Durchschnittsauslastung max]]*Tabelle5897112140[[#This Row],[installierte Leistung MW max]]</f>
        <v>1337.2199999999998</v>
      </c>
      <c r="DH33" s="46">
        <f>Tabelle5897112140[[#This Row],[Maximalauslastung min]]*Tabelle5897112140[[#This Row],[installierte Leistung MW min]]</f>
        <v>384.56</v>
      </c>
      <c r="DI33" s="46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0">
        <f>Tabelle5897112140[[#This Row],[Durchschnittsauslastung min]]*Tabelle5897112140[[#This Row],[installierte Leistung MW min]]</f>
        <v>34.450000000000003</v>
      </c>
      <c r="DF34" s="40">
        <f>Tabelle5897112140[[#This Row],[Durchschnittsauslastung durch]]*Tabelle5897112140[[#This Row],[installierte Leistung MW durch]]</f>
        <v>45.866666666666674</v>
      </c>
      <c r="DG34" s="40">
        <f>Tabelle5897112140[[#This Row],[Durchschnittsauslastung max]]*Tabelle5897112140[[#This Row],[installierte Leistung MW max]]</f>
        <v>62.7</v>
      </c>
      <c r="DH34" s="46">
        <f>Tabelle5897112140[[#This Row],[Maximalauslastung min]]*Tabelle5897112140[[#This Row],[installierte Leistung MW min]]</f>
        <v>65</v>
      </c>
      <c r="DI34" s="46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0">
        <f>Tabelle5897112140[[#This Row],[Durchschnittsauslastung min]]*Tabelle5897112140[[#This Row],[installierte Leistung MW min]]</f>
        <v>38.928500000000007</v>
      </c>
      <c r="DF35" s="40">
        <f>Tabelle5897112140[[#This Row],[Durchschnittsauslastung durch]]*Tabelle5897112140[[#This Row],[installierte Leistung MW durch]]</f>
        <v>51.829333333333352</v>
      </c>
      <c r="DG35" s="40">
        <f>Tabelle5897112140[[#This Row],[Durchschnittsauslastung max]]*Tabelle5897112140[[#This Row],[installierte Leistung MW max]]</f>
        <v>70.850999999999999</v>
      </c>
      <c r="DH35" s="46">
        <f>Tabelle5897112140[[#This Row],[Maximalauslastung min]]*Tabelle5897112140[[#This Row],[installierte Leistung MW min]]</f>
        <v>73.45</v>
      </c>
      <c r="DI35" s="46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0">
        <f>Tabelle5897112140[[#This Row],[Durchschnittsauslastung min]]*Tabelle5897112140[[#This Row],[installierte Leistung MW min]]</f>
        <v>43.7515</v>
      </c>
      <c r="DF36" s="40">
        <f>Tabelle5897112140[[#This Row],[Durchschnittsauslastung durch]]*Tabelle5897112140[[#This Row],[installierte Leistung MW durch]]</f>
        <v>58.250666666666675</v>
      </c>
      <c r="DG36" s="40">
        <f>Tabelle5897112140[[#This Row],[Durchschnittsauslastung max]]*Tabelle5897112140[[#This Row],[installierte Leistung MW max]]</f>
        <v>79.629000000000005</v>
      </c>
      <c r="DH36" s="46">
        <f>Tabelle5897112140[[#This Row],[Maximalauslastung min]]*Tabelle5897112140[[#This Row],[installierte Leistung MW min]]</f>
        <v>82.55</v>
      </c>
      <c r="DI36" s="46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0">
        <f>Tabelle5897112140[[#This Row],[Durchschnittsauslastung min]]*Tabelle5897112140[[#This Row],[installierte Leistung MW min]]</f>
        <v>49.263500000000001</v>
      </c>
      <c r="DF37" s="40">
        <f>Tabelle5897112140[[#This Row],[Durchschnittsauslastung durch]]*Tabelle5897112140[[#This Row],[installierte Leistung MW durch]]</f>
        <v>65.589333333333357</v>
      </c>
      <c r="DG37" s="40">
        <f>Tabelle5897112140[[#This Row],[Durchschnittsauslastung max]]*Tabelle5897112140[[#This Row],[installierte Leistung MW max]]</f>
        <v>89.661000000000001</v>
      </c>
      <c r="DH37" s="46">
        <f>Tabelle5897112140[[#This Row],[Maximalauslastung min]]*Tabelle5897112140[[#This Row],[installierte Leistung MW min]]</f>
        <v>92.95</v>
      </c>
      <c r="DI37" s="46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0">
        <f>Tabelle5897112140[[#This Row],[Durchschnittsauslastung min]]*Tabelle5897112140[[#This Row],[installierte Leistung MW min]]</f>
        <v>55.464500000000008</v>
      </c>
      <c r="DF38" s="40">
        <f>Tabelle5897112140[[#This Row],[Durchschnittsauslastung durch]]*Tabelle5897112140[[#This Row],[installierte Leistung MW durch]]</f>
        <v>73.845333333333357</v>
      </c>
      <c r="DG38" s="40">
        <f>Tabelle5897112140[[#This Row],[Durchschnittsauslastung max]]*Tabelle5897112140[[#This Row],[installierte Leistung MW max]]</f>
        <v>100.947</v>
      </c>
      <c r="DH38" s="46">
        <f>Tabelle5897112140[[#This Row],[Maximalauslastung min]]*Tabelle5897112140[[#This Row],[installierte Leistung MW min]]</f>
        <v>104.65</v>
      </c>
      <c r="DI38" s="46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0">
        <f>Tabelle5897112140[[#This Row],[Durchschnittsauslastung min]]*Tabelle5897112140[[#This Row],[installierte Leistung MW min]]</f>
        <v>62.354500000000009</v>
      </c>
      <c r="DF39" s="40">
        <f>Tabelle5897112140[[#This Row],[Durchschnittsauslastung durch]]*Tabelle5897112140[[#This Row],[installierte Leistung MW durch]]</f>
        <v>83.018666666666689</v>
      </c>
      <c r="DG39" s="40">
        <f>Tabelle5897112140[[#This Row],[Durchschnittsauslastung max]]*Tabelle5897112140[[#This Row],[installierte Leistung MW max]]</f>
        <v>113.48699999999999</v>
      </c>
      <c r="DH39" s="46">
        <f>Tabelle5897112140[[#This Row],[Maximalauslastung min]]*Tabelle5897112140[[#This Row],[installierte Leistung MW min]]</f>
        <v>117.65</v>
      </c>
      <c r="DI39" s="46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0">
        <f>Tabelle5897112140[[#This Row],[Durchschnittsauslastung min]]*Tabelle5897112140[[#This Row],[installierte Leistung MW min]]</f>
        <v>70.278000000000006</v>
      </c>
      <c r="DF40" s="40">
        <f>Tabelle5897112140[[#This Row],[Durchschnittsauslastung durch]]*Tabelle5897112140[[#This Row],[installierte Leistung MW durch]]</f>
        <v>93.568000000000012</v>
      </c>
      <c r="DG40" s="40">
        <f>Tabelle5897112140[[#This Row],[Durchschnittsauslastung max]]*Tabelle5897112140[[#This Row],[installierte Leistung MW max]]</f>
        <v>127.90800000000002</v>
      </c>
      <c r="DH40" s="46">
        <f>Tabelle5897112140[[#This Row],[Maximalauslastung min]]*Tabelle5897112140[[#This Row],[installierte Leistung MW min]]</f>
        <v>132.6</v>
      </c>
      <c r="DI40" s="46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0">
        <f>Tabelle5897112140[[#This Row],[Durchschnittsauslastung min]]*Tabelle5897112140[[#This Row],[installierte Leistung MW min]]</f>
        <v>79.234999999999999</v>
      </c>
      <c r="DF41" s="40">
        <f>Tabelle5897112140[[#This Row],[Durchschnittsauslastung durch]]*Tabelle5897112140[[#This Row],[installierte Leistung MW durch]]</f>
        <v>105.49333333333335</v>
      </c>
      <c r="DG41" s="40">
        <f>Tabelle5897112140[[#This Row],[Durchschnittsauslastung max]]*Tabelle5897112140[[#This Row],[installierte Leistung MW max]]</f>
        <v>144.21</v>
      </c>
      <c r="DH41" s="46">
        <f>Tabelle5897112140[[#This Row],[Maximalauslastung min]]*Tabelle5897112140[[#This Row],[installierte Leistung MW min]]</f>
        <v>149.5</v>
      </c>
      <c r="DI41" s="46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0">
        <f>Tabelle5897112140[[#This Row],[Durchschnittsauslastung min]]*Tabelle5897112140[[#This Row],[installierte Leistung MW min]]</f>
        <v>23.75</v>
      </c>
      <c r="DF42" s="40">
        <f>Tabelle5897112140[[#This Row],[Durchschnittsauslastung durch]]*Tabelle5897112140[[#This Row],[installierte Leistung MW durch]]</f>
        <v>57.166666666666679</v>
      </c>
      <c r="DG42" s="40">
        <f>Tabelle5897112140[[#This Row],[Durchschnittsauslastung max]]*Tabelle5897112140[[#This Row],[installierte Leistung MW max]]</f>
        <v>135</v>
      </c>
      <c r="DH42" s="46">
        <f>Tabelle5897112140[[#This Row],[Maximalauslastung min]]*Tabelle5897112140[[#This Row],[installierte Leistung MW min]]</f>
        <v>57.5</v>
      </c>
      <c r="DI42" s="46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0">
        <f>Tabelle5897112140[[#This Row],[Durchschnittsauslastung min]]*Tabelle5897112140[[#This Row],[installierte Leistung MW min]]</f>
        <v>26.837499999999999</v>
      </c>
      <c r="DF43" s="40">
        <f>Tabelle5897112140[[#This Row],[Durchschnittsauslastung durch]]*Tabelle5897112140[[#This Row],[installierte Leistung MW durch]]</f>
        <v>64.598333333333343</v>
      </c>
      <c r="DG43" s="40">
        <f>Tabelle5897112140[[#This Row],[Durchschnittsauslastung max]]*Tabelle5897112140[[#This Row],[installierte Leistung MW max]]</f>
        <v>152.54999999999998</v>
      </c>
      <c r="DH43" s="46">
        <f>Tabelle5897112140[[#This Row],[Maximalauslastung min]]*Tabelle5897112140[[#This Row],[installierte Leistung MW min]]</f>
        <v>64.975000000000009</v>
      </c>
      <c r="DI43" s="46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0">
        <f>Tabelle5897112140[[#This Row],[Durchschnittsauslastung min]]*Tabelle5897112140[[#This Row],[installierte Leistung MW min]]</f>
        <v>30.162500000000001</v>
      </c>
      <c r="DF44" s="40">
        <f>Tabelle5897112140[[#This Row],[Durchschnittsauslastung durch]]*Tabelle5897112140[[#This Row],[installierte Leistung MW durch]]</f>
        <v>72.601666666666674</v>
      </c>
      <c r="DG44" s="40">
        <f>Tabelle5897112140[[#This Row],[Durchschnittsauslastung max]]*Tabelle5897112140[[#This Row],[installierte Leistung MW max]]</f>
        <v>171.45</v>
      </c>
      <c r="DH44" s="46">
        <f>Tabelle5897112140[[#This Row],[Maximalauslastung min]]*Tabelle5897112140[[#This Row],[installierte Leistung MW min]]</f>
        <v>73.025000000000006</v>
      </c>
      <c r="DI44" s="46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0">
        <f>Tabelle5897112140[[#This Row],[Durchschnittsauslastung min]]*Tabelle5897112140[[#This Row],[installierte Leistung MW min]]</f>
        <v>33.962499999999999</v>
      </c>
      <c r="DF45" s="40">
        <f>Tabelle5897112140[[#This Row],[Durchschnittsauslastung durch]]*Tabelle5897112140[[#This Row],[installierte Leistung MW durch]]</f>
        <v>81.748333333333349</v>
      </c>
      <c r="DG45" s="40">
        <f>Tabelle5897112140[[#This Row],[Durchschnittsauslastung max]]*Tabelle5897112140[[#This Row],[installierte Leistung MW max]]</f>
        <v>193.04999999999998</v>
      </c>
      <c r="DH45" s="46">
        <f>Tabelle5897112140[[#This Row],[Maximalauslastung min]]*Tabelle5897112140[[#This Row],[installierte Leistung MW min]]</f>
        <v>82.225000000000009</v>
      </c>
      <c r="DI45" s="46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0">
        <f>Tabelle5897112140[[#This Row],[Durchschnittsauslastung min]]*Tabelle5897112140[[#This Row],[installierte Leistung MW min]]</f>
        <v>38.237499999999997</v>
      </c>
      <c r="DF46" s="40">
        <f>Tabelle5897112140[[#This Row],[Durchschnittsauslastung durch]]*Tabelle5897112140[[#This Row],[installierte Leistung MW durch]]</f>
        <v>92.038333333333341</v>
      </c>
      <c r="DG46" s="40">
        <f>Tabelle5897112140[[#This Row],[Durchschnittsauslastung max]]*Tabelle5897112140[[#This Row],[installierte Leistung MW max]]</f>
        <v>217.35</v>
      </c>
      <c r="DH46" s="46">
        <f>Tabelle5897112140[[#This Row],[Maximalauslastung min]]*Tabelle5897112140[[#This Row],[installierte Leistung MW min]]</f>
        <v>92.575000000000003</v>
      </c>
      <c r="DI46" s="46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0">
        <f>Tabelle5897112140[[#This Row],[Durchschnittsauslastung min]]*Tabelle5897112140[[#This Row],[installierte Leistung MW min]]</f>
        <v>42.987499999999997</v>
      </c>
      <c r="DF47" s="40">
        <f>Tabelle5897112140[[#This Row],[Durchschnittsauslastung durch]]*Tabelle5897112140[[#This Row],[installierte Leistung MW durch]]</f>
        <v>103.47166666666668</v>
      </c>
      <c r="DG47" s="40">
        <f>Tabelle5897112140[[#This Row],[Durchschnittsauslastung max]]*Tabelle5897112140[[#This Row],[installierte Leistung MW max]]</f>
        <v>244.35</v>
      </c>
      <c r="DH47" s="46">
        <f>Tabelle5897112140[[#This Row],[Maximalauslastung min]]*Tabelle5897112140[[#This Row],[installierte Leistung MW min]]</f>
        <v>104.075</v>
      </c>
      <c r="DI47" s="46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0">
        <f>Tabelle5897112140[[#This Row],[Durchschnittsauslastung min]]*Tabelle5897112140[[#This Row],[installierte Leistung MW min]]</f>
        <v>48.45</v>
      </c>
      <c r="DF48" s="40">
        <f>Tabelle5897112140[[#This Row],[Durchschnittsauslastung durch]]*Tabelle5897112140[[#This Row],[installierte Leistung MW durch]]</f>
        <v>116.62000000000002</v>
      </c>
      <c r="DG48" s="40">
        <f>Tabelle5897112140[[#This Row],[Durchschnittsauslastung max]]*Tabelle5897112140[[#This Row],[installierte Leistung MW max]]</f>
        <v>275.39999999999998</v>
      </c>
      <c r="DH48" s="46">
        <f>Tabelle5897112140[[#This Row],[Maximalauslastung min]]*Tabelle5897112140[[#This Row],[installierte Leistung MW min]]</f>
        <v>117.30000000000001</v>
      </c>
      <c r="DI48" s="46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0">
        <f>Tabelle5897112140[[#This Row],[Durchschnittsauslastung min]]*Tabelle5897112140[[#This Row],[installierte Leistung MW min]]</f>
        <v>54.625</v>
      </c>
      <c r="DF49" s="40">
        <f>Tabelle5897112140[[#This Row],[Durchschnittsauslastung durch]]*Tabelle5897112140[[#This Row],[installierte Leistung MW durch]]</f>
        <v>131.48333333333335</v>
      </c>
      <c r="DG49" s="40">
        <f>Tabelle5897112140[[#This Row],[Durchschnittsauslastung max]]*Tabelle5897112140[[#This Row],[installierte Leistung MW max]]</f>
        <v>310.5</v>
      </c>
      <c r="DH49" s="46">
        <f>Tabelle5897112140[[#This Row],[Maximalauslastung min]]*Tabelle5897112140[[#This Row],[installierte Leistung MW min]]</f>
        <v>132.25</v>
      </c>
      <c r="DI49" s="46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0">
        <f>Tabelle5897112140[[#This Row],[Durchschnittsauslastung min]]*Tabelle5897112140[[#This Row],[installierte Leistung MW min]]</f>
        <v>0</v>
      </c>
      <c r="DF50" s="40">
        <f>Tabelle5897112140[[#This Row],[Durchschnittsauslastung durch]]*Tabelle5897112140[[#This Row],[installierte Leistung MW durch]]</f>
        <v>10.766666666666666</v>
      </c>
      <c r="DG50" s="40">
        <f>Tabelle5897112140[[#This Row],[Durchschnittsauslastung max]]*Tabelle5897112140[[#This Row],[installierte Leistung MW max]]</f>
        <v>123.11999999999999</v>
      </c>
      <c r="DH50" s="46">
        <f>Tabelle5897112140[[#This Row],[Maximalauslastung min]]*Tabelle5897112140[[#This Row],[installierte Leistung MW min]]</f>
        <v>0</v>
      </c>
      <c r="DI50" s="46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0">
        <f>Tabelle5897112140[[#This Row],[Durchschnittsauslastung min]]*Tabelle5897112140[[#This Row],[installierte Leistung MW min]]</f>
        <v>0</v>
      </c>
      <c r="DF51" s="40">
        <f>Tabelle5897112140[[#This Row],[Durchschnittsauslastung durch]]*Tabelle5897112140[[#This Row],[installierte Leistung MW durch]]</f>
        <v>10.658999999999999</v>
      </c>
      <c r="DG51" s="40">
        <f>Tabelle5897112140[[#This Row],[Durchschnittsauslastung max]]*Tabelle5897112140[[#This Row],[installierte Leistung MW max]]</f>
        <v>121.88879999999999</v>
      </c>
      <c r="DH51" s="46">
        <f>Tabelle5897112140[[#This Row],[Maximalauslastung min]]*Tabelle5897112140[[#This Row],[installierte Leistung MW min]]</f>
        <v>0</v>
      </c>
      <c r="DI51" s="46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0">
        <f>Tabelle5897112140[[#This Row],[Durchschnittsauslastung min]]*Tabelle5897112140[[#This Row],[installierte Leistung MW min]]</f>
        <v>0</v>
      </c>
      <c r="DF52" s="40">
        <f>Tabelle5897112140[[#This Row],[Durchschnittsauslastung durch]]*Tabelle5897112140[[#This Row],[installierte Leistung MW durch]]</f>
        <v>10.551333333333332</v>
      </c>
      <c r="DG52" s="40">
        <f>Tabelle5897112140[[#This Row],[Durchschnittsauslastung max]]*Tabelle5897112140[[#This Row],[installierte Leistung MW max]]</f>
        <v>120.65759999999999</v>
      </c>
      <c r="DH52" s="46">
        <f>Tabelle5897112140[[#This Row],[Maximalauslastung min]]*Tabelle5897112140[[#This Row],[installierte Leistung MW min]]</f>
        <v>0</v>
      </c>
      <c r="DI52" s="46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0">
        <f>Tabelle5897112140[[#This Row],[Durchschnittsauslastung min]]*Tabelle5897112140[[#This Row],[installierte Leistung MW min]]</f>
        <v>0</v>
      </c>
      <c r="DF53" s="40">
        <f>Tabelle5897112140[[#This Row],[Durchschnittsauslastung durch]]*Tabelle5897112140[[#This Row],[installierte Leistung MW durch]]</f>
        <v>10.443666666666665</v>
      </c>
      <c r="DG53" s="40">
        <f>Tabelle5897112140[[#This Row],[Durchschnittsauslastung max]]*Tabelle5897112140[[#This Row],[installierte Leistung MW max]]</f>
        <v>119.4264</v>
      </c>
      <c r="DH53" s="46">
        <f>Tabelle5897112140[[#This Row],[Maximalauslastung min]]*Tabelle5897112140[[#This Row],[installierte Leistung MW min]]</f>
        <v>0</v>
      </c>
      <c r="DI53" s="46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0">
        <f>Tabelle5897112140[[#This Row],[Durchschnittsauslastung min]]*Tabelle5897112140[[#This Row],[installierte Leistung MW min]]</f>
        <v>0</v>
      </c>
      <c r="DF54" s="40">
        <f>Tabelle5897112140[[#This Row],[Durchschnittsauslastung durch]]*Tabelle5897112140[[#This Row],[installierte Leistung MW durch]]</f>
        <v>10.335999999999999</v>
      </c>
      <c r="DG54" s="40">
        <f>Tabelle5897112140[[#This Row],[Durchschnittsauslastung max]]*Tabelle5897112140[[#This Row],[installierte Leistung MW max]]</f>
        <v>118.1952</v>
      </c>
      <c r="DH54" s="46">
        <f>Tabelle5897112140[[#This Row],[Maximalauslastung min]]*Tabelle5897112140[[#This Row],[installierte Leistung MW min]]</f>
        <v>0</v>
      </c>
      <c r="DI54" s="46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0">
        <f>Tabelle5897112140[[#This Row],[Durchschnittsauslastung min]]*Tabelle5897112140[[#This Row],[installierte Leistung MW min]]</f>
        <v>0</v>
      </c>
      <c r="DF55" s="40">
        <f>Tabelle5897112140[[#This Row],[Durchschnittsauslastung durch]]*Tabelle5897112140[[#This Row],[installierte Leistung MW durch]]</f>
        <v>10.228333333333332</v>
      </c>
      <c r="DG55" s="40">
        <f>Tabelle5897112140[[#This Row],[Durchschnittsauslastung max]]*Tabelle5897112140[[#This Row],[installierte Leistung MW max]]</f>
        <v>116.96399999999998</v>
      </c>
      <c r="DH55" s="46">
        <f>Tabelle5897112140[[#This Row],[Maximalauslastung min]]*Tabelle5897112140[[#This Row],[installierte Leistung MW min]]</f>
        <v>0</v>
      </c>
      <c r="DI55" s="46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2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0">
        <f>Tabelle5897112140[[#This Row],[Durchschnittsauslastung min]]*Tabelle5897112140[[#This Row],[installierte Leistung MW min]]</f>
        <v>0</v>
      </c>
      <c r="DF56" s="40">
        <f>Tabelle5897112140[[#This Row],[Durchschnittsauslastung durch]]*Tabelle5897112140[[#This Row],[installierte Leistung MW durch]]</f>
        <v>10.228333333333332</v>
      </c>
      <c r="DG56" s="40">
        <f>Tabelle5897112140[[#This Row],[Durchschnittsauslastung max]]*Tabelle5897112140[[#This Row],[installierte Leistung MW max]]</f>
        <v>116.96399999999998</v>
      </c>
      <c r="DH56" s="46">
        <f>Tabelle5897112140[[#This Row],[Maximalauslastung min]]*Tabelle5897112140[[#This Row],[installierte Leistung MW min]]</f>
        <v>0</v>
      </c>
      <c r="DI56" s="46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0">
        <f>Tabelle5897112140[[#This Row],[Durchschnittsauslastung min]]*Tabelle5897112140[[#This Row],[installierte Leistung MW min]]</f>
        <v>0</v>
      </c>
      <c r="DF57" s="40">
        <f>Tabelle5897112140[[#This Row],[Durchschnittsauslastung durch]]*Tabelle5897112140[[#This Row],[installierte Leistung MW durch]]</f>
        <v>10.120666666666667</v>
      </c>
      <c r="DG57" s="40">
        <f>Tabelle5897112140[[#This Row],[Durchschnittsauslastung max]]*Tabelle5897112140[[#This Row],[installierte Leistung MW max]]</f>
        <v>115.73279999999998</v>
      </c>
      <c r="DH57" s="46">
        <f>Tabelle5897112140[[#This Row],[Maximalauslastung min]]*Tabelle5897112140[[#This Row],[installierte Leistung MW min]]</f>
        <v>0</v>
      </c>
      <c r="DI57" s="46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0">
        <f>Tabelle5897112140[[#This Row],[Durchschnittsauslastung min]]*Tabelle5897112140[[#This Row],[installierte Leistung MW min]]</f>
        <v>174.8</v>
      </c>
      <c r="DF58" s="40">
        <f>Tabelle5897112140[[#This Row],[Durchschnittsauslastung durch]]*Tabelle5897112140[[#This Row],[installierte Leistung MW durch]]</f>
        <v>311.59777777777782</v>
      </c>
      <c r="DG58" s="40">
        <f>Tabelle5897112140[[#This Row],[Durchschnittsauslastung max]]*Tabelle5897112140[[#This Row],[installierte Leistung MW max]]</f>
        <v>511.28000000000003</v>
      </c>
      <c r="DH58" s="46">
        <f>Tabelle5897112140[[#This Row],[Maximalauslastung min]]*Tabelle5897112140[[#This Row],[installierte Leistung MW min]]</f>
        <v>101.2</v>
      </c>
      <c r="DI58" s="46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0">
        <f>Tabelle5897112140[[#This Row],[Durchschnittsauslastung min]]*Tabelle5897112140[[#This Row],[installierte Leistung MW min]]</f>
        <v>173.05199999999999</v>
      </c>
      <c r="DF59" s="40">
        <f>Tabelle5897112140[[#This Row],[Durchschnittsauslastung durch]]*Tabelle5897112140[[#This Row],[installierte Leistung MW durch]]</f>
        <v>308.48180000000002</v>
      </c>
      <c r="DG59" s="40">
        <f>Tabelle5897112140[[#This Row],[Durchschnittsauslastung max]]*Tabelle5897112140[[#This Row],[installierte Leistung MW max]]</f>
        <v>506.16720000000004</v>
      </c>
      <c r="DH59" s="46">
        <f>Tabelle5897112140[[#This Row],[Maximalauslastung min]]*Tabelle5897112140[[#This Row],[installierte Leistung MW min]]</f>
        <v>100.188</v>
      </c>
      <c r="DI59" s="46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0">
        <f>Tabelle5897112140[[#This Row],[Durchschnittsauslastung min]]*Tabelle5897112140[[#This Row],[installierte Leistung MW min]]</f>
        <v>171.304</v>
      </c>
      <c r="DF60" s="40">
        <f>Tabelle5897112140[[#This Row],[Durchschnittsauslastung durch]]*Tabelle5897112140[[#This Row],[installierte Leistung MW durch]]</f>
        <v>305.36582222222228</v>
      </c>
      <c r="DG60" s="40">
        <f>Tabelle5897112140[[#This Row],[Durchschnittsauslastung max]]*Tabelle5897112140[[#This Row],[installierte Leistung MW max]]</f>
        <v>501.05440000000004</v>
      </c>
      <c r="DH60" s="46">
        <f>Tabelle5897112140[[#This Row],[Maximalauslastung min]]*Tabelle5897112140[[#This Row],[installierte Leistung MW min]]</f>
        <v>99.176000000000002</v>
      </c>
      <c r="DI60" s="46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0">
        <f>Tabelle5897112140[[#This Row],[Durchschnittsauslastung min]]*Tabelle5897112140[[#This Row],[installierte Leistung MW min]]</f>
        <v>169.55600000000001</v>
      </c>
      <c r="DF61" s="40">
        <f>Tabelle5897112140[[#This Row],[Durchschnittsauslastung durch]]*Tabelle5897112140[[#This Row],[installierte Leistung MW durch]]</f>
        <v>302.24984444444448</v>
      </c>
      <c r="DG61" s="40">
        <f>Tabelle5897112140[[#This Row],[Durchschnittsauslastung max]]*Tabelle5897112140[[#This Row],[installierte Leistung MW max]]</f>
        <v>495.94160000000005</v>
      </c>
      <c r="DH61" s="46">
        <f>Tabelle5897112140[[#This Row],[Maximalauslastung min]]*Tabelle5897112140[[#This Row],[installierte Leistung MW min]]</f>
        <v>98.164000000000001</v>
      </c>
      <c r="DI61" s="46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0">
        <f>Tabelle5897112140[[#This Row],[Durchschnittsauslastung min]]*Tabelle5897112140[[#This Row],[installierte Leistung MW min]]</f>
        <v>167.80800000000002</v>
      </c>
      <c r="DF62" s="40">
        <f>Tabelle5897112140[[#This Row],[Durchschnittsauslastung durch]]*Tabelle5897112140[[#This Row],[installierte Leistung MW durch]]</f>
        <v>299.13386666666668</v>
      </c>
      <c r="DG62" s="40">
        <f>Tabelle5897112140[[#This Row],[Durchschnittsauslastung max]]*Tabelle5897112140[[#This Row],[installierte Leistung MW max]]</f>
        <v>490.82880000000006</v>
      </c>
      <c r="DH62" s="46">
        <f>Tabelle5897112140[[#This Row],[Maximalauslastung min]]*Tabelle5897112140[[#This Row],[installierte Leistung MW min]]</f>
        <v>97.152000000000001</v>
      </c>
      <c r="DI62" s="46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0">
        <f>Tabelle5897112140[[#This Row],[Durchschnittsauslastung min]]*Tabelle5897112140[[#This Row],[installierte Leistung MW min]]</f>
        <v>166.06</v>
      </c>
      <c r="DF63" s="40">
        <f>Tabelle5897112140[[#This Row],[Durchschnittsauslastung durch]]*Tabelle5897112140[[#This Row],[installierte Leistung MW durch]]</f>
        <v>296.01788888888893</v>
      </c>
      <c r="DG63" s="40">
        <f>Tabelle5897112140[[#This Row],[Durchschnittsauslastung max]]*Tabelle5897112140[[#This Row],[installierte Leistung MW max]]</f>
        <v>485.71599999999995</v>
      </c>
      <c r="DH63" s="46">
        <f>Tabelle5897112140[[#This Row],[Maximalauslastung min]]*Tabelle5897112140[[#This Row],[installierte Leistung MW min]]</f>
        <v>96.14</v>
      </c>
      <c r="DI63" s="46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0">
        <f>Tabelle5897112140[[#This Row],[Durchschnittsauslastung min]]*Tabelle5897112140[[#This Row],[installierte Leistung MW min]]</f>
        <v>166.06</v>
      </c>
      <c r="DF64" s="40">
        <f>Tabelle5897112140[[#This Row],[Durchschnittsauslastung durch]]*Tabelle5897112140[[#This Row],[installierte Leistung MW durch]]</f>
        <v>296.01788888888893</v>
      </c>
      <c r="DG64" s="40">
        <f>Tabelle5897112140[[#This Row],[Durchschnittsauslastung max]]*Tabelle5897112140[[#This Row],[installierte Leistung MW max]]</f>
        <v>485.71599999999995</v>
      </c>
      <c r="DH64" s="46">
        <f>Tabelle5897112140[[#This Row],[Maximalauslastung min]]*Tabelle5897112140[[#This Row],[installierte Leistung MW min]]</f>
        <v>96.14</v>
      </c>
      <c r="DI64" s="46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0">
        <f>Tabelle5897112140[[#This Row],[Durchschnittsauslastung min]]*Tabelle5897112140[[#This Row],[installierte Leistung MW min]]</f>
        <v>164.31199999999998</v>
      </c>
      <c r="DF65" s="40">
        <f>Tabelle5897112140[[#This Row],[Durchschnittsauslastung durch]]*Tabelle5897112140[[#This Row],[installierte Leistung MW durch]]</f>
        <v>292.90191111111113</v>
      </c>
      <c r="DG65" s="40">
        <f>Tabelle5897112140[[#This Row],[Durchschnittsauslastung max]]*Tabelle5897112140[[#This Row],[installierte Leistung MW max]]</f>
        <v>480.60319999999996</v>
      </c>
      <c r="DH65" s="46">
        <f>Tabelle5897112140[[#This Row],[Maximalauslastung min]]*Tabelle5897112140[[#This Row],[installierte Leistung MW min]]</f>
        <v>95.128</v>
      </c>
      <c r="DI65" s="46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0">
        <f>Tabelle5897112140[[#This Row],[Durchschnittsauslastung min]]*Tabelle5897112140[[#This Row],[installierte Leistung MW min]]</f>
        <v>7.41</v>
      </c>
      <c r="DF66" s="40">
        <f>Tabelle5897112140[[#This Row],[Durchschnittsauslastung durch]]*Tabelle5897112140[[#This Row],[installierte Leistung MW durch]]</f>
        <v>16.333333333333336</v>
      </c>
      <c r="DG66" s="40">
        <f>Tabelle5897112140[[#This Row],[Durchschnittsauslastung max]]*Tabelle5897112140[[#This Row],[installierte Leistung MW max]]</f>
        <v>36.6</v>
      </c>
      <c r="DH66" s="46">
        <f>Tabelle5897112140[[#This Row],[Maximalauslastung min]]*Tabelle5897112140[[#This Row],[installierte Leistung MW min]]</f>
        <v>39</v>
      </c>
      <c r="DI66" s="46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0">
        <f>Tabelle5897112140[[#This Row],[Durchschnittsauslastung min]]*Tabelle5897112140[[#This Row],[installierte Leistung MW min]]</f>
        <v>7.3358999999999996</v>
      </c>
      <c r="DF67" s="40">
        <f>Tabelle5897112140[[#This Row],[Durchschnittsauslastung durch]]*Tabelle5897112140[[#This Row],[installierte Leistung MW durch]]</f>
        <v>16.170000000000002</v>
      </c>
      <c r="DG67" s="40">
        <f>Tabelle5897112140[[#This Row],[Durchschnittsauslastung max]]*Tabelle5897112140[[#This Row],[installierte Leistung MW max]]</f>
        <v>36.234000000000002</v>
      </c>
      <c r="DH67" s="46">
        <f>Tabelle5897112140[[#This Row],[Maximalauslastung min]]*Tabelle5897112140[[#This Row],[installierte Leistung MW min]]</f>
        <v>38.61</v>
      </c>
      <c r="DI67" s="46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0">
        <f>Tabelle5897112140[[#This Row],[Durchschnittsauslastung min]]*Tabelle5897112140[[#This Row],[installierte Leistung MW min]]</f>
        <v>7.2618</v>
      </c>
      <c r="DF68" s="40">
        <f>Tabelle5897112140[[#This Row],[Durchschnittsauslastung durch]]*Tabelle5897112140[[#This Row],[installierte Leistung MW durch]]</f>
        <v>16.006666666666668</v>
      </c>
      <c r="DG68" s="40">
        <f>Tabelle5897112140[[#This Row],[Durchschnittsauslastung max]]*Tabelle5897112140[[#This Row],[installierte Leistung MW max]]</f>
        <v>35.868000000000002</v>
      </c>
      <c r="DH68" s="46">
        <f>Tabelle5897112140[[#This Row],[Maximalauslastung min]]*Tabelle5897112140[[#This Row],[installierte Leistung MW min]]</f>
        <v>38.22</v>
      </c>
      <c r="DI68" s="46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0">
        <f>Tabelle5897112140[[#This Row],[Durchschnittsauslastung min]]*Tabelle5897112140[[#This Row],[installierte Leistung MW min]]</f>
        <v>7.1876999999999995</v>
      </c>
      <c r="DF69" s="40">
        <f>Tabelle5897112140[[#This Row],[Durchschnittsauslastung durch]]*Tabelle5897112140[[#This Row],[installierte Leistung MW durch]]</f>
        <v>15.843333333333335</v>
      </c>
      <c r="DG69" s="40">
        <f>Tabelle5897112140[[#This Row],[Durchschnittsauslastung max]]*Tabelle5897112140[[#This Row],[installierte Leistung MW max]]</f>
        <v>35.502000000000002</v>
      </c>
      <c r="DH69" s="46">
        <f>Tabelle5897112140[[#This Row],[Maximalauslastung min]]*Tabelle5897112140[[#This Row],[installierte Leistung MW min]]</f>
        <v>37.83</v>
      </c>
      <c r="DI69" s="46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0">
        <f>Tabelle5897112140[[#This Row],[Durchschnittsauslastung min]]*Tabelle5897112140[[#This Row],[installierte Leistung MW min]]</f>
        <v>7.1135999999999999</v>
      </c>
      <c r="DF70" s="40">
        <f>Tabelle5897112140[[#This Row],[Durchschnittsauslastung durch]]*Tabelle5897112140[[#This Row],[installierte Leistung MW durch]]</f>
        <v>15.680000000000003</v>
      </c>
      <c r="DG70" s="40">
        <f>Tabelle5897112140[[#This Row],[Durchschnittsauslastung max]]*Tabelle5897112140[[#This Row],[installierte Leistung MW max]]</f>
        <v>35.136000000000003</v>
      </c>
      <c r="DH70" s="46">
        <f>Tabelle5897112140[[#This Row],[Maximalauslastung min]]*Tabelle5897112140[[#This Row],[installierte Leistung MW min]]</f>
        <v>37.44</v>
      </c>
      <c r="DI70" s="46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0">
        <f>Tabelle5897112140[[#This Row],[Durchschnittsauslastung min]]*Tabelle5897112140[[#This Row],[installierte Leistung MW min]]</f>
        <v>7.0394999999999994</v>
      </c>
      <c r="DF71" s="40">
        <f>Tabelle5897112140[[#This Row],[Durchschnittsauslastung durch]]*Tabelle5897112140[[#This Row],[installierte Leistung MW durch]]</f>
        <v>15.516666666666669</v>
      </c>
      <c r="DG71" s="40">
        <f>Tabelle5897112140[[#This Row],[Durchschnittsauslastung max]]*Tabelle5897112140[[#This Row],[installierte Leistung MW max]]</f>
        <v>34.770000000000003</v>
      </c>
      <c r="DH71" s="46">
        <f>Tabelle5897112140[[#This Row],[Maximalauslastung min]]*Tabelle5897112140[[#This Row],[installierte Leistung MW min]]</f>
        <v>37.049999999999997</v>
      </c>
      <c r="DI71" s="46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0">
        <f>Tabelle5897112140[[#This Row],[Durchschnittsauslastung min]]*Tabelle5897112140[[#This Row],[installierte Leistung MW min]]</f>
        <v>7.0394999999999994</v>
      </c>
      <c r="DF72" s="40">
        <f>Tabelle5897112140[[#This Row],[Durchschnittsauslastung durch]]*Tabelle5897112140[[#This Row],[installierte Leistung MW durch]]</f>
        <v>15.516666666666669</v>
      </c>
      <c r="DG72" s="40">
        <f>Tabelle5897112140[[#This Row],[Durchschnittsauslastung max]]*Tabelle5897112140[[#This Row],[installierte Leistung MW max]]</f>
        <v>34.770000000000003</v>
      </c>
      <c r="DH72" s="46">
        <f>Tabelle5897112140[[#This Row],[Maximalauslastung min]]*Tabelle5897112140[[#This Row],[installierte Leistung MW min]]</f>
        <v>37.049999999999997</v>
      </c>
      <c r="DI72" s="46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0">
        <f>Tabelle5897112140[[#This Row],[Durchschnittsauslastung min]]*Tabelle5897112140[[#This Row],[installierte Leistung MW min]]</f>
        <v>6.9653999999999998</v>
      </c>
      <c r="DF73" s="40">
        <f>Tabelle5897112140[[#This Row],[Durchschnittsauslastung durch]]*Tabelle5897112140[[#This Row],[installierte Leistung MW durch]]</f>
        <v>15.353333333333335</v>
      </c>
      <c r="DG73" s="40">
        <f>Tabelle5897112140[[#This Row],[Durchschnittsauslastung max]]*Tabelle5897112140[[#This Row],[installierte Leistung MW max]]</f>
        <v>34.404000000000003</v>
      </c>
      <c r="DH73" s="46">
        <f>Tabelle5897112140[[#This Row],[Maximalauslastung min]]*Tabelle5897112140[[#This Row],[installierte Leistung MW min]]</f>
        <v>36.659999999999997</v>
      </c>
      <c r="DI73" s="46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0">
        <f>Tabelle5897112140[[#This Row],[Durchschnittsauslastung min]]*Tabelle5897112140[[#This Row],[installierte Leistung MW min]]</f>
        <v>0</v>
      </c>
      <c r="DF74" s="40">
        <f>Tabelle5897112140[[#This Row],[Durchschnittsauslastung durch]]*Tabelle5897112140[[#This Row],[installierte Leistung MW durch]]</f>
        <v>15.959999999999997</v>
      </c>
      <c r="DG74" s="40">
        <f>Tabelle5897112140[[#This Row],[Durchschnittsauslastung max]]*Tabelle5897112140[[#This Row],[installierte Leistung MW max]]</f>
        <v>183.54</v>
      </c>
      <c r="DH74" s="46">
        <f>Tabelle5897112140[[#This Row],[Maximalauslastung min]]*Tabelle5897112140[[#This Row],[installierte Leistung MW min]]</f>
        <v>83.72</v>
      </c>
      <c r="DI74" s="46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0">
        <f>Tabelle5897112140[[#This Row],[Durchschnittsauslastung min]]*Tabelle5897112140[[#This Row],[installierte Leistung MW min]]</f>
        <v>0</v>
      </c>
      <c r="DF75" s="40">
        <f>Tabelle5897112140[[#This Row],[Durchschnittsauslastung durch]]*Tabelle5897112140[[#This Row],[installierte Leistung MW durch]]</f>
        <v>16.279199999999999</v>
      </c>
      <c r="DG75" s="40">
        <f>Tabelle5897112140[[#This Row],[Durchschnittsauslastung max]]*Tabelle5897112140[[#This Row],[installierte Leistung MW max]]</f>
        <v>187.21079999999998</v>
      </c>
      <c r="DH75" s="46">
        <f>Tabelle5897112140[[#This Row],[Maximalauslastung min]]*Tabelle5897112140[[#This Row],[installierte Leistung MW min]]</f>
        <v>40.840799999999994</v>
      </c>
      <c r="DI75" s="46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0">
        <f>Tabelle5897112140[[#This Row],[Durchschnittsauslastung min]]*Tabelle5897112140[[#This Row],[installierte Leistung MW min]]</f>
        <v>0</v>
      </c>
      <c r="DF76" s="40">
        <f>Tabelle5897112140[[#This Row],[Durchschnittsauslastung durch]]*Tabelle5897112140[[#This Row],[installierte Leistung MW durch]]</f>
        <v>16.598399999999998</v>
      </c>
      <c r="DG76" s="40">
        <f>Tabelle5897112140[[#This Row],[Durchschnittsauslastung max]]*Tabelle5897112140[[#This Row],[installierte Leistung MW max]]</f>
        <v>190.88159999999999</v>
      </c>
      <c r="DH76" s="46">
        <f>Tabelle5897112140[[#This Row],[Maximalauslastung min]]*Tabelle5897112140[[#This Row],[installierte Leistung MW min]]</f>
        <v>41.641600000000004</v>
      </c>
      <c r="DI76" s="46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0">
        <f>Tabelle5897112140[[#This Row],[Durchschnittsauslastung min]]*Tabelle5897112140[[#This Row],[installierte Leistung MW min]]</f>
        <v>0</v>
      </c>
      <c r="DF77" s="40">
        <f>Tabelle5897112140[[#This Row],[Durchschnittsauslastung durch]]*Tabelle5897112140[[#This Row],[installierte Leistung MW durch]]</f>
        <v>16.917599999999997</v>
      </c>
      <c r="DG77" s="40">
        <f>Tabelle5897112140[[#This Row],[Durchschnittsauslastung max]]*Tabelle5897112140[[#This Row],[installierte Leistung MW max]]</f>
        <v>194.55239999999998</v>
      </c>
      <c r="DH77" s="46">
        <f>Tabelle5897112140[[#This Row],[Maximalauslastung min]]*Tabelle5897112140[[#This Row],[installierte Leistung MW min]]</f>
        <v>42.442399999999999</v>
      </c>
      <c r="DI77" s="46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0">
        <f>Tabelle5897112140[[#This Row],[Durchschnittsauslastung min]]*Tabelle5897112140[[#This Row],[installierte Leistung MW min]]</f>
        <v>0</v>
      </c>
      <c r="DF78" s="40">
        <f>Tabelle5897112140[[#This Row],[Durchschnittsauslastung durch]]*Tabelle5897112140[[#This Row],[installierte Leistung MW durch]]</f>
        <v>17.3964</v>
      </c>
      <c r="DG78" s="40">
        <f>Tabelle5897112140[[#This Row],[Durchschnittsauslastung max]]*Tabelle5897112140[[#This Row],[installierte Leistung MW max]]</f>
        <v>200.05859999999998</v>
      </c>
      <c r="DH78" s="46">
        <f>Tabelle5897112140[[#This Row],[Maximalauslastung min]]*Tabelle5897112140[[#This Row],[installierte Leistung MW min]]</f>
        <v>43.643599999999999</v>
      </c>
      <c r="DI78" s="46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0">
        <f>Tabelle5897112140[[#This Row],[Durchschnittsauslastung min]]*Tabelle5897112140[[#This Row],[installierte Leistung MW min]]</f>
        <v>0</v>
      </c>
      <c r="DF79" s="40">
        <f>Tabelle5897112140[[#This Row],[Durchschnittsauslastung durch]]*Tabelle5897112140[[#This Row],[installierte Leistung MW durch]]</f>
        <v>17.715599999999998</v>
      </c>
      <c r="DG79" s="40">
        <f>Tabelle5897112140[[#This Row],[Durchschnittsauslastung max]]*Tabelle5897112140[[#This Row],[installierte Leistung MW max]]</f>
        <v>203.7294</v>
      </c>
      <c r="DH79" s="46">
        <f>Tabelle5897112140[[#This Row],[Maximalauslastung min]]*Tabelle5897112140[[#This Row],[installierte Leistung MW min]]</f>
        <v>44.444400000000002</v>
      </c>
      <c r="DI79" s="46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0">
        <f>Tabelle5897112140[[#This Row],[Durchschnittsauslastung min]]*Tabelle5897112140[[#This Row],[installierte Leistung MW min]]</f>
        <v>0</v>
      </c>
      <c r="DF80" s="40">
        <f>Tabelle5897112140[[#This Row],[Durchschnittsauslastung durch]]*Tabelle5897112140[[#This Row],[installierte Leistung MW durch]]</f>
        <v>18.194399999999995</v>
      </c>
      <c r="DG80" s="40">
        <f>Tabelle5897112140[[#This Row],[Durchschnittsauslastung max]]*Tabelle5897112140[[#This Row],[installierte Leistung MW max]]</f>
        <v>209.23559999999998</v>
      </c>
      <c r="DH80" s="46">
        <f>Tabelle5897112140[[#This Row],[Maximalauslastung min]]*Tabelle5897112140[[#This Row],[installierte Leistung MW min]]</f>
        <v>45.645599999999995</v>
      </c>
      <c r="DI80" s="46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0">
        <f>Tabelle5897112140[[#This Row],[Durchschnittsauslastung min]]*Tabelle5897112140[[#This Row],[installierte Leistung MW min]]</f>
        <v>0</v>
      </c>
      <c r="DF81" s="40">
        <f>Tabelle5897112140[[#This Row],[Durchschnittsauslastung durch]]*Tabelle5897112140[[#This Row],[installierte Leistung MW durch]]</f>
        <v>18.513599999999997</v>
      </c>
      <c r="DG81" s="40">
        <f>Tabelle5897112140[[#This Row],[Durchschnittsauslastung max]]*Tabelle5897112140[[#This Row],[installierte Leistung MW max]]</f>
        <v>212.90639999999996</v>
      </c>
      <c r="DH81" s="46">
        <f>Tabelle5897112140[[#This Row],[Maximalauslastung min]]*Tabelle5897112140[[#This Row],[installierte Leistung MW min]]</f>
        <v>46.446400000000004</v>
      </c>
      <c r="DI81" s="46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0">
        <f>Tabelle5897112140[[#This Row],[Durchschnittsauslastung min]]*Tabelle5897112140[[#This Row],[installierte Leistung MW min]]</f>
        <v>11.02</v>
      </c>
      <c r="DF82" s="40">
        <f>Tabelle5897112140[[#This Row],[Durchschnittsauslastung durch]]*Tabelle5897112140[[#This Row],[installierte Leistung MW durch]]</f>
        <v>24.173333333333336</v>
      </c>
      <c r="DG82" s="40">
        <f>Tabelle5897112140[[#This Row],[Durchschnittsauslastung max]]*Tabelle5897112140[[#This Row],[installierte Leistung MW max]]</f>
        <v>54</v>
      </c>
      <c r="DH82" s="46">
        <f>Tabelle5897112140[[#This Row],[Maximalauslastung min]]*Tabelle5897112140[[#This Row],[installierte Leistung MW min]]</f>
        <v>12.76</v>
      </c>
      <c r="DI82" s="46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0">
        <f>Tabelle5897112140[[#This Row],[Durchschnittsauslastung min]]*Tabelle5897112140[[#This Row],[installierte Leistung MW min]]</f>
        <v>11.240399999999999</v>
      </c>
      <c r="DF83" s="40">
        <f>Tabelle5897112140[[#This Row],[Durchschnittsauslastung durch]]*Tabelle5897112140[[#This Row],[installierte Leistung MW durch]]</f>
        <v>24.656800000000004</v>
      </c>
      <c r="DG83" s="40">
        <f>Tabelle5897112140[[#This Row],[Durchschnittsauslastung max]]*Tabelle5897112140[[#This Row],[installierte Leistung MW max]]</f>
        <v>55.08</v>
      </c>
      <c r="DH83" s="46">
        <f>Tabelle5897112140[[#This Row],[Maximalauslastung min]]*Tabelle5897112140[[#This Row],[installierte Leistung MW min]]</f>
        <v>27.2136</v>
      </c>
      <c r="DI83" s="46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0">
        <f>Tabelle5897112140[[#This Row],[Durchschnittsauslastung min]]*Tabelle5897112140[[#This Row],[installierte Leistung MW min]]</f>
        <v>11.460800000000001</v>
      </c>
      <c r="DF84" s="40">
        <f>Tabelle5897112140[[#This Row],[Durchschnittsauslastung durch]]*Tabelle5897112140[[#This Row],[installierte Leistung MW durch]]</f>
        <v>25.140266666666669</v>
      </c>
      <c r="DG84" s="40">
        <f>Tabelle5897112140[[#This Row],[Durchschnittsauslastung max]]*Tabelle5897112140[[#This Row],[installierte Leistung MW max]]</f>
        <v>56.16</v>
      </c>
      <c r="DH84" s="46">
        <f>Tabelle5897112140[[#This Row],[Maximalauslastung min]]*Tabelle5897112140[[#This Row],[installierte Leistung MW min]]</f>
        <v>27.747200000000003</v>
      </c>
      <c r="DI84" s="46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0">
        <f>Tabelle5897112140[[#This Row],[Durchschnittsauslastung min]]*Tabelle5897112140[[#This Row],[installierte Leistung MW min]]</f>
        <v>11.681199999999999</v>
      </c>
      <c r="DF85" s="40">
        <f>Tabelle5897112140[[#This Row],[Durchschnittsauslastung durch]]*Tabelle5897112140[[#This Row],[installierte Leistung MW durch]]</f>
        <v>25.623733333333337</v>
      </c>
      <c r="DG85" s="40">
        <f>Tabelle5897112140[[#This Row],[Durchschnittsauslastung max]]*Tabelle5897112140[[#This Row],[installierte Leistung MW max]]</f>
        <v>57.24</v>
      </c>
      <c r="DH85" s="46">
        <f>Tabelle5897112140[[#This Row],[Maximalauslastung min]]*Tabelle5897112140[[#This Row],[installierte Leistung MW min]]</f>
        <v>28.280799999999999</v>
      </c>
      <c r="DI85" s="46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0">
        <f>Tabelle5897112140[[#This Row],[Durchschnittsauslastung min]]*Tabelle5897112140[[#This Row],[installierte Leistung MW min]]</f>
        <v>12.011799999999999</v>
      </c>
      <c r="DF86" s="40">
        <f>Tabelle5897112140[[#This Row],[Durchschnittsauslastung durch]]*Tabelle5897112140[[#This Row],[installierte Leistung MW durch]]</f>
        <v>26.348933333333335</v>
      </c>
      <c r="DG86" s="40">
        <f>Tabelle5897112140[[#This Row],[Durchschnittsauslastung max]]*Tabelle5897112140[[#This Row],[installierte Leistung MW max]]</f>
        <v>58.859999999999992</v>
      </c>
      <c r="DH86" s="46">
        <f>Tabelle5897112140[[#This Row],[Maximalauslastung min]]*Tabelle5897112140[[#This Row],[installierte Leistung MW min]]</f>
        <v>29.081199999999999</v>
      </c>
      <c r="DI86" s="46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0">
        <f>Tabelle5897112140[[#This Row],[Durchschnittsauslastung min]]*Tabelle5897112140[[#This Row],[installierte Leistung MW min]]</f>
        <v>12.232199999999999</v>
      </c>
      <c r="DF87" s="40">
        <f>Tabelle5897112140[[#This Row],[Durchschnittsauslastung durch]]*Tabelle5897112140[[#This Row],[installierte Leistung MW durch]]</f>
        <v>26.832400000000003</v>
      </c>
      <c r="DG87" s="40">
        <f>Tabelle5897112140[[#This Row],[Durchschnittsauslastung max]]*Tabelle5897112140[[#This Row],[installierte Leistung MW max]]</f>
        <v>59.94</v>
      </c>
      <c r="DH87" s="46">
        <f>Tabelle5897112140[[#This Row],[Maximalauslastung min]]*Tabelle5897112140[[#This Row],[installierte Leistung MW min]]</f>
        <v>29.614799999999999</v>
      </c>
      <c r="DI87" s="46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0">
        <f>Tabelle5897112140[[#This Row],[Durchschnittsauslastung min]]*Tabelle5897112140[[#This Row],[installierte Leistung MW min]]</f>
        <v>12.562800000000001</v>
      </c>
      <c r="DF88" s="40">
        <f>Tabelle5897112140[[#This Row],[Durchschnittsauslastung durch]]*Tabelle5897112140[[#This Row],[installierte Leistung MW durch]]</f>
        <v>27.557600000000004</v>
      </c>
      <c r="DG88" s="40">
        <f>Tabelle5897112140[[#This Row],[Durchschnittsauslastung max]]*Tabelle5897112140[[#This Row],[installierte Leistung MW max]]</f>
        <v>61.559999999999995</v>
      </c>
      <c r="DH88" s="46">
        <f>Tabelle5897112140[[#This Row],[Maximalauslastung min]]*Tabelle5897112140[[#This Row],[installierte Leistung MW min]]</f>
        <v>30.415200000000002</v>
      </c>
      <c r="DI88" s="46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0">
        <f>Tabelle5897112140[[#This Row],[Durchschnittsauslastung min]]*Tabelle5897112140[[#This Row],[installierte Leistung MW min]]</f>
        <v>12.783200000000001</v>
      </c>
      <c r="DF89" s="40">
        <f>Tabelle5897112140[[#This Row],[Durchschnittsauslastung durch]]*Tabelle5897112140[[#This Row],[installierte Leistung MW durch]]</f>
        <v>28.041066666666673</v>
      </c>
      <c r="DG89" s="40">
        <f>Tabelle5897112140[[#This Row],[Durchschnittsauslastung max]]*Tabelle5897112140[[#This Row],[installierte Leistung MW max]]</f>
        <v>62.64</v>
      </c>
      <c r="DH89" s="46">
        <f>Tabelle5897112140[[#This Row],[Maximalauslastung min]]*Tabelle5897112140[[#This Row],[installierte Leistung MW min]]</f>
        <v>30.948800000000002</v>
      </c>
      <c r="DI89" s="46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0">
        <f>Tabelle5897112140[[#This Row],[Durchschnittsauslastung min]]*Tabelle5897112140[[#This Row],[installierte Leistung MW min]]</f>
        <v>0</v>
      </c>
      <c r="DF90" s="40">
        <f>Tabelle5897112140[[#This Row],[Durchschnittsauslastung durch]]*Tabelle5897112140[[#This Row],[installierte Leistung MW durch]]</f>
        <v>5.3457777777777773</v>
      </c>
      <c r="DG90" s="40">
        <f>Tabelle5897112140[[#This Row],[Durchschnittsauslastung max]]*Tabelle5897112140[[#This Row],[installierte Leistung MW max]]</f>
        <v>21.975999999999999</v>
      </c>
      <c r="DH90" s="46">
        <f>Tabelle5897112140[[#This Row],[Maximalauslastung min]]*Tabelle5897112140[[#This Row],[installierte Leistung MW min]]</f>
        <v>2.4000000000000028E-2</v>
      </c>
      <c r="DI90" s="46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0">
        <f>Tabelle5897112140[[#This Row],[Durchschnittsauslastung min]]*Tabelle5897112140[[#This Row],[installierte Leistung MW min]]</f>
        <v>0</v>
      </c>
      <c r="DF91" s="40">
        <f>Tabelle5897112140[[#This Row],[Durchschnittsauslastung durch]]*Tabelle5897112140[[#This Row],[installierte Leistung MW durch]]</f>
        <v>5.3457777777777773</v>
      </c>
      <c r="DG91" s="40">
        <f>Tabelle5897112140[[#This Row],[Durchschnittsauslastung max]]*Tabelle5897112140[[#This Row],[installierte Leistung MW max]]</f>
        <v>21.975999999999999</v>
      </c>
      <c r="DH91" s="46">
        <f>Tabelle5897112140[[#This Row],[Maximalauslastung min]]*Tabelle5897112140[[#This Row],[installierte Leistung MW min]]</f>
        <v>3.5999999999999996</v>
      </c>
      <c r="DI91" s="46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0">
        <f>Tabelle5897112140[[#This Row],[Durchschnittsauslastung min]]*Tabelle5897112140[[#This Row],[installierte Leistung MW min]]</f>
        <v>0</v>
      </c>
      <c r="DF92" s="40">
        <f>Tabelle5897112140[[#This Row],[Durchschnittsauslastung durch]]*Tabelle5897112140[[#This Row],[installierte Leistung MW durch]]</f>
        <v>5.3457777777777773</v>
      </c>
      <c r="DG92" s="40">
        <f>Tabelle5897112140[[#This Row],[Durchschnittsauslastung max]]*Tabelle5897112140[[#This Row],[installierte Leistung MW max]]</f>
        <v>21.975999999999999</v>
      </c>
      <c r="DH92" s="46">
        <f>Tabelle5897112140[[#This Row],[Maximalauslastung min]]*Tabelle5897112140[[#This Row],[installierte Leistung MW min]]</f>
        <v>3.5999999999999996</v>
      </c>
      <c r="DI92" s="46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0">
        <f>Tabelle5897112140[[#This Row],[Durchschnittsauslastung min]]*Tabelle5897112140[[#This Row],[installierte Leistung MW min]]</f>
        <v>0</v>
      </c>
      <c r="DF93" s="40">
        <f>Tabelle5897112140[[#This Row],[Durchschnittsauslastung durch]]*Tabelle5897112140[[#This Row],[installierte Leistung MW durch]]</f>
        <v>5.3457777777777773</v>
      </c>
      <c r="DG93" s="40">
        <f>Tabelle5897112140[[#This Row],[Durchschnittsauslastung max]]*Tabelle5897112140[[#This Row],[installierte Leistung MW max]]</f>
        <v>21.975999999999999</v>
      </c>
      <c r="DH93" s="46">
        <f>Tabelle5897112140[[#This Row],[Maximalauslastung min]]*Tabelle5897112140[[#This Row],[installierte Leistung MW min]]</f>
        <v>3.5999999999999996</v>
      </c>
      <c r="DI93" s="46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0">
        <f>Tabelle5897112140[[#This Row],[Durchschnittsauslastung min]]*Tabelle5897112140[[#This Row],[installierte Leistung MW min]]</f>
        <v>0</v>
      </c>
      <c r="DF94" s="40">
        <f>Tabelle5897112140[[#This Row],[Durchschnittsauslastung durch]]*Tabelle5897112140[[#This Row],[installierte Leistung MW durch]]</f>
        <v>5.3457777777777773</v>
      </c>
      <c r="DG94" s="40">
        <f>Tabelle5897112140[[#This Row],[Durchschnittsauslastung max]]*Tabelle5897112140[[#This Row],[installierte Leistung MW max]]</f>
        <v>21.975999999999999</v>
      </c>
      <c r="DH94" s="46">
        <f>Tabelle5897112140[[#This Row],[Maximalauslastung min]]*Tabelle5897112140[[#This Row],[installierte Leistung MW min]]</f>
        <v>3.5999999999999996</v>
      </c>
      <c r="DI94" s="46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0">
        <f>Tabelle5897112140[[#This Row],[Durchschnittsauslastung min]]*Tabelle5897112140[[#This Row],[installierte Leistung MW min]]</f>
        <v>0</v>
      </c>
      <c r="DF95" s="40">
        <f>Tabelle5897112140[[#This Row],[Durchschnittsauslastung durch]]*Tabelle5897112140[[#This Row],[installierte Leistung MW durch]]</f>
        <v>5.3457777777777773</v>
      </c>
      <c r="DG95" s="40">
        <f>Tabelle5897112140[[#This Row],[Durchschnittsauslastung max]]*Tabelle5897112140[[#This Row],[installierte Leistung MW max]]</f>
        <v>21.975999999999999</v>
      </c>
      <c r="DH95" s="46">
        <f>Tabelle5897112140[[#This Row],[Maximalauslastung min]]*Tabelle5897112140[[#This Row],[installierte Leistung MW min]]</f>
        <v>3.5999999999999996</v>
      </c>
      <c r="DI95" s="46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0">
        <f>Tabelle5897112140[[#This Row],[Durchschnittsauslastung min]]*Tabelle5897112140[[#This Row],[installierte Leistung MW min]]</f>
        <v>0</v>
      </c>
      <c r="DF96" s="40">
        <f>Tabelle5897112140[[#This Row],[Durchschnittsauslastung durch]]*Tabelle5897112140[[#This Row],[installierte Leistung MW durch]]</f>
        <v>5.3457777777777773</v>
      </c>
      <c r="DG96" s="40">
        <f>Tabelle5897112140[[#This Row],[Durchschnittsauslastung max]]*Tabelle5897112140[[#This Row],[installierte Leistung MW max]]</f>
        <v>21.975999999999999</v>
      </c>
      <c r="DH96" s="46">
        <f>Tabelle5897112140[[#This Row],[Maximalauslastung min]]*Tabelle5897112140[[#This Row],[installierte Leistung MW min]]</f>
        <v>3.5999999999999996</v>
      </c>
      <c r="DI96" s="46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0">
        <f>Tabelle5897112140[[#This Row],[Durchschnittsauslastung min]]*Tabelle5897112140[[#This Row],[installierte Leistung MW min]]</f>
        <v>0</v>
      </c>
      <c r="DF97" s="40">
        <f>Tabelle5897112140[[#This Row],[Durchschnittsauslastung durch]]*Tabelle5897112140[[#This Row],[installierte Leistung MW durch]]</f>
        <v>5.3457777777777773</v>
      </c>
      <c r="DG97" s="40">
        <f>Tabelle5897112140[[#This Row],[Durchschnittsauslastung max]]*Tabelle5897112140[[#This Row],[installierte Leistung MW max]]</f>
        <v>21.975999999999999</v>
      </c>
      <c r="DH97" s="46">
        <f>Tabelle5897112140[[#This Row],[Maximalauslastung min]]*Tabelle5897112140[[#This Row],[installierte Leistung MW min]]</f>
        <v>3.5999999999999996</v>
      </c>
      <c r="DI97" s="46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0">
        <f>Tabelle5897112140[[#This Row],[Durchschnittsauslastung min]]*Tabelle5897112140[[#This Row],[installierte Leistung MW min]]</f>
        <v>0</v>
      </c>
      <c r="DF98" s="40">
        <f>Tabelle5897112140[[#This Row],[Durchschnittsauslastung durch]]*Tabelle5897112140[[#This Row],[installierte Leistung MW durch]]</f>
        <v>12.376666666666669</v>
      </c>
      <c r="DG98" s="40">
        <f>Tabelle5897112140[[#This Row],[Durchschnittsauslastung max]]*Tabelle5897112140[[#This Row],[installierte Leistung MW max]]</f>
        <v>71.600000000000009</v>
      </c>
      <c r="DH98" s="46">
        <f>Tabelle5897112140[[#This Row],[Maximalauslastung min]]*Tabelle5897112140[[#This Row],[installierte Leistung MW min]]</f>
        <v>47.38</v>
      </c>
      <c r="DI98" s="46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0">
        <f>Tabelle5897112140[[#This Row],[Durchschnittsauslastung min]]*Tabelle5897112140[[#This Row],[installierte Leistung MW min]]</f>
        <v>0</v>
      </c>
      <c r="DF99" s="40">
        <f>Tabelle5897112140[[#This Row],[Durchschnittsauslastung durch]]*Tabelle5897112140[[#This Row],[installierte Leistung MW durch]]</f>
        <v>14.233166666666669</v>
      </c>
      <c r="DG99" s="40">
        <f>Tabelle5897112140[[#This Row],[Durchschnittsauslastung max]]*Tabelle5897112140[[#This Row],[installierte Leistung MW max]]</f>
        <v>82.34</v>
      </c>
      <c r="DH99" s="46">
        <f>Tabelle5897112140[[#This Row],[Maximalauslastung min]]*Tabelle5897112140[[#This Row],[installierte Leistung MW min]]</f>
        <v>43.826500000000003</v>
      </c>
      <c r="DI99" s="46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0">
        <f>Tabelle5897112140[[#This Row],[Durchschnittsauslastung min]]*Tabelle5897112140[[#This Row],[installierte Leistung MW min]]</f>
        <v>0</v>
      </c>
      <c r="DF100" s="40">
        <f>Tabelle5897112140[[#This Row],[Durchschnittsauslastung durch]]*Tabelle5897112140[[#This Row],[installierte Leistung MW durch]]</f>
        <v>16.337200000000003</v>
      </c>
      <c r="DG100" s="40">
        <f>Tabelle5897112140[[#This Row],[Durchschnittsauslastung max]]*Tabelle5897112140[[#This Row],[installierte Leistung MW max]]</f>
        <v>94.512</v>
      </c>
      <c r="DH100" s="46">
        <f>Tabelle5897112140[[#This Row],[Maximalauslastung min]]*Tabelle5897112140[[#This Row],[installierte Leistung MW min]]</f>
        <v>50.305199999999999</v>
      </c>
      <c r="DI100" s="46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0">
        <f>Tabelle5897112140[[#This Row],[Durchschnittsauslastung min]]*Tabelle5897112140[[#This Row],[installierte Leistung MW min]]</f>
        <v>0</v>
      </c>
      <c r="DF101" s="40">
        <f>Tabelle5897112140[[#This Row],[Durchschnittsauslastung durch]]*Tabelle5897112140[[#This Row],[installierte Leistung MW durch]]</f>
        <v>18.936300000000003</v>
      </c>
      <c r="DG101" s="40">
        <f>Tabelle5897112140[[#This Row],[Durchschnittsauslastung max]]*Tabelle5897112140[[#This Row],[installierte Leistung MW max]]</f>
        <v>109.548</v>
      </c>
      <c r="DH101" s="46">
        <f>Tabelle5897112140[[#This Row],[Maximalauslastung min]]*Tabelle5897112140[[#This Row],[installierte Leistung MW min]]</f>
        <v>58.308300000000003</v>
      </c>
      <c r="DI101" s="46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0">
        <f>Tabelle5897112140[[#This Row],[Durchschnittsauslastung min]]*Tabelle5897112140[[#This Row],[installierte Leistung MW min]]</f>
        <v>0</v>
      </c>
      <c r="DF102" s="40">
        <f>Tabelle5897112140[[#This Row],[Durchschnittsauslastung durch]]*Tabelle5897112140[[#This Row],[installierte Leistung MW durch]]</f>
        <v>22.030466666666669</v>
      </c>
      <c r="DG102" s="40">
        <f>Tabelle5897112140[[#This Row],[Durchschnittsauslastung max]]*Tabelle5897112140[[#This Row],[installierte Leistung MW max]]</f>
        <v>127.44800000000001</v>
      </c>
      <c r="DH102" s="46">
        <f>Tabelle5897112140[[#This Row],[Maximalauslastung min]]*Tabelle5897112140[[#This Row],[installierte Leistung MW min]]</f>
        <v>67.835800000000006</v>
      </c>
      <c r="DI102" s="46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0">
        <f>Tabelle5897112140[[#This Row],[Durchschnittsauslastung min]]*Tabelle5897112140[[#This Row],[installierte Leistung MW min]]</f>
        <v>0</v>
      </c>
      <c r="DF103" s="40">
        <f>Tabelle5897112140[[#This Row],[Durchschnittsauslastung durch]]*Tabelle5897112140[[#This Row],[installierte Leistung MW durch]]</f>
        <v>25.743466666666666</v>
      </c>
      <c r="DG103" s="40">
        <f>Tabelle5897112140[[#This Row],[Durchschnittsauslastung max]]*Tabelle5897112140[[#This Row],[installierte Leistung MW max]]</f>
        <v>148.928</v>
      </c>
      <c r="DH103" s="46">
        <f>Tabelle5897112140[[#This Row],[Maximalauslastung min]]*Tabelle5897112140[[#This Row],[installierte Leistung MW min]]</f>
        <v>79.268799999999999</v>
      </c>
      <c r="DI103" s="46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0">
        <f>Tabelle5897112140[[#This Row],[Durchschnittsauslastung min]]*Tabelle5897112140[[#This Row],[installierte Leistung MW min]]</f>
        <v>0</v>
      </c>
      <c r="DF104" s="40">
        <f>Tabelle5897112140[[#This Row],[Durchschnittsauslastung durch]]*Tabelle5897112140[[#This Row],[installierte Leistung MW durch]]</f>
        <v>30.322833333333335</v>
      </c>
      <c r="DG104" s="40">
        <f>Tabelle5897112140[[#This Row],[Durchschnittsauslastung max]]*Tabelle5897112140[[#This Row],[installierte Leistung MW max]]</f>
        <v>175.42000000000002</v>
      </c>
      <c r="DH104" s="46">
        <f>Tabelle5897112140[[#This Row],[Maximalauslastung min]]*Tabelle5897112140[[#This Row],[installierte Leistung MW min]]</f>
        <v>93.369500000000002</v>
      </c>
      <c r="DI104" s="46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0">
        <f>Tabelle5897112140[[#This Row],[Durchschnittsauslastung min]]*Tabelle5897112140[[#This Row],[installierte Leistung MW min]]</f>
        <v>0</v>
      </c>
      <c r="DF105" s="40">
        <f>Tabelle5897112140[[#This Row],[Durchschnittsauslastung durch]]*Tabelle5897112140[[#This Row],[installierte Leistung MW durch]]</f>
        <v>35.892333333333333</v>
      </c>
      <c r="DG105" s="40">
        <f>Tabelle5897112140[[#This Row],[Durchschnittsauslastung max]]*Tabelle5897112140[[#This Row],[installierte Leistung MW max]]</f>
        <v>207.64000000000001</v>
      </c>
      <c r="DH105" s="46">
        <f>Tabelle5897112140[[#This Row],[Maximalauslastung min]]*Tabelle5897112140[[#This Row],[installierte Leistung MW min]]</f>
        <v>110.51899999999999</v>
      </c>
      <c r="DI105" s="46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0">
        <f>Tabelle5897112140[[#This Row],[Durchschnittsauslastung min]]*Tabelle5897112140[[#This Row],[installierte Leistung MW min]]</f>
        <v>177.84</v>
      </c>
      <c r="DF106" s="40">
        <f>Tabelle5897112140[[#This Row],[Durchschnittsauslastung durch]]*Tabelle5897112140[[#This Row],[installierte Leistung MW durch]]</f>
        <v>285.13333333333338</v>
      </c>
      <c r="DG106" s="40">
        <f>Tabelle5897112140[[#This Row],[Durchschnittsauslastung max]]*Tabelle5897112140[[#This Row],[installierte Leistung MW max]]</f>
        <v>388.7</v>
      </c>
      <c r="DH106" s="46">
        <f>Tabelle5897112140[[#This Row],[Maximalauslastung min]]*Tabelle5897112140[[#This Row],[installierte Leistung MW min]]</f>
        <v>126.53999999999999</v>
      </c>
      <c r="DI106" s="46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0">
        <f>Tabelle5897112140[[#This Row],[Durchschnittsauslastung min]]*Tabelle5897112140[[#This Row],[installierte Leistung MW min]]</f>
        <v>204.51600000000002</v>
      </c>
      <c r="DF107" s="40">
        <f>Tabelle5897112140[[#This Row],[Durchschnittsauslastung durch]]*Tabelle5897112140[[#This Row],[installierte Leistung MW durch]]</f>
        <v>327.90333333333342</v>
      </c>
      <c r="DG107" s="40">
        <f>Tabelle5897112140[[#This Row],[Durchschnittsauslastung max]]*Tabelle5897112140[[#This Row],[installierte Leistung MW max]]</f>
        <v>447.00500000000005</v>
      </c>
      <c r="DH107" s="46">
        <f>Tabelle5897112140[[#This Row],[Maximalauslastung min]]*Tabelle5897112140[[#This Row],[installierte Leistung MW min]]</f>
        <v>0</v>
      </c>
      <c r="DI107" s="46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0">
        <f>Tabelle5897112140[[#This Row],[Durchschnittsauslastung min]]*Tabelle5897112140[[#This Row],[installierte Leistung MW min]]</f>
        <v>234.74880000000002</v>
      </c>
      <c r="DF108" s="40">
        <f>Tabelle5897112140[[#This Row],[Durchschnittsauslastung durch]]*Tabelle5897112140[[#This Row],[installierte Leistung MW durch]]</f>
        <v>376.37600000000009</v>
      </c>
      <c r="DG108" s="40">
        <f>Tabelle5897112140[[#This Row],[Durchschnittsauslastung max]]*Tabelle5897112140[[#This Row],[installierte Leistung MW max]]</f>
        <v>513.08400000000006</v>
      </c>
      <c r="DH108" s="46">
        <f>Tabelle5897112140[[#This Row],[Maximalauslastung min]]*Tabelle5897112140[[#This Row],[installierte Leistung MW min]]</f>
        <v>0</v>
      </c>
      <c r="DI108" s="46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0">
        <f>Tabelle5897112140[[#This Row],[Durchschnittsauslastung min]]*Tabelle5897112140[[#This Row],[installierte Leistung MW min]]</f>
        <v>272.09519999999998</v>
      </c>
      <c r="DF109" s="40">
        <f>Tabelle5897112140[[#This Row],[Durchschnittsauslastung durch]]*Tabelle5897112140[[#This Row],[installierte Leistung MW durch]]</f>
        <v>436.25400000000013</v>
      </c>
      <c r="DG109" s="40">
        <f>Tabelle5897112140[[#This Row],[Durchschnittsauslastung max]]*Tabelle5897112140[[#This Row],[installierte Leistung MW max]]</f>
        <v>594.71100000000001</v>
      </c>
      <c r="DH109" s="46">
        <f>Tabelle5897112140[[#This Row],[Maximalauslastung min]]*Tabelle5897112140[[#This Row],[installierte Leistung MW min]]</f>
        <v>0</v>
      </c>
      <c r="DI109" s="46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0">
        <f>Tabelle5897112140[[#This Row],[Durchschnittsauslastung min]]*Tabelle5897112140[[#This Row],[installierte Leistung MW min]]</f>
        <v>316.55520000000001</v>
      </c>
      <c r="DF110" s="40">
        <f>Tabelle5897112140[[#This Row],[Durchschnittsauslastung durch]]*Tabelle5897112140[[#This Row],[installierte Leistung MW durch]]</f>
        <v>507.53733333333344</v>
      </c>
      <c r="DG110" s="40">
        <f>Tabelle5897112140[[#This Row],[Durchschnittsauslastung max]]*Tabelle5897112140[[#This Row],[installierte Leistung MW max]]</f>
        <v>691.88600000000008</v>
      </c>
      <c r="DH110" s="46">
        <f>Tabelle5897112140[[#This Row],[Maximalauslastung min]]*Tabelle5897112140[[#This Row],[installierte Leistung MW min]]</f>
        <v>0</v>
      </c>
      <c r="DI110" s="46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0">
        <f>Tabelle5897112140[[#This Row],[Durchschnittsauslastung min]]*Tabelle5897112140[[#This Row],[installierte Leistung MW min]]</f>
        <v>369.90720000000005</v>
      </c>
      <c r="DF111" s="40">
        <f>Tabelle5897112140[[#This Row],[Durchschnittsauslastung durch]]*Tabelle5897112140[[#This Row],[installierte Leistung MW durch]]</f>
        <v>593.07733333333351</v>
      </c>
      <c r="DG111" s="40">
        <f>Tabelle5897112140[[#This Row],[Durchschnittsauslastung max]]*Tabelle5897112140[[#This Row],[installierte Leistung MW max]]</f>
        <v>808.49599999999998</v>
      </c>
      <c r="DH111" s="46">
        <f>Tabelle5897112140[[#This Row],[Maximalauslastung min]]*Tabelle5897112140[[#This Row],[installierte Leistung MW min]]</f>
        <v>0</v>
      </c>
      <c r="DI111" s="46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0">
        <f>Tabelle5897112140[[#This Row],[Durchschnittsauslastung min]]*Tabelle5897112140[[#This Row],[installierte Leistung MW min]]</f>
        <v>435.70800000000003</v>
      </c>
      <c r="DF112" s="40">
        <f>Tabelle5897112140[[#This Row],[Durchschnittsauslastung durch]]*Tabelle5897112140[[#This Row],[installierte Leistung MW durch]]</f>
        <v>698.57666666666682</v>
      </c>
      <c r="DG112" s="40">
        <f>Tabelle5897112140[[#This Row],[Durchschnittsauslastung max]]*Tabelle5897112140[[#This Row],[installierte Leistung MW max]]</f>
        <v>952.31499999999994</v>
      </c>
      <c r="DH112" s="46">
        <f>Tabelle5897112140[[#This Row],[Maximalauslastung min]]*Tabelle5897112140[[#This Row],[installierte Leistung MW min]]</f>
        <v>0</v>
      </c>
      <c r="DI112" s="46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0">
        <f>Tabelle5897112140[[#This Row],[Durchschnittsauslastung min]]*Tabelle5897112140[[#This Row],[installierte Leistung MW min]]</f>
        <v>515.73599999999999</v>
      </c>
      <c r="DF113" s="40">
        <f>Tabelle5897112140[[#This Row],[Durchschnittsauslastung durch]]*Tabelle5897112140[[#This Row],[installierte Leistung MW durch]]</f>
        <v>826.88666666666688</v>
      </c>
      <c r="DG113" s="40">
        <f>Tabelle5897112140[[#This Row],[Durchschnittsauslastung max]]*Tabelle5897112140[[#This Row],[installierte Leistung MW max]]</f>
        <v>1127.23</v>
      </c>
      <c r="DH113" s="46">
        <f>Tabelle5897112140[[#This Row],[Maximalauslastung min]]*Tabelle5897112140[[#This Row],[installierte Leistung MW min]]</f>
        <v>0</v>
      </c>
      <c r="DI113" s="46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0">
        <f>Tabelle5897112140[[#This Row],[Durchschnittsauslastung min]]*Tabelle5897112140[[#This Row],[installierte Leistung MW min]]</f>
        <v>13.5</v>
      </c>
      <c r="DF114" s="40">
        <f>Tabelle5897112140[[#This Row],[Durchschnittsauslastung durch]]*Tabelle5897112140[[#This Row],[installierte Leistung MW durch]]</f>
        <v>33.733333333333334</v>
      </c>
      <c r="DG114" s="40">
        <f>Tabelle5897112140[[#This Row],[Durchschnittsauslastung max]]*Tabelle5897112140[[#This Row],[installierte Leistung MW max]]</f>
        <v>60.9</v>
      </c>
      <c r="DH114" s="46">
        <f>Tabelle5897112140[[#This Row],[Maximalauslastung min]]*Tabelle5897112140[[#This Row],[installierte Leistung MW min]]</f>
        <v>0</v>
      </c>
      <c r="DI114" s="46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0">
        <f>Tabelle5897112140[[#This Row],[Durchschnittsauslastung min]]*Tabelle5897112140[[#This Row],[installierte Leistung MW min]]</f>
        <v>15.524999999999999</v>
      </c>
      <c r="DF115" s="40">
        <f>Tabelle5897112140[[#This Row],[Durchschnittsauslastung durch]]*Tabelle5897112140[[#This Row],[installierte Leistung MW durch]]</f>
        <v>38.793333333333329</v>
      </c>
      <c r="DG115" s="40">
        <f>Tabelle5897112140[[#This Row],[Durchschnittsauslastung max]]*Tabelle5897112140[[#This Row],[installierte Leistung MW max]]</f>
        <v>70.034999999999997</v>
      </c>
      <c r="DH115" s="46">
        <f>Tabelle5897112140[[#This Row],[Maximalauslastung min]]*Tabelle5897112140[[#This Row],[installierte Leistung MW min]]</f>
        <v>0.17250000000000018</v>
      </c>
      <c r="DI115" s="46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0">
        <f>Tabelle5897112140[[#This Row],[Durchschnittsauslastung min]]*Tabelle5897112140[[#This Row],[installierte Leistung MW min]]</f>
        <v>17.82</v>
      </c>
      <c r="DF116" s="40">
        <f>Tabelle5897112140[[#This Row],[Durchschnittsauslastung durch]]*Tabelle5897112140[[#This Row],[installierte Leistung MW durch]]</f>
        <v>44.527999999999992</v>
      </c>
      <c r="DG116" s="40">
        <f>Tabelle5897112140[[#This Row],[Durchschnittsauslastung max]]*Tabelle5897112140[[#This Row],[installierte Leistung MW max]]</f>
        <v>80.388000000000005</v>
      </c>
      <c r="DH116" s="46">
        <f>Tabelle5897112140[[#This Row],[Maximalauslastung min]]*Tabelle5897112140[[#This Row],[installierte Leistung MW min]]</f>
        <v>0.19800000000000023</v>
      </c>
      <c r="DI116" s="46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0">
        <f>Tabelle5897112140[[#This Row],[Durchschnittsauslastung min]]*Tabelle5897112140[[#This Row],[installierte Leistung MW min]]</f>
        <v>20.654999999999998</v>
      </c>
      <c r="DF117" s="40">
        <f>Tabelle5897112140[[#This Row],[Durchschnittsauslastung durch]]*Tabelle5897112140[[#This Row],[installierte Leistung MW durch]]</f>
        <v>51.612000000000002</v>
      </c>
      <c r="DG117" s="40">
        <f>Tabelle5897112140[[#This Row],[Durchschnittsauslastung max]]*Tabelle5897112140[[#This Row],[installierte Leistung MW max]]</f>
        <v>93.176999999999992</v>
      </c>
      <c r="DH117" s="46">
        <f>Tabelle5897112140[[#This Row],[Maximalauslastung min]]*Tabelle5897112140[[#This Row],[installierte Leistung MW min]]</f>
        <v>0.22950000000000026</v>
      </c>
      <c r="DI117" s="46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0">
        <f>Tabelle5897112140[[#This Row],[Durchschnittsauslastung min]]*Tabelle5897112140[[#This Row],[installierte Leistung MW min]]</f>
        <v>24.029999999999998</v>
      </c>
      <c r="DF118" s="40">
        <f>Tabelle5897112140[[#This Row],[Durchschnittsauslastung durch]]*Tabelle5897112140[[#This Row],[installierte Leistung MW durch]]</f>
        <v>60.045333333333332</v>
      </c>
      <c r="DG118" s="40">
        <f>Tabelle5897112140[[#This Row],[Durchschnittsauslastung max]]*Tabelle5897112140[[#This Row],[installierte Leistung MW max]]</f>
        <v>108.402</v>
      </c>
      <c r="DH118" s="46">
        <f>Tabelle5897112140[[#This Row],[Maximalauslastung min]]*Tabelle5897112140[[#This Row],[installierte Leistung MW min]]</f>
        <v>0.26700000000000029</v>
      </c>
      <c r="DI118" s="46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0">
        <f>Tabelle5897112140[[#This Row],[Durchschnittsauslastung min]]*Tabelle5897112140[[#This Row],[installierte Leistung MW min]]</f>
        <v>28.08</v>
      </c>
      <c r="DF119" s="40">
        <f>Tabelle5897112140[[#This Row],[Durchschnittsauslastung durch]]*Tabelle5897112140[[#This Row],[installierte Leistung MW durch]]</f>
        <v>70.165333333333336</v>
      </c>
      <c r="DG119" s="40">
        <f>Tabelle5897112140[[#This Row],[Durchschnittsauslastung max]]*Tabelle5897112140[[#This Row],[installierte Leistung MW max]]</f>
        <v>126.67200000000001</v>
      </c>
      <c r="DH119" s="46">
        <f>Tabelle5897112140[[#This Row],[Maximalauslastung min]]*Tabelle5897112140[[#This Row],[installierte Leistung MW min]]</f>
        <v>0.31200000000000033</v>
      </c>
      <c r="DI119" s="46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0">
        <f>Tabelle5897112140[[#This Row],[Durchschnittsauslastung min]]*Tabelle5897112140[[#This Row],[installierte Leistung MW min]]</f>
        <v>33.074999999999996</v>
      </c>
      <c r="DF120" s="40">
        <f>Tabelle5897112140[[#This Row],[Durchschnittsauslastung durch]]*Tabelle5897112140[[#This Row],[installierte Leistung MW durch]]</f>
        <v>82.646666666666661</v>
      </c>
      <c r="DG120" s="40">
        <f>Tabelle5897112140[[#This Row],[Durchschnittsauslastung max]]*Tabelle5897112140[[#This Row],[installierte Leistung MW max]]</f>
        <v>149.20499999999998</v>
      </c>
      <c r="DH120" s="46">
        <f>Tabelle5897112140[[#This Row],[Maximalauslastung min]]*Tabelle5897112140[[#This Row],[installierte Leistung MW min]]</f>
        <v>0.36750000000000038</v>
      </c>
      <c r="DI120" s="46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0">
        <f>Tabelle5897112140[[#This Row],[Durchschnittsauslastung min]]*Tabelle5897112140[[#This Row],[installierte Leistung MW min]]</f>
        <v>39.15</v>
      </c>
      <c r="DF121" s="40">
        <f>Tabelle5897112140[[#This Row],[Durchschnittsauslastung durch]]*Tabelle5897112140[[#This Row],[installierte Leistung MW durch]]</f>
        <v>97.826666666666654</v>
      </c>
      <c r="DG121" s="40">
        <f>Tabelle5897112140[[#This Row],[Durchschnittsauslastung max]]*Tabelle5897112140[[#This Row],[installierte Leistung MW max]]</f>
        <v>176.60999999999999</v>
      </c>
      <c r="DH121" s="46">
        <f>Tabelle5897112140[[#This Row],[Maximalauslastung min]]*Tabelle5897112140[[#This Row],[installierte Leistung MW min]]</f>
        <v>0.4350000000000005</v>
      </c>
      <c r="DI121" s="46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0">
        <f>Tabelle5897112140[[#This Row],[Durchschnittsauslastung min]]*Tabelle5897112140[[#This Row],[installierte Leistung MW min]]</f>
        <v>0</v>
      </c>
      <c r="DF122" s="40">
        <f>Tabelle5897112140[[#This Row],[Durchschnittsauslastung durch]]*Tabelle5897112140[[#This Row],[installierte Leistung MW durch]]</f>
        <v>91.622222222222234</v>
      </c>
      <c r="DG122" s="40">
        <f>Tabelle5897112140[[#This Row],[Durchschnittsauslastung max]]*Tabelle5897112140[[#This Row],[installierte Leistung MW max]]</f>
        <v>471.53</v>
      </c>
      <c r="DH122" s="46">
        <f>Tabelle5897112140[[#This Row],[Maximalauslastung min]]*Tabelle5897112140[[#This Row],[installierte Leistung MW min]]</f>
        <v>0</v>
      </c>
      <c r="DI122" s="46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0">
        <f>Tabelle5897112140[[#This Row],[Durchschnittsauslastung min]]*Tabelle5897112140[[#This Row],[installierte Leistung MW min]]</f>
        <v>0</v>
      </c>
      <c r="DF123" s="40">
        <f>Tabelle5897112140[[#This Row],[Durchschnittsauslastung durch]]*Tabelle5897112140[[#This Row],[installierte Leistung MW durch]]</f>
        <v>91.622222222222234</v>
      </c>
      <c r="DG123" s="40">
        <f>Tabelle5897112140[[#This Row],[Durchschnittsauslastung max]]*Tabelle5897112140[[#This Row],[installierte Leistung MW max]]</f>
        <v>471.53</v>
      </c>
      <c r="DH123" s="46">
        <f>Tabelle5897112140[[#This Row],[Maximalauslastung min]]*Tabelle5897112140[[#This Row],[installierte Leistung MW min]]</f>
        <v>144.82</v>
      </c>
      <c r="DI123" s="46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0">
        <f>Tabelle5897112140[[#This Row],[Durchschnittsauslastung min]]*Tabelle5897112140[[#This Row],[installierte Leistung MW min]]</f>
        <v>0</v>
      </c>
      <c r="DF124" s="40">
        <f>Tabelle5897112140[[#This Row],[Durchschnittsauslastung durch]]*Tabelle5897112140[[#This Row],[installierte Leistung MW durch]]</f>
        <v>91.622222222222234</v>
      </c>
      <c r="DG124" s="40">
        <f>Tabelle5897112140[[#This Row],[Durchschnittsauslastung max]]*Tabelle5897112140[[#This Row],[installierte Leistung MW max]]</f>
        <v>471.53</v>
      </c>
      <c r="DH124" s="46">
        <f>Tabelle5897112140[[#This Row],[Maximalauslastung min]]*Tabelle5897112140[[#This Row],[installierte Leistung MW min]]</f>
        <v>144.82</v>
      </c>
      <c r="DI124" s="46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0">
        <f>Tabelle5897112140[[#This Row],[Durchschnittsauslastung min]]*Tabelle5897112140[[#This Row],[installierte Leistung MW min]]</f>
        <v>0</v>
      </c>
      <c r="DF125" s="40">
        <f>Tabelle5897112140[[#This Row],[Durchschnittsauslastung durch]]*Tabelle5897112140[[#This Row],[installierte Leistung MW durch]]</f>
        <v>91.622222222222234</v>
      </c>
      <c r="DG125" s="40">
        <f>Tabelle5897112140[[#This Row],[Durchschnittsauslastung max]]*Tabelle5897112140[[#This Row],[installierte Leistung MW max]]</f>
        <v>471.53</v>
      </c>
      <c r="DH125" s="46">
        <f>Tabelle5897112140[[#This Row],[Maximalauslastung min]]*Tabelle5897112140[[#This Row],[installierte Leistung MW min]]</f>
        <v>144.82</v>
      </c>
      <c r="DI125" s="46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0">
        <f>Tabelle5897112140[[#This Row],[Durchschnittsauslastung min]]*Tabelle5897112140[[#This Row],[installierte Leistung MW min]]</f>
        <v>0</v>
      </c>
      <c r="DF126" s="40">
        <f>Tabelle5897112140[[#This Row],[Durchschnittsauslastung durch]]*Tabelle5897112140[[#This Row],[installierte Leistung MW durch]]</f>
        <v>91.622222222222234</v>
      </c>
      <c r="DG126" s="40">
        <f>Tabelle5897112140[[#This Row],[Durchschnittsauslastung max]]*Tabelle5897112140[[#This Row],[installierte Leistung MW max]]</f>
        <v>471.53</v>
      </c>
      <c r="DH126" s="46">
        <f>Tabelle5897112140[[#This Row],[Maximalauslastung min]]*Tabelle5897112140[[#This Row],[installierte Leistung MW min]]</f>
        <v>144.82</v>
      </c>
      <c r="DI126" s="46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0">
        <f>Tabelle5897112140[[#This Row],[Durchschnittsauslastung min]]*Tabelle5897112140[[#This Row],[installierte Leistung MW min]]</f>
        <v>0</v>
      </c>
      <c r="DF127" s="40">
        <f>Tabelle5897112140[[#This Row],[Durchschnittsauslastung durch]]*Tabelle5897112140[[#This Row],[installierte Leistung MW durch]]</f>
        <v>91.622222222222234</v>
      </c>
      <c r="DG127" s="40">
        <f>Tabelle5897112140[[#This Row],[Durchschnittsauslastung max]]*Tabelle5897112140[[#This Row],[installierte Leistung MW max]]</f>
        <v>471.53</v>
      </c>
      <c r="DH127" s="46">
        <f>Tabelle5897112140[[#This Row],[Maximalauslastung min]]*Tabelle5897112140[[#This Row],[installierte Leistung MW min]]</f>
        <v>144.82</v>
      </c>
      <c r="DI127" s="46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0">
        <f>Tabelle5897112140[[#This Row],[Durchschnittsauslastung min]]*Tabelle5897112140[[#This Row],[installierte Leistung MW min]]</f>
        <v>0</v>
      </c>
      <c r="DF128" s="40">
        <f>Tabelle5897112140[[#This Row],[Durchschnittsauslastung durch]]*Tabelle5897112140[[#This Row],[installierte Leistung MW durch]]</f>
        <v>92.538444444444465</v>
      </c>
      <c r="DG128" s="40">
        <f>Tabelle5897112140[[#This Row],[Durchschnittsauslastung max]]*Tabelle5897112140[[#This Row],[installierte Leistung MW max]]</f>
        <v>476.24529999999999</v>
      </c>
      <c r="DH128" s="46">
        <f>Tabelle5897112140[[#This Row],[Maximalauslastung min]]*Tabelle5897112140[[#This Row],[installierte Leistung MW min]]</f>
        <v>146.26820000000001</v>
      </c>
      <c r="DI128" s="46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0">
        <f>Tabelle5897112140[[#This Row],[Durchschnittsauslastung min]]*Tabelle5897112140[[#This Row],[installierte Leistung MW min]]</f>
        <v>0</v>
      </c>
      <c r="DF129" s="40">
        <f>Tabelle5897112140[[#This Row],[Durchschnittsauslastung durch]]*Tabelle5897112140[[#This Row],[installierte Leistung MW durch]]</f>
        <v>92.538444444444465</v>
      </c>
      <c r="DG129" s="40">
        <f>Tabelle5897112140[[#This Row],[Durchschnittsauslastung max]]*Tabelle5897112140[[#This Row],[installierte Leistung MW max]]</f>
        <v>476.24529999999999</v>
      </c>
      <c r="DH129" s="46">
        <f>Tabelle5897112140[[#This Row],[Maximalauslastung min]]*Tabelle5897112140[[#This Row],[installierte Leistung MW min]]</f>
        <v>146.26820000000001</v>
      </c>
      <c r="DI129" s="46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0">
        <f>Tabelle5897112140[[#This Row],[Durchschnittsauslastung min]]*Tabelle5897112140[[#This Row],[installierte Leistung MW min]]</f>
        <v>270.04000000000002</v>
      </c>
      <c r="DF130" s="40">
        <f>Tabelle5897112140[[#This Row],[Durchschnittsauslastung durch]]*Tabelle5897112140[[#This Row],[installierte Leistung MW durch]]</f>
        <v>658.75666666666666</v>
      </c>
      <c r="DG130" s="40">
        <f>Tabelle5897112140[[#This Row],[Durchschnittsauslastung max]]*Tabelle5897112140[[#This Row],[installierte Leistung MW max]]</f>
        <v>1087.02</v>
      </c>
      <c r="DH130" s="46">
        <f>Tabelle5897112140[[#This Row],[Maximalauslastung min]]*Tabelle5897112140[[#This Row],[installierte Leistung MW min]]</f>
        <v>163.28</v>
      </c>
      <c r="DI130" s="46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0">
        <f>Tabelle5897112140[[#This Row],[Durchschnittsauslastung min]]*Tabelle5897112140[[#This Row],[installierte Leistung MW min]]</f>
        <v>270.04000000000002</v>
      </c>
      <c r="DF131" s="40">
        <f>Tabelle5897112140[[#This Row],[Durchschnittsauslastung durch]]*Tabelle5897112140[[#This Row],[installierte Leistung MW durch]]</f>
        <v>658.75666666666666</v>
      </c>
      <c r="DG131" s="40">
        <f>Tabelle5897112140[[#This Row],[Durchschnittsauslastung max]]*Tabelle5897112140[[#This Row],[installierte Leistung MW max]]</f>
        <v>1087.02</v>
      </c>
      <c r="DH131" s="46">
        <f>Tabelle5897112140[[#This Row],[Maximalauslastung min]]*Tabelle5897112140[[#This Row],[installierte Leistung MW min]]</f>
        <v>188.4</v>
      </c>
      <c r="DI131" s="46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0">
        <f>Tabelle5897112140[[#This Row],[Durchschnittsauslastung min]]*Tabelle5897112140[[#This Row],[installierte Leistung MW min]]</f>
        <v>270.04000000000002</v>
      </c>
      <c r="DF132" s="40">
        <f>Tabelle5897112140[[#This Row],[Durchschnittsauslastung durch]]*Tabelle5897112140[[#This Row],[installierte Leistung MW durch]]</f>
        <v>658.75666666666666</v>
      </c>
      <c r="DG132" s="40">
        <f>Tabelle5897112140[[#This Row],[Durchschnittsauslastung max]]*Tabelle5897112140[[#This Row],[installierte Leistung MW max]]</f>
        <v>1087.02</v>
      </c>
      <c r="DH132" s="46">
        <f>Tabelle5897112140[[#This Row],[Maximalauslastung min]]*Tabelle5897112140[[#This Row],[installierte Leistung MW min]]</f>
        <v>188.4</v>
      </c>
      <c r="DI132" s="46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0">
        <f>Tabelle5897112140[[#This Row],[Durchschnittsauslastung min]]*Tabelle5897112140[[#This Row],[installierte Leistung MW min]]</f>
        <v>270.04000000000002</v>
      </c>
      <c r="DF133" s="40">
        <f>Tabelle5897112140[[#This Row],[Durchschnittsauslastung durch]]*Tabelle5897112140[[#This Row],[installierte Leistung MW durch]]</f>
        <v>658.75666666666666</v>
      </c>
      <c r="DG133" s="40">
        <f>Tabelle5897112140[[#This Row],[Durchschnittsauslastung max]]*Tabelle5897112140[[#This Row],[installierte Leistung MW max]]</f>
        <v>1087.02</v>
      </c>
      <c r="DH133" s="46">
        <f>Tabelle5897112140[[#This Row],[Maximalauslastung min]]*Tabelle5897112140[[#This Row],[installierte Leistung MW min]]</f>
        <v>188.4</v>
      </c>
      <c r="DI133" s="46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0">
        <f>Tabelle5897112140[[#This Row],[Durchschnittsauslastung min]]*Tabelle5897112140[[#This Row],[installierte Leistung MW min]]</f>
        <v>270.04000000000002</v>
      </c>
      <c r="DF134" s="40">
        <f>Tabelle5897112140[[#This Row],[Durchschnittsauslastung durch]]*Tabelle5897112140[[#This Row],[installierte Leistung MW durch]]</f>
        <v>658.75666666666666</v>
      </c>
      <c r="DG134" s="40">
        <f>Tabelle5897112140[[#This Row],[Durchschnittsauslastung max]]*Tabelle5897112140[[#This Row],[installierte Leistung MW max]]</f>
        <v>1087.02</v>
      </c>
      <c r="DH134" s="46">
        <f>Tabelle5897112140[[#This Row],[Maximalauslastung min]]*Tabelle5897112140[[#This Row],[installierte Leistung MW min]]</f>
        <v>188.4</v>
      </c>
      <c r="DI134" s="46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0">
        <f>Tabelle5897112140[[#This Row],[Durchschnittsauslastung min]]*Tabelle5897112140[[#This Row],[installierte Leistung MW min]]</f>
        <v>270.04000000000002</v>
      </c>
      <c r="DF135" s="40">
        <f>Tabelle5897112140[[#This Row],[Durchschnittsauslastung durch]]*Tabelle5897112140[[#This Row],[installierte Leistung MW durch]]</f>
        <v>658.75666666666666</v>
      </c>
      <c r="DG135" s="40">
        <f>Tabelle5897112140[[#This Row],[Durchschnittsauslastung max]]*Tabelle5897112140[[#This Row],[installierte Leistung MW max]]</f>
        <v>1087.02</v>
      </c>
      <c r="DH135" s="46">
        <f>Tabelle5897112140[[#This Row],[Maximalauslastung min]]*Tabelle5897112140[[#This Row],[installierte Leistung MW min]]</f>
        <v>188.4</v>
      </c>
      <c r="DI135" s="46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0">
        <f>Tabelle5897112140[[#This Row],[Durchschnittsauslastung min]]*Tabelle5897112140[[#This Row],[installierte Leistung MW min]]</f>
        <v>272.74039999999997</v>
      </c>
      <c r="DF136" s="40">
        <f>Tabelle5897112140[[#This Row],[Durchschnittsauslastung durch]]*Tabelle5897112140[[#This Row],[installierte Leistung MW durch]]</f>
        <v>665.34423333333336</v>
      </c>
      <c r="DG136" s="40">
        <f>Tabelle5897112140[[#This Row],[Durchschnittsauslastung max]]*Tabelle5897112140[[#This Row],[installierte Leistung MW max]]</f>
        <v>1097.8902</v>
      </c>
      <c r="DH136" s="46">
        <f>Tabelle5897112140[[#This Row],[Maximalauslastung min]]*Tabelle5897112140[[#This Row],[installierte Leistung MW min]]</f>
        <v>190.28399999999999</v>
      </c>
      <c r="DI136" s="46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0">
        <f>Tabelle5897112140[[#This Row],[Durchschnittsauslastung min]]*Tabelle5897112140[[#This Row],[installierte Leistung MW min]]</f>
        <v>272.74039999999997</v>
      </c>
      <c r="DF137" s="40">
        <f>Tabelle5897112140[[#This Row],[Durchschnittsauslastung durch]]*Tabelle5897112140[[#This Row],[installierte Leistung MW durch]]</f>
        <v>665.34423333333336</v>
      </c>
      <c r="DG137" s="40">
        <f>Tabelle5897112140[[#This Row],[Durchschnittsauslastung max]]*Tabelle5897112140[[#This Row],[installierte Leistung MW max]]</f>
        <v>1097.8902</v>
      </c>
      <c r="DH137" s="46">
        <f>Tabelle5897112140[[#This Row],[Maximalauslastung min]]*Tabelle5897112140[[#This Row],[installierte Leistung MW min]]</f>
        <v>190.28399999999999</v>
      </c>
      <c r="DI137" s="46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0">
        <f>Tabelle5897112140[[#This Row],[Durchschnittsauslastung min]]*Tabelle5897112140[[#This Row],[installierte Leistung MW min]]</f>
        <v>25.46</v>
      </c>
      <c r="DF138" s="40">
        <f>Tabelle5897112140[[#This Row],[Durchschnittsauslastung durch]]*Tabelle5897112140[[#This Row],[installierte Leistung MW durch]]</f>
        <v>108.24000000000001</v>
      </c>
      <c r="DG138" s="40">
        <f>Tabelle5897112140[[#This Row],[Durchschnittsauslastung max]]*Tabelle5897112140[[#This Row],[installierte Leistung MW max]]</f>
        <v>209.60000000000002</v>
      </c>
      <c r="DH138" s="46">
        <f>Tabelle5897112140[[#This Row],[Maximalauslastung min]]*Tabelle5897112140[[#This Row],[installierte Leistung MW min]]</f>
        <v>40.199999999999996</v>
      </c>
      <c r="DI138" s="46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0">
        <f>Tabelle5897112140[[#This Row],[Durchschnittsauslastung min]]*Tabelle5897112140[[#This Row],[installierte Leistung MW min]]</f>
        <v>25.46</v>
      </c>
      <c r="DF139" s="40">
        <f>Tabelle5897112140[[#This Row],[Durchschnittsauslastung durch]]*Tabelle5897112140[[#This Row],[installierte Leistung MW durch]]</f>
        <v>108.24000000000001</v>
      </c>
      <c r="DG139" s="40">
        <f>Tabelle5897112140[[#This Row],[Durchschnittsauslastung max]]*Tabelle5897112140[[#This Row],[installierte Leistung MW max]]</f>
        <v>209.60000000000002</v>
      </c>
      <c r="DH139" s="46">
        <f>Tabelle5897112140[[#This Row],[Maximalauslastung min]]*Tabelle5897112140[[#This Row],[installierte Leistung MW min]]</f>
        <v>134</v>
      </c>
      <c r="DI139" s="46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0">
        <f>Tabelle5897112140[[#This Row],[Durchschnittsauslastung min]]*Tabelle5897112140[[#This Row],[installierte Leistung MW min]]</f>
        <v>25.46</v>
      </c>
      <c r="DF140" s="40">
        <f>Tabelle5897112140[[#This Row],[Durchschnittsauslastung durch]]*Tabelle5897112140[[#This Row],[installierte Leistung MW durch]]</f>
        <v>108.24000000000001</v>
      </c>
      <c r="DG140" s="40">
        <f>Tabelle5897112140[[#This Row],[Durchschnittsauslastung max]]*Tabelle5897112140[[#This Row],[installierte Leistung MW max]]</f>
        <v>209.60000000000002</v>
      </c>
      <c r="DH140" s="46">
        <f>Tabelle5897112140[[#This Row],[Maximalauslastung min]]*Tabelle5897112140[[#This Row],[installierte Leistung MW min]]</f>
        <v>134</v>
      </c>
      <c r="DI140" s="46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0">
        <f>Tabelle5897112140[[#This Row],[Durchschnittsauslastung min]]*Tabelle5897112140[[#This Row],[installierte Leistung MW min]]</f>
        <v>25.46</v>
      </c>
      <c r="DF141" s="40">
        <f>Tabelle5897112140[[#This Row],[Durchschnittsauslastung durch]]*Tabelle5897112140[[#This Row],[installierte Leistung MW durch]]</f>
        <v>108.24000000000001</v>
      </c>
      <c r="DG141" s="40">
        <f>Tabelle5897112140[[#This Row],[Durchschnittsauslastung max]]*Tabelle5897112140[[#This Row],[installierte Leistung MW max]]</f>
        <v>209.60000000000002</v>
      </c>
      <c r="DH141" s="46">
        <f>Tabelle5897112140[[#This Row],[Maximalauslastung min]]*Tabelle5897112140[[#This Row],[installierte Leistung MW min]]</f>
        <v>134</v>
      </c>
      <c r="DI141" s="46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0">
        <f>Tabelle5897112140[[#This Row],[Durchschnittsauslastung min]]*Tabelle5897112140[[#This Row],[installierte Leistung MW min]]</f>
        <v>25.46</v>
      </c>
      <c r="DF142" s="40">
        <f>Tabelle5897112140[[#This Row],[Durchschnittsauslastung durch]]*Tabelle5897112140[[#This Row],[installierte Leistung MW durch]]</f>
        <v>108.24000000000001</v>
      </c>
      <c r="DG142" s="40">
        <f>Tabelle5897112140[[#This Row],[Durchschnittsauslastung max]]*Tabelle5897112140[[#This Row],[installierte Leistung MW max]]</f>
        <v>209.60000000000002</v>
      </c>
      <c r="DH142" s="46">
        <f>Tabelle5897112140[[#This Row],[Maximalauslastung min]]*Tabelle5897112140[[#This Row],[installierte Leistung MW min]]</f>
        <v>134</v>
      </c>
      <c r="DI142" s="46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0">
        <f>Tabelle5897112140[[#This Row],[Durchschnittsauslastung min]]*Tabelle5897112140[[#This Row],[installierte Leistung MW min]]</f>
        <v>25.46</v>
      </c>
      <c r="DF143" s="40">
        <f>Tabelle5897112140[[#This Row],[Durchschnittsauslastung durch]]*Tabelle5897112140[[#This Row],[installierte Leistung MW durch]]</f>
        <v>108.24000000000001</v>
      </c>
      <c r="DG143" s="40">
        <f>Tabelle5897112140[[#This Row],[Durchschnittsauslastung max]]*Tabelle5897112140[[#This Row],[installierte Leistung MW max]]</f>
        <v>209.60000000000002</v>
      </c>
      <c r="DH143" s="46">
        <f>Tabelle5897112140[[#This Row],[Maximalauslastung min]]*Tabelle5897112140[[#This Row],[installierte Leistung MW min]]</f>
        <v>134</v>
      </c>
      <c r="DI143" s="46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0">
        <f>Tabelle5897112140[[#This Row],[Durchschnittsauslastung min]]*Tabelle5897112140[[#This Row],[installierte Leistung MW min]]</f>
        <v>25.714600000000001</v>
      </c>
      <c r="DF144" s="40">
        <f>Tabelle5897112140[[#This Row],[Durchschnittsauslastung durch]]*Tabelle5897112140[[#This Row],[installierte Leistung MW durch]]</f>
        <v>109.32240000000002</v>
      </c>
      <c r="DG144" s="40">
        <f>Tabelle5897112140[[#This Row],[Durchschnittsauslastung max]]*Tabelle5897112140[[#This Row],[installierte Leistung MW max]]</f>
        <v>211.69600000000003</v>
      </c>
      <c r="DH144" s="46">
        <f>Tabelle5897112140[[#This Row],[Maximalauslastung min]]*Tabelle5897112140[[#This Row],[installierte Leistung MW min]]</f>
        <v>135.34</v>
      </c>
      <c r="DI144" s="46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0">
        <f>Tabelle5897112140[[#This Row],[Durchschnittsauslastung min]]*Tabelle5897112140[[#This Row],[installierte Leistung MW min]]</f>
        <v>25.714600000000001</v>
      </c>
      <c r="DF145" s="40">
        <f>Tabelle5897112140[[#This Row],[Durchschnittsauslastung durch]]*Tabelle5897112140[[#This Row],[installierte Leistung MW durch]]</f>
        <v>109.32240000000002</v>
      </c>
      <c r="DG145" s="40">
        <f>Tabelle5897112140[[#This Row],[Durchschnittsauslastung max]]*Tabelle5897112140[[#This Row],[installierte Leistung MW max]]</f>
        <v>211.69600000000003</v>
      </c>
      <c r="DH145" s="46">
        <f>Tabelle5897112140[[#This Row],[Maximalauslastung min]]*Tabelle5897112140[[#This Row],[installierte Leistung MW min]]</f>
        <v>135.34</v>
      </c>
      <c r="DI145" s="46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0">
        <f>Tabelle5897112140[[#This Row],[Durchschnittsauslastung min]]*Tabelle5897112140[[#This Row],[installierte Leistung MW min]]</f>
        <v>0</v>
      </c>
      <c r="DF146" s="40">
        <f>Tabelle5897112140[[#This Row],[Durchschnittsauslastung durch]]*Tabelle5897112140[[#This Row],[installierte Leistung MW durch]]</f>
        <v>50.074444444444438</v>
      </c>
      <c r="DG146" s="40">
        <f>Tabelle5897112140[[#This Row],[Durchschnittsauslastung max]]*Tabelle5897112140[[#This Row],[installierte Leistung MW max]]</f>
        <v>229.6</v>
      </c>
      <c r="DH146" s="46">
        <f>Tabelle5897112140[[#This Row],[Maximalauslastung min]]*Tabelle5897112140[[#This Row],[installierte Leistung MW min]]</f>
        <v>202</v>
      </c>
      <c r="DI146" s="46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0">
        <f>Tabelle5897112140[[#This Row],[Durchschnittsauslastung min]]*Tabelle5897112140[[#This Row],[installierte Leistung MW min]]</f>
        <v>0</v>
      </c>
      <c r="DF147" s="40">
        <f>Tabelle5897112140[[#This Row],[Durchschnittsauslastung durch]]*Tabelle5897112140[[#This Row],[installierte Leistung MW durch]]</f>
        <v>51.576677777777768</v>
      </c>
      <c r="DG147" s="40">
        <f>Tabelle5897112140[[#This Row],[Durchschnittsauslastung max]]*Tabelle5897112140[[#This Row],[installierte Leistung MW max]]</f>
        <v>236.48799999999997</v>
      </c>
      <c r="DH147" s="46">
        <f>Tabelle5897112140[[#This Row],[Maximalauslastung min]]*Tabelle5897112140[[#This Row],[installierte Leistung MW min]]</f>
        <v>0</v>
      </c>
      <c r="DI147" s="46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0">
        <f>Tabelle5897112140[[#This Row],[Durchschnittsauslastung min]]*Tabelle5897112140[[#This Row],[installierte Leistung MW min]]</f>
        <v>0</v>
      </c>
      <c r="DF148" s="40">
        <f>Tabelle5897112140[[#This Row],[Durchschnittsauslastung durch]]*Tabelle5897112140[[#This Row],[installierte Leistung MW durch]]</f>
        <v>54.08039999999999</v>
      </c>
      <c r="DG148" s="40">
        <f>Tabelle5897112140[[#This Row],[Durchschnittsauslastung max]]*Tabelle5897112140[[#This Row],[installierte Leistung MW max]]</f>
        <v>247.96799999999996</v>
      </c>
      <c r="DH148" s="46">
        <f>Tabelle5897112140[[#This Row],[Maximalauslastung min]]*Tabelle5897112140[[#This Row],[installierte Leistung MW min]]</f>
        <v>0</v>
      </c>
      <c r="DI148" s="46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0">
        <f>Tabelle5897112140[[#This Row],[Durchschnittsauslastung min]]*Tabelle5897112140[[#This Row],[installierte Leistung MW min]]</f>
        <v>0</v>
      </c>
      <c r="DF149" s="40">
        <f>Tabelle5897112140[[#This Row],[Durchschnittsauslastung durch]]*Tabelle5897112140[[#This Row],[installierte Leistung MW durch]]</f>
        <v>58.086355555555549</v>
      </c>
      <c r="DG149" s="40">
        <f>Tabelle5897112140[[#This Row],[Durchschnittsauslastung max]]*Tabelle5897112140[[#This Row],[installierte Leistung MW max]]</f>
        <v>266.33600000000001</v>
      </c>
      <c r="DH149" s="46">
        <f>Tabelle5897112140[[#This Row],[Maximalauslastung min]]*Tabelle5897112140[[#This Row],[installierte Leistung MW min]]</f>
        <v>0</v>
      </c>
      <c r="DI149" s="46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0">
        <f>Tabelle5897112140[[#This Row],[Durchschnittsauslastung min]]*Tabelle5897112140[[#This Row],[installierte Leistung MW min]]</f>
        <v>0</v>
      </c>
      <c r="DF150" s="40">
        <f>Tabelle5897112140[[#This Row],[Durchschnittsauslastung durch]]*Tabelle5897112140[[#This Row],[installierte Leistung MW durch]]</f>
        <v>63.594544444444438</v>
      </c>
      <c r="DG150" s="40">
        <f>Tabelle5897112140[[#This Row],[Durchschnittsauslastung max]]*Tabelle5897112140[[#This Row],[installierte Leistung MW max]]</f>
        <v>291.59199999999998</v>
      </c>
      <c r="DH150" s="46">
        <f>Tabelle5897112140[[#This Row],[Maximalauslastung min]]*Tabelle5897112140[[#This Row],[installierte Leistung MW min]]</f>
        <v>0</v>
      </c>
      <c r="DI150" s="46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0">
        <f>Tabelle5897112140[[#This Row],[Durchschnittsauslastung min]]*Tabelle5897112140[[#This Row],[installierte Leistung MW min]]</f>
        <v>0</v>
      </c>
      <c r="DF151" s="40">
        <f>Tabelle5897112140[[#This Row],[Durchschnittsauslastung durch]]*Tabelle5897112140[[#This Row],[installierte Leistung MW durch]]</f>
        <v>70.604966666666655</v>
      </c>
      <c r="DG151" s="40">
        <f>Tabelle5897112140[[#This Row],[Durchschnittsauslastung max]]*Tabelle5897112140[[#This Row],[installierte Leistung MW max]]</f>
        <v>323.73599999999999</v>
      </c>
      <c r="DH151" s="46">
        <f>Tabelle5897112140[[#This Row],[Maximalauslastung min]]*Tabelle5897112140[[#This Row],[installierte Leistung MW min]]</f>
        <v>0</v>
      </c>
      <c r="DI151" s="46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0">
        <f>Tabelle5897112140[[#This Row],[Durchschnittsauslastung min]]*Tabelle5897112140[[#This Row],[installierte Leistung MW min]]</f>
        <v>0</v>
      </c>
      <c r="DF152" s="40">
        <f>Tabelle5897112140[[#This Row],[Durchschnittsauslastung durch]]*Tabelle5897112140[[#This Row],[installierte Leistung MW durch]]</f>
        <v>80.11911111111111</v>
      </c>
      <c r="DG152" s="40">
        <f>Tabelle5897112140[[#This Row],[Durchschnittsauslastung max]]*Tabelle5897112140[[#This Row],[installierte Leistung MW max]]</f>
        <v>367.35999999999996</v>
      </c>
      <c r="DH152" s="46">
        <f>Tabelle5897112140[[#This Row],[Maximalauslastung min]]*Tabelle5897112140[[#This Row],[installierte Leistung MW min]]</f>
        <v>0</v>
      </c>
      <c r="DI152" s="46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0">
        <f>Tabelle5897112140[[#This Row],[Durchschnittsauslastung min]]*Tabelle5897112140[[#This Row],[installierte Leistung MW min]]</f>
        <v>0</v>
      </c>
      <c r="DF153" s="40">
        <f>Tabelle5897112140[[#This Row],[Durchschnittsauslastung durch]]*Tabelle5897112140[[#This Row],[installierte Leistung MW durch]]</f>
        <v>92.136977777777773</v>
      </c>
      <c r="DG153" s="40">
        <f>Tabelle5897112140[[#This Row],[Durchschnittsauslastung max]]*Tabelle5897112140[[#This Row],[installierte Leistung MW max]]</f>
        <v>422.464</v>
      </c>
      <c r="DH153" s="46">
        <f>Tabelle5897112140[[#This Row],[Maximalauslastung min]]*Tabelle5897112140[[#This Row],[installierte Leistung MW min]]</f>
        <v>0</v>
      </c>
      <c r="DI153" s="46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0">
        <f>Tabelle5897112140[[#This Row],[Durchschnittsauslastung min]]*Tabelle5897112140[[#This Row],[installierte Leistung MW min]]</f>
        <v>22.8</v>
      </c>
      <c r="DF154" s="40">
        <f>Tabelle5897112140[[#This Row],[Durchschnittsauslastung durch]]*Tabelle5897112140[[#This Row],[installierte Leistung MW durch]]</f>
        <v>44.174444444444447</v>
      </c>
      <c r="DG154" s="40">
        <f>Tabelle5897112140[[#This Row],[Durchschnittsauslastung max]]*Tabelle5897112140[[#This Row],[installierte Leistung MW max]]</f>
        <v>81.62</v>
      </c>
      <c r="DH154" s="46">
        <f>Tabelle5897112140[[#This Row],[Maximalauslastung min]]*Tabelle5897112140[[#This Row],[installierte Leistung MW min]]</f>
        <v>0</v>
      </c>
      <c r="DI154" s="46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0">
        <f>Tabelle5897112140[[#This Row],[Durchschnittsauslastung min]]*Tabelle5897112140[[#This Row],[installierte Leistung MW min]]</f>
        <v>23.483999999999998</v>
      </c>
      <c r="DF155" s="40">
        <f>Tabelle5897112140[[#This Row],[Durchschnittsauslastung durch]]*Tabelle5897112140[[#This Row],[installierte Leistung MW durch]]</f>
        <v>45.499677777777777</v>
      </c>
      <c r="DG155" s="40">
        <f>Tabelle5897112140[[#This Row],[Durchschnittsauslastung max]]*Tabelle5897112140[[#This Row],[installierte Leistung MW max]]</f>
        <v>84.068600000000004</v>
      </c>
      <c r="DH155" s="46">
        <f>Tabelle5897112140[[#This Row],[Maximalauslastung min]]*Tabelle5897112140[[#This Row],[installierte Leistung MW min]]</f>
        <v>13.596</v>
      </c>
      <c r="DI155" s="46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0">
        <f>Tabelle5897112140[[#This Row],[Durchschnittsauslastung min]]*Tabelle5897112140[[#This Row],[installierte Leistung MW min]]</f>
        <v>24.623999999999999</v>
      </c>
      <c r="DF156" s="40">
        <f>Tabelle5897112140[[#This Row],[Durchschnittsauslastung durch]]*Tabelle5897112140[[#This Row],[installierte Leistung MW durch]]</f>
        <v>47.708400000000005</v>
      </c>
      <c r="DG156" s="40">
        <f>Tabelle5897112140[[#This Row],[Durchschnittsauslastung max]]*Tabelle5897112140[[#This Row],[installierte Leistung MW max]]</f>
        <v>88.149600000000007</v>
      </c>
      <c r="DH156" s="46">
        <f>Tabelle5897112140[[#This Row],[Maximalauslastung min]]*Tabelle5897112140[[#This Row],[installierte Leistung MW min]]</f>
        <v>14.256</v>
      </c>
      <c r="DI156" s="46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0">
        <f>Tabelle5897112140[[#This Row],[Durchschnittsauslastung min]]*Tabelle5897112140[[#This Row],[installierte Leistung MW min]]</f>
        <v>26.447999999999997</v>
      </c>
      <c r="DF157" s="40">
        <f>Tabelle5897112140[[#This Row],[Durchschnittsauslastung durch]]*Tabelle5897112140[[#This Row],[installierte Leistung MW durch]]</f>
        <v>51.242355555555562</v>
      </c>
      <c r="DG157" s="40">
        <f>Tabelle5897112140[[#This Row],[Durchschnittsauslastung max]]*Tabelle5897112140[[#This Row],[installierte Leistung MW max]]</f>
        <v>94.679199999999994</v>
      </c>
      <c r="DH157" s="46">
        <f>Tabelle5897112140[[#This Row],[Maximalauslastung min]]*Tabelle5897112140[[#This Row],[installierte Leistung MW min]]</f>
        <v>15.311999999999999</v>
      </c>
      <c r="DI157" s="46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0">
        <f>Tabelle5897112140[[#This Row],[Durchschnittsauslastung min]]*Tabelle5897112140[[#This Row],[installierte Leistung MW min]]</f>
        <v>28.956000000000003</v>
      </c>
      <c r="DF158" s="40">
        <f>Tabelle5897112140[[#This Row],[Durchschnittsauslastung durch]]*Tabelle5897112140[[#This Row],[installierte Leistung MW durch]]</f>
        <v>56.10154444444445</v>
      </c>
      <c r="DG158" s="40">
        <f>Tabelle5897112140[[#This Row],[Durchschnittsauslastung max]]*Tabelle5897112140[[#This Row],[installierte Leistung MW max]]</f>
        <v>103.65740000000001</v>
      </c>
      <c r="DH158" s="46">
        <f>Tabelle5897112140[[#This Row],[Maximalauslastung min]]*Tabelle5897112140[[#This Row],[installierte Leistung MW min]]</f>
        <v>16.763999999999999</v>
      </c>
      <c r="DI158" s="46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0">
        <f>Tabelle5897112140[[#This Row],[Durchschnittsauslastung min]]*Tabelle5897112140[[#This Row],[installierte Leistung MW min]]</f>
        <v>32.147999999999996</v>
      </c>
      <c r="DF159" s="40">
        <f>Tabelle5897112140[[#This Row],[Durchschnittsauslastung durch]]*Tabelle5897112140[[#This Row],[installierte Leistung MW durch]]</f>
        <v>62.285966666666674</v>
      </c>
      <c r="DG159" s="40">
        <f>Tabelle5897112140[[#This Row],[Durchschnittsauslastung max]]*Tabelle5897112140[[#This Row],[installierte Leistung MW max]]</f>
        <v>115.08420000000001</v>
      </c>
      <c r="DH159" s="46">
        <f>Tabelle5897112140[[#This Row],[Maximalauslastung min]]*Tabelle5897112140[[#This Row],[installierte Leistung MW min]]</f>
        <v>18.611999999999998</v>
      </c>
      <c r="DI159" s="46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0">
        <f>Tabelle5897112140[[#This Row],[Durchschnittsauslastung min]]*Tabelle5897112140[[#This Row],[installierte Leistung MW min]]</f>
        <v>36.480000000000004</v>
      </c>
      <c r="DF160" s="40">
        <f>Tabelle5897112140[[#This Row],[Durchschnittsauslastung durch]]*Tabelle5897112140[[#This Row],[installierte Leistung MW durch]]</f>
        <v>70.679111111111126</v>
      </c>
      <c r="DG160" s="40">
        <f>Tabelle5897112140[[#This Row],[Durchschnittsauslastung max]]*Tabelle5897112140[[#This Row],[installierte Leistung MW max]]</f>
        <v>130.59199999999998</v>
      </c>
      <c r="DH160" s="46">
        <f>Tabelle5897112140[[#This Row],[Maximalauslastung min]]*Tabelle5897112140[[#This Row],[installierte Leistung MW min]]</f>
        <v>21.12</v>
      </c>
      <c r="DI160" s="46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0">
        <f>Tabelle5897112140[[#This Row],[Durchschnittsauslastung min]]*Tabelle5897112140[[#This Row],[installierte Leistung MW min]]</f>
        <v>41.952000000000005</v>
      </c>
      <c r="DF161" s="40">
        <f>Tabelle5897112140[[#This Row],[Durchschnittsauslastung durch]]*Tabelle5897112140[[#This Row],[installierte Leistung MW durch]]</f>
        <v>81.280977777777778</v>
      </c>
      <c r="DG161" s="40">
        <f>Tabelle5897112140[[#This Row],[Durchschnittsauslastung max]]*Tabelle5897112140[[#This Row],[installierte Leistung MW max]]</f>
        <v>150.1808</v>
      </c>
      <c r="DH161" s="46">
        <f>Tabelle5897112140[[#This Row],[Maximalauslastung min]]*Tabelle5897112140[[#This Row],[installierte Leistung MW min]]</f>
        <v>24.288</v>
      </c>
      <c r="DI161" s="46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0">
        <f>Tabelle5897112140[[#This Row],[Durchschnittsauslastung min]]*Tabelle5897112140[[#This Row],[installierte Leistung MW min]]</f>
        <v>32.94</v>
      </c>
      <c r="DF162" s="40">
        <f>Tabelle5897112140[[#This Row],[Durchschnittsauslastung durch]]*Tabelle5897112140[[#This Row],[installierte Leistung MW durch]]</f>
        <v>56.8</v>
      </c>
      <c r="DG162" s="40">
        <f>Tabelle5897112140[[#This Row],[Durchschnittsauslastung max]]*Tabelle5897112140[[#This Row],[installierte Leistung MW max]]</f>
        <v>85.86</v>
      </c>
      <c r="DH162" s="46">
        <f>Tabelle5897112140[[#This Row],[Maximalauslastung min]]*Tabelle5897112140[[#This Row],[installierte Leistung MW min]]</f>
        <v>11.88</v>
      </c>
      <c r="DI162" s="46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0">
        <f>Tabelle5897112140[[#This Row],[Durchschnittsauslastung min]]*Tabelle5897112140[[#This Row],[installierte Leistung MW min]]</f>
        <v>33.928199999999997</v>
      </c>
      <c r="DF163" s="40">
        <f>Tabelle5897112140[[#This Row],[Durchschnittsauslastung durch]]*Tabelle5897112140[[#This Row],[installierte Leistung MW durch]]</f>
        <v>58.503999999999998</v>
      </c>
      <c r="DG163" s="40">
        <f>Tabelle5897112140[[#This Row],[Durchschnittsauslastung max]]*Tabelle5897112140[[#This Row],[installierte Leistung MW max]]</f>
        <v>88.435800000000015</v>
      </c>
      <c r="DH163" s="46">
        <f>Tabelle5897112140[[#This Row],[Maximalauslastung min]]*Tabelle5897112140[[#This Row],[installierte Leistung MW min]]</f>
        <v>25.5852</v>
      </c>
      <c r="DI163" s="46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0">
        <f>Tabelle5897112140[[#This Row],[Durchschnittsauslastung min]]*Tabelle5897112140[[#This Row],[installierte Leistung MW min]]</f>
        <v>35.575200000000002</v>
      </c>
      <c r="DF164" s="40">
        <f>Tabelle5897112140[[#This Row],[Durchschnittsauslastung durch]]*Tabelle5897112140[[#This Row],[installierte Leistung MW durch]]</f>
        <v>61.344000000000001</v>
      </c>
      <c r="DG164" s="40">
        <f>Tabelle5897112140[[#This Row],[Durchschnittsauslastung max]]*Tabelle5897112140[[#This Row],[installierte Leistung MW max]]</f>
        <v>92.728800000000007</v>
      </c>
      <c r="DH164" s="46">
        <f>Tabelle5897112140[[#This Row],[Maximalauslastung min]]*Tabelle5897112140[[#This Row],[installierte Leistung MW min]]</f>
        <v>26.827200000000001</v>
      </c>
      <c r="DI164" s="46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0">
        <f>Tabelle5897112140[[#This Row],[Durchschnittsauslastung min]]*Tabelle5897112140[[#This Row],[installierte Leistung MW min]]</f>
        <v>38.2104</v>
      </c>
      <c r="DF165" s="40">
        <f>Tabelle5897112140[[#This Row],[Durchschnittsauslastung durch]]*Tabelle5897112140[[#This Row],[installierte Leistung MW durch]]</f>
        <v>65.887999999999991</v>
      </c>
      <c r="DG165" s="40">
        <f>Tabelle5897112140[[#This Row],[Durchschnittsauslastung max]]*Tabelle5897112140[[#This Row],[installierte Leistung MW max]]</f>
        <v>99.5976</v>
      </c>
      <c r="DH165" s="46">
        <f>Tabelle5897112140[[#This Row],[Maximalauslastung min]]*Tabelle5897112140[[#This Row],[installierte Leistung MW min]]</f>
        <v>28.814400000000003</v>
      </c>
      <c r="DI165" s="46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0">
        <f>Tabelle5897112140[[#This Row],[Durchschnittsauslastung min]]*Tabelle5897112140[[#This Row],[installierte Leistung MW min]]</f>
        <v>41.833799999999997</v>
      </c>
      <c r="DF166" s="40">
        <f>Tabelle5897112140[[#This Row],[Durchschnittsauslastung durch]]*Tabelle5897112140[[#This Row],[installierte Leistung MW durch]]</f>
        <v>72.135999999999996</v>
      </c>
      <c r="DG166" s="40">
        <f>Tabelle5897112140[[#This Row],[Durchschnittsauslastung max]]*Tabelle5897112140[[#This Row],[installierte Leistung MW max]]</f>
        <v>109.04220000000001</v>
      </c>
      <c r="DH166" s="46">
        <f>Tabelle5897112140[[#This Row],[Maximalauslastung min]]*Tabelle5897112140[[#This Row],[installierte Leistung MW min]]</f>
        <v>31.546800000000001</v>
      </c>
      <c r="DI166" s="46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0">
        <f>Tabelle5897112140[[#This Row],[Durchschnittsauslastung min]]*Tabelle5897112140[[#This Row],[installierte Leistung MW min]]</f>
        <v>46.445399999999999</v>
      </c>
      <c r="DF167" s="40">
        <f>Tabelle5897112140[[#This Row],[Durchschnittsauslastung durch]]*Tabelle5897112140[[#This Row],[installierte Leistung MW durch]]</f>
        <v>80.087999999999994</v>
      </c>
      <c r="DG167" s="40">
        <f>Tabelle5897112140[[#This Row],[Durchschnittsauslastung max]]*Tabelle5897112140[[#This Row],[installierte Leistung MW max]]</f>
        <v>121.06260000000002</v>
      </c>
      <c r="DH167" s="46">
        <f>Tabelle5897112140[[#This Row],[Maximalauslastung min]]*Tabelle5897112140[[#This Row],[installierte Leistung MW min]]</f>
        <v>35.0244</v>
      </c>
      <c r="DI167" s="46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0">
        <f>Tabelle5897112140[[#This Row],[Durchschnittsauslastung min]]*Tabelle5897112140[[#This Row],[installierte Leistung MW min]]</f>
        <v>52.704000000000001</v>
      </c>
      <c r="DF168" s="40">
        <f>Tabelle5897112140[[#This Row],[Durchschnittsauslastung durch]]*Tabelle5897112140[[#This Row],[installierte Leistung MW durch]]</f>
        <v>90.88</v>
      </c>
      <c r="DG168" s="40">
        <f>Tabelle5897112140[[#This Row],[Durchschnittsauslastung max]]*Tabelle5897112140[[#This Row],[installierte Leistung MW max]]</f>
        <v>137.376</v>
      </c>
      <c r="DH168" s="46">
        <f>Tabelle5897112140[[#This Row],[Maximalauslastung min]]*Tabelle5897112140[[#This Row],[installierte Leistung MW min]]</f>
        <v>39.744000000000007</v>
      </c>
      <c r="DI168" s="46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0">
        <f>Tabelle5897112140[[#This Row],[Durchschnittsauslastung min]]*Tabelle5897112140[[#This Row],[installierte Leistung MW min]]</f>
        <v>60.6096</v>
      </c>
      <c r="DF169" s="40">
        <f>Tabelle5897112140[[#This Row],[Durchschnittsauslastung durch]]*Tabelle5897112140[[#This Row],[installierte Leistung MW durch]]</f>
        <v>104.51199999999999</v>
      </c>
      <c r="DG169" s="40">
        <f>Tabelle5897112140[[#This Row],[Durchschnittsauslastung max]]*Tabelle5897112140[[#This Row],[installierte Leistung MW max]]</f>
        <v>157.98240000000001</v>
      </c>
      <c r="DH169" s="46">
        <f>Tabelle5897112140[[#This Row],[Maximalauslastung min]]*Tabelle5897112140[[#This Row],[installierte Leistung MW min]]</f>
        <v>45.705600000000004</v>
      </c>
      <c r="DI169" s="46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0">
        <f>Tabelle5897112140[[#This Row],[Durchschnittsauslastung min]]*Tabelle5897112140[[#This Row],[installierte Leistung MW min]]</f>
        <v>0</v>
      </c>
      <c r="DF170" s="40">
        <f>Tabelle5897112140[[#This Row],[Durchschnittsauslastung durch]]*Tabelle5897112140[[#This Row],[installierte Leistung MW durch]]</f>
        <v>5.8266666666666662</v>
      </c>
      <c r="DG170" s="40">
        <f>Tabelle5897112140[[#This Row],[Durchschnittsauslastung max]]*Tabelle5897112140[[#This Row],[installierte Leistung MW max]]</f>
        <v>67.259999999999991</v>
      </c>
      <c r="DH170" s="46">
        <f>Tabelle5897112140[[#This Row],[Maximalauslastung min]]*Tabelle5897112140[[#This Row],[installierte Leistung MW min]]</f>
        <v>42.24</v>
      </c>
      <c r="DI170" s="46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0">
        <f>Tabelle5897112140[[#This Row],[Durchschnittsauslastung min]]*Tabelle5897112140[[#This Row],[installierte Leistung MW min]]</f>
        <v>0</v>
      </c>
      <c r="DF171" s="40">
        <f>Tabelle5897112140[[#This Row],[Durchschnittsauslastung durch]]*Tabelle5897112140[[#This Row],[installierte Leistung MW durch]]</f>
        <v>5.9431999999999992</v>
      </c>
      <c r="DG171" s="40">
        <f>Tabelle5897112140[[#This Row],[Durchschnittsauslastung max]]*Tabelle5897112140[[#This Row],[installierte Leistung MW max]]</f>
        <v>68.605199999999996</v>
      </c>
      <c r="DH171" s="46">
        <f>Tabelle5897112140[[#This Row],[Maximalauslastung min]]*Tabelle5897112140[[#This Row],[installierte Leistung MW min]]</f>
        <v>20.195999999999998</v>
      </c>
      <c r="DI171" s="46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0">
        <f>Tabelle5897112140[[#This Row],[Durchschnittsauslastung min]]*Tabelle5897112140[[#This Row],[installierte Leistung MW min]]</f>
        <v>0</v>
      </c>
      <c r="DF172" s="40">
        <f>Tabelle5897112140[[#This Row],[Durchschnittsauslastung durch]]*Tabelle5897112140[[#This Row],[installierte Leistung MW durch]]</f>
        <v>6.059733333333333</v>
      </c>
      <c r="DG172" s="40">
        <f>Tabelle5897112140[[#This Row],[Durchschnittsauslastung max]]*Tabelle5897112140[[#This Row],[installierte Leistung MW max]]</f>
        <v>69.950399999999988</v>
      </c>
      <c r="DH172" s="46">
        <f>Tabelle5897112140[[#This Row],[Maximalauslastung min]]*Tabelle5897112140[[#This Row],[installierte Leistung MW min]]</f>
        <v>20.591999999999999</v>
      </c>
      <c r="DI172" s="46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0">
        <f>Tabelle5897112140[[#This Row],[Durchschnittsauslastung min]]*Tabelle5897112140[[#This Row],[installierte Leistung MW min]]</f>
        <v>0</v>
      </c>
      <c r="DF173" s="40">
        <f>Tabelle5897112140[[#This Row],[Durchschnittsauslastung durch]]*Tabelle5897112140[[#This Row],[installierte Leistung MW durch]]</f>
        <v>6.2345333333333324</v>
      </c>
      <c r="DG173" s="40">
        <f>Tabelle5897112140[[#This Row],[Durchschnittsauslastung max]]*Tabelle5897112140[[#This Row],[installierte Leistung MW max]]</f>
        <v>71.968199999999996</v>
      </c>
      <c r="DH173" s="46">
        <f>Tabelle5897112140[[#This Row],[Maximalauslastung min]]*Tabelle5897112140[[#This Row],[installierte Leistung MW min]]</f>
        <v>21.186</v>
      </c>
      <c r="DI173" s="46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0">
        <f>Tabelle5897112140[[#This Row],[Durchschnittsauslastung min]]*Tabelle5897112140[[#This Row],[installierte Leistung MW min]]</f>
        <v>0</v>
      </c>
      <c r="DF174" s="40">
        <f>Tabelle5897112140[[#This Row],[Durchschnittsauslastung durch]]*Tabelle5897112140[[#This Row],[installierte Leistung MW durch]]</f>
        <v>6.3510666666666662</v>
      </c>
      <c r="DG174" s="40">
        <f>Tabelle5897112140[[#This Row],[Durchschnittsauslastung max]]*Tabelle5897112140[[#This Row],[installierte Leistung MW max]]</f>
        <v>73.313400000000001</v>
      </c>
      <c r="DH174" s="46">
        <f>Tabelle5897112140[[#This Row],[Maximalauslastung min]]*Tabelle5897112140[[#This Row],[installierte Leistung MW min]]</f>
        <v>21.581999999999997</v>
      </c>
      <c r="DI174" s="46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0">
        <f>Tabelle5897112140[[#This Row],[Durchschnittsauslastung min]]*Tabelle5897112140[[#This Row],[installierte Leistung MW min]]</f>
        <v>0</v>
      </c>
      <c r="DF175" s="40">
        <f>Tabelle5897112140[[#This Row],[Durchschnittsauslastung durch]]*Tabelle5897112140[[#This Row],[installierte Leistung MW durch]]</f>
        <v>6.5258666666666665</v>
      </c>
      <c r="DG175" s="40">
        <f>Tabelle5897112140[[#This Row],[Durchschnittsauslastung max]]*Tabelle5897112140[[#This Row],[installierte Leistung MW max]]</f>
        <v>75.331199999999995</v>
      </c>
      <c r="DH175" s="46">
        <f>Tabelle5897112140[[#This Row],[Maximalauslastung min]]*Tabelle5897112140[[#This Row],[installierte Leistung MW min]]</f>
        <v>22.175999999999998</v>
      </c>
      <c r="DI175" s="46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0">
        <f>Tabelle5897112140[[#This Row],[Durchschnittsauslastung min]]*Tabelle5897112140[[#This Row],[installierte Leistung MW min]]</f>
        <v>0</v>
      </c>
      <c r="DF176" s="40">
        <f>Tabelle5897112140[[#This Row],[Durchschnittsauslastung durch]]*Tabelle5897112140[[#This Row],[installierte Leistung MW durch]]</f>
        <v>6.6423999999999985</v>
      </c>
      <c r="DG176" s="40">
        <f>Tabelle5897112140[[#This Row],[Durchschnittsauslastung max]]*Tabelle5897112140[[#This Row],[installierte Leistung MW max]]</f>
        <v>76.676400000000001</v>
      </c>
      <c r="DH176" s="46">
        <f>Tabelle5897112140[[#This Row],[Maximalauslastung min]]*Tabelle5897112140[[#This Row],[installierte Leistung MW min]]</f>
        <v>22.571999999999999</v>
      </c>
      <c r="DI176" s="46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0">
        <f>Tabelle5897112140[[#This Row],[Durchschnittsauslastung min]]*Tabelle5897112140[[#This Row],[installierte Leistung MW min]]</f>
        <v>0</v>
      </c>
      <c r="DF177" s="40">
        <f>Tabelle5897112140[[#This Row],[Durchschnittsauslastung durch]]*Tabelle5897112140[[#This Row],[installierte Leistung MW durch]]</f>
        <v>6.8171999999999988</v>
      </c>
      <c r="DG177" s="40">
        <f>Tabelle5897112140[[#This Row],[Durchschnittsauslastung max]]*Tabelle5897112140[[#This Row],[installierte Leistung MW max]]</f>
        <v>78.694199999999995</v>
      </c>
      <c r="DH177" s="46">
        <f>Tabelle5897112140[[#This Row],[Maximalauslastung min]]*Tabelle5897112140[[#This Row],[installierte Leistung MW min]]</f>
        <v>23.166</v>
      </c>
      <c r="DI177" s="46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0">
        <f>Tabelle5897112140[[#This Row],[Durchschnittsauslastung min]]*Tabelle5897112140[[#This Row],[installierte Leistung MW min]]</f>
        <v>3.99</v>
      </c>
      <c r="DF178" s="40">
        <f>Tabelle5897112140[[#This Row],[Durchschnittsauslastung durch]]*Tabelle5897112140[[#This Row],[installierte Leistung MW durch]]</f>
        <v>8.8200000000000021</v>
      </c>
      <c r="DG178" s="40">
        <f>Tabelle5897112140[[#This Row],[Durchschnittsauslastung max]]*Tabelle5897112140[[#This Row],[installierte Leistung MW max]]</f>
        <v>19.8</v>
      </c>
      <c r="DH178" s="46">
        <f>Tabelle5897112140[[#This Row],[Maximalauslastung min]]*Tabelle5897112140[[#This Row],[installierte Leistung MW min]]</f>
        <v>6.3</v>
      </c>
      <c r="DI178" s="46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0">
        <f>Tabelle5897112140[[#This Row],[Durchschnittsauslastung min]]*Tabelle5897112140[[#This Row],[installierte Leistung MW min]]</f>
        <v>4.0698000000000008</v>
      </c>
      <c r="DF179" s="40">
        <f>Tabelle5897112140[[#This Row],[Durchschnittsauslastung durch]]*Tabelle5897112140[[#This Row],[installierte Leistung MW durch]]</f>
        <v>8.9964000000000013</v>
      </c>
      <c r="DG179" s="40">
        <f>Tabelle5897112140[[#This Row],[Durchschnittsauslastung max]]*Tabelle5897112140[[#This Row],[installierte Leistung MW max]]</f>
        <v>20.195999999999998</v>
      </c>
      <c r="DH179" s="46">
        <f>Tabelle5897112140[[#This Row],[Maximalauslastung min]]*Tabelle5897112140[[#This Row],[installierte Leistung MW min]]</f>
        <v>21.42</v>
      </c>
      <c r="DI179" s="46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0">
        <f>Tabelle5897112140[[#This Row],[Durchschnittsauslastung min]]*Tabelle5897112140[[#This Row],[installierte Leistung MW min]]</f>
        <v>4.1496000000000004</v>
      </c>
      <c r="DF180" s="40">
        <f>Tabelle5897112140[[#This Row],[Durchschnittsauslastung durch]]*Tabelle5897112140[[#This Row],[installierte Leistung MW durch]]</f>
        <v>9.1728000000000005</v>
      </c>
      <c r="DG180" s="40">
        <f>Tabelle5897112140[[#This Row],[Durchschnittsauslastung max]]*Tabelle5897112140[[#This Row],[installierte Leistung MW max]]</f>
        <v>20.591999999999999</v>
      </c>
      <c r="DH180" s="46">
        <f>Tabelle5897112140[[#This Row],[Maximalauslastung min]]*Tabelle5897112140[[#This Row],[installierte Leistung MW min]]</f>
        <v>21.84</v>
      </c>
      <c r="DI180" s="46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0">
        <f>Tabelle5897112140[[#This Row],[Durchschnittsauslastung min]]*Tabelle5897112140[[#This Row],[installierte Leistung MW min]]</f>
        <v>4.2692999999999994</v>
      </c>
      <c r="DF181" s="40">
        <f>Tabelle5897112140[[#This Row],[Durchschnittsauslastung durch]]*Tabelle5897112140[[#This Row],[installierte Leistung MW durch]]</f>
        <v>9.437400000000002</v>
      </c>
      <c r="DG181" s="40">
        <f>Tabelle5897112140[[#This Row],[Durchschnittsauslastung max]]*Tabelle5897112140[[#This Row],[installierte Leistung MW max]]</f>
        <v>21.186</v>
      </c>
      <c r="DH181" s="46">
        <f>Tabelle5897112140[[#This Row],[Maximalauslastung min]]*Tabelle5897112140[[#This Row],[installierte Leistung MW min]]</f>
        <v>22.47</v>
      </c>
      <c r="DI181" s="46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0">
        <f>Tabelle5897112140[[#This Row],[Durchschnittsauslastung min]]*Tabelle5897112140[[#This Row],[installierte Leistung MW min]]</f>
        <v>4.3491</v>
      </c>
      <c r="DF182" s="40">
        <f>Tabelle5897112140[[#This Row],[Durchschnittsauslastung durch]]*Tabelle5897112140[[#This Row],[installierte Leistung MW durch]]</f>
        <v>9.6138000000000012</v>
      </c>
      <c r="DG182" s="40">
        <f>Tabelle5897112140[[#This Row],[Durchschnittsauslastung max]]*Tabelle5897112140[[#This Row],[installierte Leistung MW max]]</f>
        <v>21.581999999999997</v>
      </c>
      <c r="DH182" s="46">
        <f>Tabelle5897112140[[#This Row],[Maximalauslastung min]]*Tabelle5897112140[[#This Row],[installierte Leistung MW min]]</f>
        <v>22.89</v>
      </c>
      <c r="DI182" s="46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0">
        <f>Tabelle5897112140[[#This Row],[Durchschnittsauslastung min]]*Tabelle5897112140[[#This Row],[installierte Leistung MW min]]</f>
        <v>4.4687999999999999</v>
      </c>
      <c r="DF183" s="40">
        <f>Tabelle5897112140[[#This Row],[Durchschnittsauslastung durch]]*Tabelle5897112140[[#This Row],[installierte Leistung MW durch]]</f>
        <v>9.878400000000001</v>
      </c>
      <c r="DG183" s="40">
        <f>Tabelle5897112140[[#This Row],[Durchschnittsauslastung max]]*Tabelle5897112140[[#This Row],[installierte Leistung MW max]]</f>
        <v>22.175999999999998</v>
      </c>
      <c r="DH183" s="46">
        <f>Tabelle5897112140[[#This Row],[Maximalauslastung min]]*Tabelle5897112140[[#This Row],[installierte Leistung MW min]]</f>
        <v>23.52</v>
      </c>
      <c r="DI183" s="46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0">
        <f>Tabelle5897112140[[#This Row],[Durchschnittsauslastung min]]*Tabelle5897112140[[#This Row],[installierte Leistung MW min]]</f>
        <v>4.5486000000000004</v>
      </c>
      <c r="DF184" s="40">
        <f>Tabelle5897112140[[#This Row],[Durchschnittsauslastung durch]]*Tabelle5897112140[[#This Row],[installierte Leistung MW durch]]</f>
        <v>10.054800000000002</v>
      </c>
      <c r="DG184" s="40">
        <f>Tabelle5897112140[[#This Row],[Durchschnittsauslastung max]]*Tabelle5897112140[[#This Row],[installierte Leistung MW max]]</f>
        <v>22.571999999999999</v>
      </c>
      <c r="DH184" s="46">
        <f>Tabelle5897112140[[#This Row],[Maximalauslastung min]]*Tabelle5897112140[[#This Row],[installierte Leistung MW min]]</f>
        <v>23.94</v>
      </c>
      <c r="DI184" s="46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0">
        <f>Tabelle5897112140[[#This Row],[Durchschnittsauslastung min]]*Tabelle5897112140[[#This Row],[installierte Leistung MW min]]</f>
        <v>4.6683000000000003</v>
      </c>
      <c r="DF185" s="40">
        <f>Tabelle5897112140[[#This Row],[Durchschnittsauslastung durch]]*Tabelle5897112140[[#This Row],[installierte Leistung MW durch]]</f>
        <v>10.319400000000002</v>
      </c>
      <c r="DG185" s="40">
        <f>Tabelle5897112140[[#This Row],[Durchschnittsauslastung max]]*Tabelle5897112140[[#This Row],[installierte Leistung MW max]]</f>
        <v>23.166</v>
      </c>
      <c r="DH185" s="46">
        <f>Tabelle5897112140[[#This Row],[Maximalauslastung min]]*Tabelle5897112140[[#This Row],[installierte Leistung MW min]]</f>
        <v>24.57</v>
      </c>
      <c r="DI185" s="46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1134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0">
        <f>Tabelle5897112140[[#This Row],[Durchschnittsauslastung min]]*Tabelle5897112140[[#This Row],[installierte Leistung MW min]]</f>
        <v>91.2</v>
      </c>
      <c r="DF186" s="40">
        <f>Tabelle5897112140[[#This Row],[Durchschnittsauslastung durch]]*Tabelle5897112140[[#This Row],[installierte Leistung MW durch]]</f>
        <v>147.95777777777778</v>
      </c>
      <c r="DG186" s="40">
        <f>Tabelle5897112140[[#This Row],[Durchschnittsauslastung max]]*Tabelle5897112140[[#This Row],[installierte Leistung MW max]]</f>
        <v>243.32</v>
      </c>
      <c r="DH186" s="46">
        <f>Tabelle5897112140[[#This Row],[Maximalauslastung min]]*Tabelle5897112140[[#This Row],[installierte Leistung MW min]]</f>
        <v>110.4</v>
      </c>
      <c r="DI186" s="46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1134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0">
        <f>Tabelle5897112140[[#This Row],[Durchschnittsauslastung min]]*Tabelle5897112140[[#This Row],[installierte Leistung MW min]]</f>
        <v>95.76</v>
      </c>
      <c r="DF187" s="40">
        <f>Tabelle5897112140[[#This Row],[Durchschnittsauslastung durch]]*Tabelle5897112140[[#This Row],[installierte Leistung MW durch]]</f>
        <v>155.35566666666668</v>
      </c>
      <c r="DG187" s="40">
        <f>Tabelle5897112140[[#This Row],[Durchschnittsauslastung max]]*Tabelle5897112140[[#This Row],[installierte Leistung MW max]]</f>
        <v>255.48600000000002</v>
      </c>
      <c r="DH187" s="46">
        <f>Tabelle5897112140[[#This Row],[Maximalauslastung min]]*Tabelle5897112140[[#This Row],[installierte Leistung MW min]]</f>
        <v>0</v>
      </c>
      <c r="DI187" s="46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1134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0">
        <f>Tabelle5897112140[[#This Row],[Durchschnittsauslastung min]]*Tabelle5897112140[[#This Row],[installierte Leistung MW min]]</f>
        <v>100.32000000000001</v>
      </c>
      <c r="DF188" s="40">
        <f>Tabelle5897112140[[#This Row],[Durchschnittsauslastung durch]]*Tabelle5897112140[[#This Row],[installierte Leistung MW durch]]</f>
        <v>162.75355555555558</v>
      </c>
      <c r="DG188" s="40">
        <f>Tabelle5897112140[[#This Row],[Durchschnittsauslastung max]]*Tabelle5897112140[[#This Row],[installierte Leistung MW max]]</f>
        <v>267.65200000000004</v>
      </c>
      <c r="DH188" s="46">
        <f>Tabelle5897112140[[#This Row],[Maximalauslastung min]]*Tabelle5897112140[[#This Row],[installierte Leistung MW min]]</f>
        <v>0</v>
      </c>
      <c r="DI188" s="46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1134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0">
        <f>Tabelle5897112140[[#This Row],[Durchschnittsauslastung min]]*Tabelle5897112140[[#This Row],[installierte Leistung MW min]]</f>
        <v>105.79199999999999</v>
      </c>
      <c r="DF189" s="40">
        <f>Tabelle5897112140[[#This Row],[Durchschnittsauslastung durch]]*Tabelle5897112140[[#This Row],[installierte Leistung MW durch]]</f>
        <v>171.63102222222224</v>
      </c>
      <c r="DG189" s="40">
        <f>Tabelle5897112140[[#This Row],[Durchschnittsauslastung max]]*Tabelle5897112140[[#This Row],[installierte Leistung MW max]]</f>
        <v>282.25119999999998</v>
      </c>
      <c r="DH189" s="46">
        <f>Tabelle5897112140[[#This Row],[Maximalauslastung min]]*Tabelle5897112140[[#This Row],[installierte Leistung MW min]]</f>
        <v>0</v>
      </c>
      <c r="DI189" s="46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1134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0">
        <f>Tabelle5897112140[[#This Row],[Durchschnittsauslastung min]]*Tabelle5897112140[[#This Row],[installierte Leistung MW min]]</f>
        <v>111.26400000000001</v>
      </c>
      <c r="DF190" s="40">
        <f>Tabelle5897112140[[#This Row],[Durchschnittsauslastung durch]]*Tabelle5897112140[[#This Row],[installierte Leistung MW durch]]</f>
        <v>180.50848888888891</v>
      </c>
      <c r="DG190" s="40">
        <f>Tabelle5897112140[[#This Row],[Durchschnittsauslastung max]]*Tabelle5897112140[[#This Row],[installierte Leistung MW max]]</f>
        <v>296.85039999999998</v>
      </c>
      <c r="DH190" s="46">
        <f>Tabelle5897112140[[#This Row],[Maximalauslastung min]]*Tabelle5897112140[[#This Row],[installierte Leistung MW min]]</f>
        <v>0</v>
      </c>
      <c r="DI190" s="46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1134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0">
        <f>Tabelle5897112140[[#This Row],[Durchschnittsauslastung min]]*Tabelle5897112140[[#This Row],[installierte Leistung MW min]]</f>
        <v>116.73599999999999</v>
      </c>
      <c r="DF191" s="40">
        <f>Tabelle5897112140[[#This Row],[Durchschnittsauslastung durch]]*Tabelle5897112140[[#This Row],[installierte Leistung MW durch]]</f>
        <v>189.38595555555557</v>
      </c>
      <c r="DG191" s="40">
        <f>Tabelle5897112140[[#This Row],[Durchschnittsauslastung max]]*Tabelle5897112140[[#This Row],[installierte Leistung MW max]]</f>
        <v>311.44960000000003</v>
      </c>
      <c r="DH191" s="46">
        <f>Tabelle5897112140[[#This Row],[Maximalauslastung min]]*Tabelle5897112140[[#This Row],[installierte Leistung MW min]]</f>
        <v>0</v>
      </c>
      <c r="DI191" s="46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1134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0">
        <f>Tabelle5897112140[[#This Row],[Durchschnittsauslastung min]]*Tabelle5897112140[[#This Row],[installierte Leistung MW min]]</f>
        <v>123.12</v>
      </c>
      <c r="DF192" s="40">
        <f>Tabelle5897112140[[#This Row],[Durchschnittsauslastung durch]]*Tabelle5897112140[[#This Row],[installierte Leistung MW durch]]</f>
        <v>199.74300000000002</v>
      </c>
      <c r="DG192" s="40">
        <f>Tabelle5897112140[[#This Row],[Durchschnittsauslastung max]]*Tabelle5897112140[[#This Row],[installierte Leistung MW max]]</f>
        <v>328.48200000000003</v>
      </c>
      <c r="DH192" s="46">
        <f>Tabelle5897112140[[#This Row],[Maximalauslastung min]]*Tabelle5897112140[[#This Row],[installierte Leistung MW min]]</f>
        <v>0</v>
      </c>
      <c r="DI192" s="46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1134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0">
        <f>Tabelle5897112140[[#This Row],[Durchschnittsauslastung min]]*Tabelle5897112140[[#This Row],[installierte Leistung MW min]]</f>
        <v>129.50400000000002</v>
      </c>
      <c r="DF193" s="40">
        <f>Tabelle5897112140[[#This Row],[Durchschnittsauslastung durch]]*Tabelle5897112140[[#This Row],[installierte Leistung MW durch]]</f>
        <v>210.10004444444445</v>
      </c>
      <c r="DG193" s="40">
        <f>Tabelle5897112140[[#This Row],[Durchschnittsauslastung max]]*Tabelle5897112140[[#This Row],[installierte Leistung MW max]]</f>
        <v>345.51440000000002</v>
      </c>
      <c r="DH193" s="46">
        <f>Tabelle5897112140[[#This Row],[Maximalauslastung min]]*Tabelle5897112140[[#This Row],[installierte Leistung MW min]]</f>
        <v>0</v>
      </c>
      <c r="DI193" s="46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0">
        <f>Tabelle5897112140[[#This Row],[Durchschnittsauslastung min]]*Tabelle5897112140[[#This Row],[installierte Leistung MW min]]</f>
        <v>11.4</v>
      </c>
      <c r="DF194" s="40">
        <f>Tabelle5897112140[[#This Row],[Durchschnittsauslastung durch]]*Tabelle5897112140[[#This Row],[installierte Leistung MW durch]]</f>
        <v>22.933333333333334</v>
      </c>
      <c r="DG194" s="40">
        <f>Tabelle5897112140[[#This Row],[Durchschnittsauslastung max]]*Tabelle5897112140[[#This Row],[installierte Leistung MW max]]</f>
        <v>38</v>
      </c>
      <c r="DH194" s="46">
        <f>Tabelle5897112140[[#This Row],[Maximalauslastung min]]*Tabelle5897112140[[#This Row],[installierte Leistung MW min]]</f>
        <v>0</v>
      </c>
      <c r="DI194" s="46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0">
        <f>Tabelle5897112140[[#This Row],[Durchschnittsauslastung min]]*Tabelle5897112140[[#This Row],[installierte Leistung MW min]]</f>
        <v>11.058</v>
      </c>
      <c r="DF195" s="40">
        <f>Tabelle5897112140[[#This Row],[Durchschnittsauslastung durch]]*Tabelle5897112140[[#This Row],[installierte Leistung MW durch]]</f>
        <v>22.245333333333331</v>
      </c>
      <c r="DG195" s="40">
        <f>Tabelle5897112140[[#This Row],[Durchschnittsauslastung max]]*Tabelle5897112140[[#This Row],[installierte Leistung MW max]]</f>
        <v>36.86</v>
      </c>
      <c r="DH195" s="46">
        <f>Tabelle5897112140[[#This Row],[Maximalauslastung min]]*Tabelle5897112140[[#This Row],[installierte Leistung MW min]]</f>
        <v>0</v>
      </c>
      <c r="DI195" s="46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0">
        <f>Tabelle5897112140[[#This Row],[Durchschnittsauslastung min]]*Tabelle5897112140[[#This Row],[installierte Leistung MW min]]</f>
        <v>10.83</v>
      </c>
      <c r="DF196" s="40">
        <f>Tabelle5897112140[[#This Row],[Durchschnittsauslastung durch]]*Tabelle5897112140[[#This Row],[installierte Leistung MW durch]]</f>
        <v>21.786666666666669</v>
      </c>
      <c r="DG196" s="40">
        <f>Tabelle5897112140[[#This Row],[Durchschnittsauslastung max]]*Tabelle5897112140[[#This Row],[installierte Leistung MW max]]</f>
        <v>36.1</v>
      </c>
      <c r="DH196" s="46">
        <f>Tabelle5897112140[[#This Row],[Maximalauslastung min]]*Tabelle5897112140[[#This Row],[installierte Leistung MW min]]</f>
        <v>0</v>
      </c>
      <c r="DI196" s="46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0">
        <f>Tabelle5897112140[[#This Row],[Durchschnittsauslastung min]]*Tabelle5897112140[[#This Row],[installierte Leistung MW min]]</f>
        <v>10.488000000000001</v>
      </c>
      <c r="DF197" s="40">
        <f>Tabelle5897112140[[#This Row],[Durchschnittsauslastung durch]]*Tabelle5897112140[[#This Row],[installierte Leistung MW durch]]</f>
        <v>21.098666666666666</v>
      </c>
      <c r="DG197" s="40">
        <f>Tabelle5897112140[[#This Row],[Durchschnittsauslastung max]]*Tabelle5897112140[[#This Row],[installierte Leistung MW max]]</f>
        <v>34.96</v>
      </c>
      <c r="DH197" s="46">
        <f>Tabelle5897112140[[#This Row],[Maximalauslastung min]]*Tabelle5897112140[[#This Row],[installierte Leistung MW min]]</f>
        <v>0</v>
      </c>
      <c r="DI197" s="46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0">
        <f>Tabelle5897112140[[#This Row],[Durchschnittsauslastung min]]*Tabelle5897112140[[#This Row],[installierte Leistung MW min]]</f>
        <v>10.145999999999999</v>
      </c>
      <c r="DF198" s="40">
        <f>Tabelle5897112140[[#This Row],[Durchschnittsauslastung durch]]*Tabelle5897112140[[#This Row],[installierte Leistung MW durch]]</f>
        <v>20.410666666666668</v>
      </c>
      <c r="DG198" s="40">
        <f>Tabelle5897112140[[#This Row],[Durchschnittsauslastung max]]*Tabelle5897112140[[#This Row],[installierte Leistung MW max]]</f>
        <v>33.82</v>
      </c>
      <c r="DH198" s="46">
        <f>Tabelle5897112140[[#This Row],[Maximalauslastung min]]*Tabelle5897112140[[#This Row],[installierte Leistung MW min]]</f>
        <v>0</v>
      </c>
      <c r="DI198" s="46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0">
        <f>Tabelle5897112140[[#This Row],[Durchschnittsauslastung min]]*Tabelle5897112140[[#This Row],[installierte Leistung MW min]]</f>
        <v>9.918000000000001</v>
      </c>
      <c r="DF199" s="40">
        <f>Tabelle5897112140[[#This Row],[Durchschnittsauslastung durch]]*Tabelle5897112140[[#This Row],[installierte Leistung MW durch]]</f>
        <v>19.951999999999998</v>
      </c>
      <c r="DG199" s="40">
        <f>Tabelle5897112140[[#This Row],[Durchschnittsauslastung max]]*Tabelle5897112140[[#This Row],[installierte Leistung MW max]]</f>
        <v>33.06</v>
      </c>
      <c r="DH199" s="46">
        <f>Tabelle5897112140[[#This Row],[Maximalauslastung min]]*Tabelle5897112140[[#This Row],[installierte Leistung MW min]]</f>
        <v>0</v>
      </c>
      <c r="DI199" s="46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0">
        <f>Tabelle5897112140[[#This Row],[Durchschnittsauslastung min]]*Tabelle5897112140[[#This Row],[installierte Leistung MW min]]</f>
        <v>9.5760000000000005</v>
      </c>
      <c r="DF200" s="40">
        <f>Tabelle5897112140[[#This Row],[Durchschnittsauslastung durch]]*Tabelle5897112140[[#This Row],[installierte Leistung MW durch]]</f>
        <v>19.264000000000003</v>
      </c>
      <c r="DG200" s="40">
        <f>Tabelle5897112140[[#This Row],[Durchschnittsauslastung max]]*Tabelle5897112140[[#This Row],[installierte Leistung MW max]]</f>
        <v>31.92</v>
      </c>
      <c r="DH200" s="46">
        <f>Tabelle5897112140[[#This Row],[Maximalauslastung min]]*Tabelle5897112140[[#This Row],[installierte Leistung MW min]]</f>
        <v>0</v>
      </c>
      <c r="DI200" s="46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0">
        <f>Tabelle5897112140[[#This Row],[Durchschnittsauslastung min]]*Tabelle5897112140[[#This Row],[installierte Leistung MW min]]</f>
        <v>9.3480000000000008</v>
      </c>
      <c r="DF201" s="40">
        <f>Tabelle5897112140[[#This Row],[Durchschnittsauslastung durch]]*Tabelle5897112140[[#This Row],[installierte Leistung MW durch]]</f>
        <v>18.805333333333333</v>
      </c>
      <c r="DG201" s="40">
        <f>Tabelle5897112140[[#This Row],[Durchschnittsauslastung max]]*Tabelle5897112140[[#This Row],[installierte Leistung MW max]]</f>
        <v>31.16</v>
      </c>
      <c r="DH201" s="46">
        <f>Tabelle5897112140[[#This Row],[Maximalauslastung min]]*Tabelle5897112140[[#This Row],[installierte Leistung MW min]]</f>
        <v>0</v>
      </c>
      <c r="DI201" s="46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0">
        <f>Tabelle5897112140[[#This Row],[Durchschnittsauslastung min]]*Tabelle5897112140[[#This Row],[installierte Leistung MW min]]</f>
        <v>0</v>
      </c>
      <c r="DF202" s="40">
        <f>Tabelle5897112140[[#This Row],[Durchschnittsauslastung durch]]*Tabelle5897112140[[#This Row],[installierte Leistung MW durch]]</f>
        <v>253.84333333333325</v>
      </c>
      <c r="DG202" s="40">
        <f>Tabelle5897112140[[#This Row],[Durchschnittsauslastung max]]*Tabelle5897112140[[#This Row],[installierte Leistung MW max]]</f>
        <v>668.80000000000007</v>
      </c>
      <c r="DH202" s="46">
        <f>Tabelle5897112140[[#This Row],[Maximalauslastung min]]*Tabelle5897112140[[#This Row],[installierte Leistung MW min]]</f>
        <v>0</v>
      </c>
      <c r="DI202" s="46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0">
        <f>Tabelle5897112140[[#This Row],[Durchschnittsauslastung min]]*Tabelle5897112140[[#This Row],[installierte Leistung MW min]]</f>
        <v>0</v>
      </c>
      <c r="DF203" s="40">
        <f>Tabelle5897112140[[#This Row],[Durchschnittsauslastung durch]]*Tabelle5897112140[[#This Row],[installierte Leistung MW durch]]</f>
        <v>246.22803333333326</v>
      </c>
      <c r="DG203" s="40">
        <f>Tabelle5897112140[[#This Row],[Durchschnittsauslastung max]]*Tabelle5897112140[[#This Row],[installierte Leistung MW max]]</f>
        <v>648.73599999999999</v>
      </c>
      <c r="DH203" s="46">
        <f>Tabelle5897112140[[#This Row],[Maximalauslastung min]]*Tabelle5897112140[[#This Row],[installierte Leistung MW min]]</f>
        <v>327.86</v>
      </c>
      <c r="DI203" s="46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0">
        <f>Tabelle5897112140[[#This Row],[Durchschnittsauslastung min]]*Tabelle5897112140[[#This Row],[installierte Leistung MW min]]</f>
        <v>0</v>
      </c>
      <c r="DF204" s="40">
        <f>Tabelle5897112140[[#This Row],[Durchschnittsauslastung durch]]*Tabelle5897112140[[#This Row],[installierte Leistung MW durch]]</f>
        <v>241.1511666666666</v>
      </c>
      <c r="DG204" s="40">
        <f>Tabelle5897112140[[#This Row],[Durchschnittsauslastung max]]*Tabelle5897112140[[#This Row],[installierte Leistung MW max]]</f>
        <v>635.36000000000013</v>
      </c>
      <c r="DH204" s="46">
        <f>Tabelle5897112140[[#This Row],[Maximalauslastung min]]*Tabelle5897112140[[#This Row],[installierte Leistung MW min]]</f>
        <v>321.10000000000002</v>
      </c>
      <c r="DI204" s="46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0">
        <f>Tabelle5897112140[[#This Row],[Durchschnittsauslastung min]]*Tabelle5897112140[[#This Row],[installierte Leistung MW min]]</f>
        <v>0</v>
      </c>
      <c r="DF205" s="40">
        <f>Tabelle5897112140[[#This Row],[Durchschnittsauslastung durch]]*Tabelle5897112140[[#This Row],[installierte Leistung MW durch]]</f>
        <v>233.53586666666661</v>
      </c>
      <c r="DG205" s="40">
        <f>Tabelle5897112140[[#This Row],[Durchschnittsauslastung max]]*Tabelle5897112140[[#This Row],[installierte Leistung MW max]]</f>
        <v>615.29600000000005</v>
      </c>
      <c r="DH205" s="46">
        <f>Tabelle5897112140[[#This Row],[Maximalauslastung min]]*Tabelle5897112140[[#This Row],[installierte Leistung MW min]]</f>
        <v>310.95999999999998</v>
      </c>
      <c r="DI205" s="46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0">
        <f>Tabelle5897112140[[#This Row],[Durchschnittsauslastung min]]*Tabelle5897112140[[#This Row],[installierte Leistung MW min]]</f>
        <v>0</v>
      </c>
      <c r="DF206" s="40">
        <f>Tabelle5897112140[[#This Row],[Durchschnittsauslastung durch]]*Tabelle5897112140[[#This Row],[installierte Leistung MW durch]]</f>
        <v>225.92056666666662</v>
      </c>
      <c r="DG206" s="40">
        <f>Tabelle5897112140[[#This Row],[Durchschnittsauslastung max]]*Tabelle5897112140[[#This Row],[installierte Leistung MW max]]</f>
        <v>595.23200000000008</v>
      </c>
      <c r="DH206" s="46">
        <f>Tabelle5897112140[[#This Row],[Maximalauslastung min]]*Tabelle5897112140[[#This Row],[installierte Leistung MW min]]</f>
        <v>300.82</v>
      </c>
      <c r="DI206" s="46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0">
        <f>Tabelle5897112140[[#This Row],[Durchschnittsauslastung min]]*Tabelle5897112140[[#This Row],[installierte Leistung MW min]]</f>
        <v>0</v>
      </c>
      <c r="DF207" s="40">
        <f>Tabelle5897112140[[#This Row],[Durchschnittsauslastung durch]]*Tabelle5897112140[[#This Row],[installierte Leistung MW durch]]</f>
        <v>220.84369999999993</v>
      </c>
      <c r="DG207" s="40">
        <f>Tabelle5897112140[[#This Row],[Durchschnittsauslastung max]]*Tabelle5897112140[[#This Row],[installierte Leistung MW max]]</f>
        <v>581.85600000000011</v>
      </c>
      <c r="DH207" s="46">
        <f>Tabelle5897112140[[#This Row],[Maximalauslastung min]]*Tabelle5897112140[[#This Row],[installierte Leistung MW min]]</f>
        <v>294.06</v>
      </c>
      <c r="DI207" s="46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0">
        <f>Tabelle5897112140[[#This Row],[Durchschnittsauslastung min]]*Tabelle5897112140[[#This Row],[installierte Leistung MW min]]</f>
        <v>0</v>
      </c>
      <c r="DF208" s="40">
        <f>Tabelle5897112140[[#This Row],[Durchschnittsauslastung durch]]*Tabelle5897112140[[#This Row],[installierte Leistung MW durch]]</f>
        <v>213.22839999999994</v>
      </c>
      <c r="DG208" s="40">
        <f>Tabelle5897112140[[#This Row],[Durchschnittsauslastung max]]*Tabelle5897112140[[#This Row],[installierte Leistung MW max]]</f>
        <v>561.79200000000003</v>
      </c>
      <c r="DH208" s="46">
        <f>Tabelle5897112140[[#This Row],[Maximalauslastung min]]*Tabelle5897112140[[#This Row],[installierte Leistung MW min]]</f>
        <v>283.92</v>
      </c>
      <c r="DI208" s="46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0">
        <f>Tabelle5897112140[[#This Row],[Durchschnittsauslastung min]]*Tabelle5897112140[[#This Row],[installierte Leistung MW min]]</f>
        <v>0</v>
      </c>
      <c r="DF209" s="40">
        <f>Tabelle5897112140[[#This Row],[Durchschnittsauslastung durch]]*Tabelle5897112140[[#This Row],[installierte Leistung MW durch]]</f>
        <v>208.15153333333328</v>
      </c>
      <c r="DG209" s="40">
        <f>Tabelle5897112140[[#This Row],[Durchschnittsauslastung max]]*Tabelle5897112140[[#This Row],[installierte Leistung MW max]]</f>
        <v>548.41600000000005</v>
      </c>
      <c r="DH209" s="46">
        <f>Tabelle5897112140[[#This Row],[Maximalauslastung min]]*Tabelle5897112140[[#This Row],[installierte Leistung MW min]]</f>
        <v>277.16000000000003</v>
      </c>
      <c r="DI209" s="46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0">
        <f>Tabelle5897112140[[#This Row],[Durchschnittsauslastung min]]*Tabelle5897112140[[#This Row],[installierte Leistung MW min]]</f>
        <v>0</v>
      </c>
      <c r="DF210" s="40">
        <f>Tabelle5897112140[[#This Row],[Durchschnittsauslastung durch]]*Tabelle5897112140[[#This Row],[installierte Leistung MW durch]]</f>
        <v>23.686666666666664</v>
      </c>
      <c r="DG210" s="40">
        <f>Tabelle5897112140[[#This Row],[Durchschnittsauslastung max]]*Tabelle5897112140[[#This Row],[installierte Leistung MW max]]</f>
        <v>269.60999999999996</v>
      </c>
      <c r="DH210" s="46">
        <f>Tabelle5897112140[[#This Row],[Maximalauslastung min]]*Tabelle5897112140[[#This Row],[installierte Leistung MW min]]</f>
        <v>275</v>
      </c>
      <c r="DI210" s="46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0">
        <f>Tabelle5897112140[[#This Row],[Durchschnittsauslastung min]]*Tabelle5897112140[[#This Row],[installierte Leistung MW min]]</f>
        <v>0</v>
      </c>
      <c r="DF211" s="40">
        <f>Tabelle5897112140[[#This Row],[Durchschnittsauslastung durch]]*Tabelle5897112140[[#This Row],[installierte Leistung MW durch]]</f>
        <v>25.107866666666663</v>
      </c>
      <c r="DG211" s="40">
        <f>Tabelle5897112140[[#This Row],[Durchschnittsauslastung max]]*Tabelle5897112140[[#This Row],[installierte Leistung MW max]]</f>
        <v>285.78659999999996</v>
      </c>
      <c r="DH211" s="46">
        <f>Tabelle5897112140[[#This Row],[Maximalauslastung min]]*Tabelle5897112140[[#This Row],[installierte Leistung MW min]]</f>
        <v>64.13</v>
      </c>
      <c r="DI211" s="46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0">
        <f>Tabelle5897112140[[#This Row],[Durchschnittsauslastung min]]*Tabelle5897112140[[#This Row],[installierte Leistung MW min]]</f>
        <v>0</v>
      </c>
      <c r="DF212" s="40">
        <f>Tabelle5897112140[[#This Row],[Durchschnittsauslastung durch]]*Tabelle5897112140[[#This Row],[installierte Leistung MW durch]]</f>
        <v>26.292199999999994</v>
      </c>
      <c r="DG212" s="40">
        <f>Tabelle5897112140[[#This Row],[Durchschnittsauslastung max]]*Tabelle5897112140[[#This Row],[installierte Leistung MW max]]</f>
        <v>299.26709999999997</v>
      </c>
      <c r="DH212" s="46">
        <f>Tabelle5897112140[[#This Row],[Maximalauslastung min]]*Tabelle5897112140[[#This Row],[installierte Leistung MW min]]</f>
        <v>67.155000000000001</v>
      </c>
      <c r="DI212" s="46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0">
        <f>Tabelle5897112140[[#This Row],[Durchschnittsauslastung min]]*Tabelle5897112140[[#This Row],[installierte Leistung MW min]]</f>
        <v>0</v>
      </c>
      <c r="DF213" s="40">
        <f>Tabelle5897112140[[#This Row],[Durchschnittsauslastung durch]]*Tabelle5897112140[[#This Row],[installierte Leistung MW durch]]</f>
        <v>27.950266666666664</v>
      </c>
      <c r="DG213" s="40">
        <f>Tabelle5897112140[[#This Row],[Durchschnittsauslastung max]]*Tabelle5897112140[[#This Row],[installierte Leistung MW max]]</f>
        <v>318.13979999999998</v>
      </c>
      <c r="DH213" s="46">
        <f>Tabelle5897112140[[#This Row],[Maximalauslastung min]]*Tabelle5897112140[[#This Row],[installierte Leistung MW min]]</f>
        <v>71.39</v>
      </c>
      <c r="DI213" s="46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0">
        <f>Tabelle5897112140[[#This Row],[Durchschnittsauslastung min]]*Tabelle5897112140[[#This Row],[installierte Leistung MW min]]</f>
        <v>0</v>
      </c>
      <c r="DF214" s="40">
        <f>Tabelle5897112140[[#This Row],[Durchschnittsauslastung durch]]*Tabelle5897112140[[#This Row],[installierte Leistung MW durch]]</f>
        <v>29.371466666666663</v>
      </c>
      <c r="DG214" s="40">
        <f>Tabelle5897112140[[#This Row],[Durchschnittsauslastung max]]*Tabelle5897112140[[#This Row],[installierte Leistung MW max]]</f>
        <v>334.31639999999999</v>
      </c>
      <c r="DH214" s="46">
        <f>Tabelle5897112140[[#This Row],[Maximalauslastung min]]*Tabelle5897112140[[#This Row],[installierte Leistung MW min]]</f>
        <v>75.02</v>
      </c>
      <c r="DI214" s="46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0">
        <f>Tabelle5897112140[[#This Row],[Durchschnittsauslastung min]]*Tabelle5897112140[[#This Row],[installierte Leistung MW min]]</f>
        <v>0</v>
      </c>
      <c r="DF215" s="40">
        <f>Tabelle5897112140[[#This Row],[Durchschnittsauslastung durch]]*Tabelle5897112140[[#This Row],[installierte Leistung MW durch]]</f>
        <v>31.02953333333333</v>
      </c>
      <c r="DG215" s="40">
        <f>Tabelle5897112140[[#This Row],[Durchschnittsauslastung max]]*Tabelle5897112140[[#This Row],[installierte Leistung MW max]]</f>
        <v>353.18909999999994</v>
      </c>
      <c r="DH215" s="46">
        <f>Tabelle5897112140[[#This Row],[Maximalauslastung min]]*Tabelle5897112140[[#This Row],[installierte Leistung MW min]]</f>
        <v>79.254999999999995</v>
      </c>
      <c r="DI215" s="46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0">
        <f>Tabelle5897112140[[#This Row],[Durchschnittsauslastung min]]*Tabelle5897112140[[#This Row],[installierte Leistung MW min]]</f>
        <v>0</v>
      </c>
      <c r="DF216" s="40">
        <f>Tabelle5897112140[[#This Row],[Durchschnittsauslastung durch]]*Tabelle5897112140[[#This Row],[installierte Leistung MW durch]]</f>
        <v>32.92446666666666</v>
      </c>
      <c r="DG216" s="40">
        <f>Tabelle5897112140[[#This Row],[Durchschnittsauslastung max]]*Tabelle5897112140[[#This Row],[installierte Leistung MW max]]</f>
        <v>374.75790000000001</v>
      </c>
      <c r="DH216" s="46">
        <f>Tabelle5897112140[[#This Row],[Maximalauslastung min]]*Tabelle5897112140[[#This Row],[installierte Leistung MW min]]</f>
        <v>84.094999999999999</v>
      </c>
      <c r="DI216" s="46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0">
        <f>Tabelle5897112140[[#This Row],[Durchschnittsauslastung min]]*Tabelle5897112140[[#This Row],[installierte Leistung MW min]]</f>
        <v>0</v>
      </c>
      <c r="DF217" s="40">
        <f>Tabelle5897112140[[#This Row],[Durchschnittsauslastung durch]]*Tabelle5897112140[[#This Row],[installierte Leistung MW durch]]</f>
        <v>34.819399999999995</v>
      </c>
      <c r="DG217" s="40">
        <f>Tabelle5897112140[[#This Row],[Durchschnittsauslastung max]]*Tabelle5897112140[[#This Row],[installierte Leistung MW max]]</f>
        <v>396.32669999999996</v>
      </c>
      <c r="DH217" s="46">
        <f>Tabelle5897112140[[#This Row],[Maximalauslastung min]]*Tabelle5897112140[[#This Row],[installierte Leistung MW min]]</f>
        <v>88.935000000000002</v>
      </c>
      <c r="DI217" s="46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0">
        <f>Tabelle5897112140[[#This Row],[Durchschnittsauslastung min]]*Tabelle5897112140[[#This Row],[installierte Leistung MW min]]</f>
        <v>16.72</v>
      </c>
      <c r="DF218" s="40">
        <f>Tabelle5897112140[[#This Row],[Durchschnittsauslastung durch]]*Tabelle5897112140[[#This Row],[installierte Leistung MW durch]]</f>
        <v>35.933333333333337</v>
      </c>
      <c r="DG218" s="40">
        <f>Tabelle5897112140[[#This Row],[Durchschnittsauslastung max]]*Tabelle5897112140[[#This Row],[installierte Leistung MW max]]</f>
        <v>79.2</v>
      </c>
      <c r="DH218" s="46">
        <f>Tabelle5897112140[[#This Row],[Maximalauslastung min]]*Tabelle5897112140[[#This Row],[installierte Leistung MW min]]</f>
        <v>19.36</v>
      </c>
      <c r="DI218" s="46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0">
        <f>Tabelle5897112140[[#This Row],[Durchschnittsauslastung min]]*Tabelle5897112140[[#This Row],[installierte Leistung MW min]]</f>
        <v>17.723200000000002</v>
      </c>
      <c r="DF219" s="40">
        <f>Tabelle5897112140[[#This Row],[Durchschnittsauslastung durch]]*Tabelle5897112140[[#This Row],[installierte Leistung MW durch]]</f>
        <v>38.089333333333336</v>
      </c>
      <c r="DG219" s="40">
        <f>Tabelle5897112140[[#This Row],[Durchschnittsauslastung max]]*Tabelle5897112140[[#This Row],[installierte Leistung MW max]]</f>
        <v>83.951999999999984</v>
      </c>
      <c r="DH219" s="46">
        <f>Tabelle5897112140[[#This Row],[Maximalauslastung min]]*Tabelle5897112140[[#This Row],[installierte Leistung MW min]]</f>
        <v>42.908799999999999</v>
      </c>
      <c r="DI219" s="46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0">
        <f>Tabelle5897112140[[#This Row],[Durchschnittsauslastung min]]*Tabelle5897112140[[#This Row],[installierte Leistung MW min]]</f>
        <v>18.559200000000001</v>
      </c>
      <c r="DF220" s="40">
        <f>Tabelle5897112140[[#This Row],[Durchschnittsauslastung durch]]*Tabelle5897112140[[#This Row],[installierte Leistung MW durch]]</f>
        <v>39.886000000000003</v>
      </c>
      <c r="DG220" s="40">
        <f>Tabelle5897112140[[#This Row],[Durchschnittsauslastung max]]*Tabelle5897112140[[#This Row],[installierte Leistung MW max]]</f>
        <v>87.912000000000006</v>
      </c>
      <c r="DH220" s="46">
        <f>Tabelle5897112140[[#This Row],[Maximalauslastung min]]*Tabelle5897112140[[#This Row],[installierte Leistung MW min]]</f>
        <v>44.932800000000007</v>
      </c>
      <c r="DI220" s="46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0">
        <f>Tabelle5897112140[[#This Row],[Durchschnittsauslastung min]]*Tabelle5897112140[[#This Row],[installierte Leistung MW min]]</f>
        <v>19.729600000000001</v>
      </c>
      <c r="DF221" s="40">
        <f>Tabelle5897112140[[#This Row],[Durchschnittsauslastung durch]]*Tabelle5897112140[[#This Row],[installierte Leistung MW durch]]</f>
        <v>42.401333333333341</v>
      </c>
      <c r="DG221" s="40">
        <f>Tabelle5897112140[[#This Row],[Durchschnittsauslastung max]]*Tabelle5897112140[[#This Row],[installierte Leistung MW max]]</f>
        <v>93.455999999999989</v>
      </c>
      <c r="DH221" s="46">
        <f>Tabelle5897112140[[#This Row],[Maximalauslastung min]]*Tabelle5897112140[[#This Row],[installierte Leistung MW min]]</f>
        <v>47.766400000000004</v>
      </c>
      <c r="DI221" s="46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0">
        <f>Tabelle5897112140[[#This Row],[Durchschnittsauslastung min]]*Tabelle5897112140[[#This Row],[installierte Leistung MW min]]</f>
        <v>20.732800000000001</v>
      </c>
      <c r="DF222" s="40">
        <f>Tabelle5897112140[[#This Row],[Durchschnittsauslastung durch]]*Tabelle5897112140[[#This Row],[installierte Leistung MW durch]]</f>
        <v>44.557333333333339</v>
      </c>
      <c r="DG222" s="40">
        <f>Tabelle5897112140[[#This Row],[Durchschnittsauslastung max]]*Tabelle5897112140[[#This Row],[installierte Leistung MW max]]</f>
        <v>98.207999999999998</v>
      </c>
      <c r="DH222" s="46">
        <f>Tabelle5897112140[[#This Row],[Maximalauslastung min]]*Tabelle5897112140[[#This Row],[installierte Leistung MW min]]</f>
        <v>50.195200000000007</v>
      </c>
      <c r="DI222" s="46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0">
        <f>Tabelle5897112140[[#This Row],[Durchschnittsauslastung min]]*Tabelle5897112140[[#This Row],[installierte Leistung MW min]]</f>
        <v>21.903200000000002</v>
      </c>
      <c r="DF223" s="40">
        <f>Tabelle5897112140[[#This Row],[Durchschnittsauslastung durch]]*Tabelle5897112140[[#This Row],[installierte Leistung MW durch]]</f>
        <v>47.07266666666667</v>
      </c>
      <c r="DG223" s="40">
        <f>Tabelle5897112140[[#This Row],[Durchschnittsauslastung max]]*Tabelle5897112140[[#This Row],[installierte Leistung MW max]]</f>
        <v>103.752</v>
      </c>
      <c r="DH223" s="46">
        <f>Tabelle5897112140[[#This Row],[Maximalauslastung min]]*Tabelle5897112140[[#This Row],[installierte Leistung MW min]]</f>
        <v>53.028800000000004</v>
      </c>
      <c r="DI223" s="46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0">
        <f>Tabelle5897112140[[#This Row],[Durchschnittsauslastung min]]*Tabelle5897112140[[#This Row],[installierte Leistung MW min]]</f>
        <v>23.2408</v>
      </c>
      <c r="DF224" s="40">
        <f>Tabelle5897112140[[#This Row],[Durchschnittsauslastung durch]]*Tabelle5897112140[[#This Row],[installierte Leistung MW durch]]</f>
        <v>49.94733333333334</v>
      </c>
      <c r="DG224" s="40">
        <f>Tabelle5897112140[[#This Row],[Durchschnittsauslastung max]]*Tabelle5897112140[[#This Row],[installierte Leistung MW max]]</f>
        <v>110.08799999999999</v>
      </c>
      <c r="DH224" s="46">
        <f>Tabelle5897112140[[#This Row],[Maximalauslastung min]]*Tabelle5897112140[[#This Row],[installierte Leistung MW min]]</f>
        <v>56.267200000000003</v>
      </c>
      <c r="DI224" s="46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0">
        <f>Tabelle5897112140[[#This Row],[Durchschnittsauslastung min]]*Tabelle5897112140[[#This Row],[installierte Leistung MW min]]</f>
        <v>24.578400000000002</v>
      </c>
      <c r="DF225" s="40">
        <f>Tabelle5897112140[[#This Row],[Durchschnittsauslastung durch]]*Tabelle5897112140[[#This Row],[installierte Leistung MW durch]]</f>
        <v>52.822000000000003</v>
      </c>
      <c r="DG225" s="40">
        <f>Tabelle5897112140[[#This Row],[Durchschnittsauslastung max]]*Tabelle5897112140[[#This Row],[installierte Leistung MW max]]</f>
        <v>116.42399999999999</v>
      </c>
      <c r="DH225" s="46">
        <f>Tabelle5897112140[[#This Row],[Maximalauslastung min]]*Tabelle5897112140[[#This Row],[installierte Leistung MW min]]</f>
        <v>59.505600000000008</v>
      </c>
      <c r="DI225" s="46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0">
        <f>Tabelle5897112140[[#This Row],[Durchschnittsauslastung min]]*Tabelle5897112140[[#This Row],[installierte Leistung MW min]]</f>
        <v>0</v>
      </c>
      <c r="DF226" s="40">
        <f>Tabelle5897112140[[#This Row],[Durchschnittsauslastung durch]]*Tabelle5897112140[[#This Row],[installierte Leistung MW durch]]</f>
        <v>10.196666666666665</v>
      </c>
      <c r="DG226" s="40">
        <f>Tabelle5897112140[[#This Row],[Durchschnittsauslastung max]]*Tabelle5897112140[[#This Row],[installierte Leistung MW max]]</f>
        <v>117.99</v>
      </c>
      <c r="DH226" s="46">
        <f>Tabelle5897112140[[#This Row],[Maximalauslastung min]]*Tabelle5897112140[[#This Row],[installierte Leistung MW min]]</f>
        <v>52.900000000000006</v>
      </c>
      <c r="DI226" s="46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0">
        <f>Tabelle5897112140[[#This Row],[Durchschnittsauslastung min]]*Tabelle5897112140[[#This Row],[installierte Leistung MW min]]</f>
        <v>0</v>
      </c>
      <c r="DF227" s="40">
        <f>Tabelle5897112140[[#This Row],[Durchschnittsauslastung durch]]*Tabelle5897112140[[#This Row],[installierte Leistung MW durch]]</f>
        <v>10.298633333333333</v>
      </c>
      <c r="DG227" s="40">
        <f>Tabelle5897112140[[#This Row],[Durchschnittsauslastung max]]*Tabelle5897112140[[#This Row],[installierte Leistung MW max]]</f>
        <v>119.16989999999998</v>
      </c>
      <c r="DH227" s="46">
        <f>Tabelle5897112140[[#This Row],[Maximalauslastung min]]*Tabelle5897112140[[#This Row],[installierte Leistung MW min]]</f>
        <v>25.553000000000001</v>
      </c>
      <c r="DI227" s="46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0">
        <f>Tabelle5897112140[[#This Row],[Durchschnittsauslastung min]]*Tabelle5897112140[[#This Row],[installierte Leistung MW min]]</f>
        <v>0</v>
      </c>
      <c r="DF228" s="40">
        <f>Tabelle5897112140[[#This Row],[Durchschnittsauslastung durch]]*Tabelle5897112140[[#This Row],[installierte Leistung MW durch]]</f>
        <v>10.400599999999999</v>
      </c>
      <c r="DG228" s="40">
        <f>Tabelle5897112140[[#This Row],[Durchschnittsauslastung max]]*Tabelle5897112140[[#This Row],[installierte Leistung MW max]]</f>
        <v>120.34979999999999</v>
      </c>
      <c r="DH228" s="46">
        <f>Tabelle5897112140[[#This Row],[Maximalauslastung min]]*Tabelle5897112140[[#This Row],[installierte Leistung MW min]]</f>
        <v>25.806000000000001</v>
      </c>
      <c r="DI228" s="46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0">
        <f>Tabelle5897112140[[#This Row],[Durchschnittsauslastung min]]*Tabelle5897112140[[#This Row],[installierte Leistung MW min]]</f>
        <v>0</v>
      </c>
      <c r="DF229" s="40">
        <f>Tabelle5897112140[[#This Row],[Durchschnittsauslastung durch]]*Tabelle5897112140[[#This Row],[installierte Leistung MW durch]]</f>
        <v>10.502566666666667</v>
      </c>
      <c r="DG229" s="40">
        <f>Tabelle5897112140[[#This Row],[Durchschnittsauslastung max]]*Tabelle5897112140[[#This Row],[installierte Leistung MW max]]</f>
        <v>121.52969999999999</v>
      </c>
      <c r="DH229" s="46">
        <f>Tabelle5897112140[[#This Row],[Maximalauslastung min]]*Tabelle5897112140[[#This Row],[installierte Leistung MW min]]</f>
        <v>26.059000000000001</v>
      </c>
      <c r="DI229" s="46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0">
        <f>Tabelle5897112140[[#This Row],[Durchschnittsauslastung min]]*Tabelle5897112140[[#This Row],[installierte Leistung MW min]]</f>
        <v>0</v>
      </c>
      <c r="DF230" s="40">
        <f>Tabelle5897112140[[#This Row],[Durchschnittsauslastung durch]]*Tabelle5897112140[[#This Row],[installierte Leistung MW durch]]</f>
        <v>10.7065</v>
      </c>
      <c r="DG230" s="40">
        <f>Tabelle5897112140[[#This Row],[Durchschnittsauslastung max]]*Tabelle5897112140[[#This Row],[installierte Leistung MW max]]</f>
        <v>123.88949999999998</v>
      </c>
      <c r="DH230" s="46">
        <f>Tabelle5897112140[[#This Row],[Maximalauslastung min]]*Tabelle5897112140[[#This Row],[installierte Leistung MW min]]</f>
        <v>26.565000000000001</v>
      </c>
      <c r="DI230" s="46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0">
        <f>Tabelle5897112140[[#This Row],[Durchschnittsauslastung min]]*Tabelle5897112140[[#This Row],[installierte Leistung MW min]]</f>
        <v>0</v>
      </c>
      <c r="DF231" s="40">
        <f>Tabelle5897112140[[#This Row],[Durchschnittsauslastung durch]]*Tabelle5897112140[[#This Row],[installierte Leistung MW durch]]</f>
        <v>10.808466666666664</v>
      </c>
      <c r="DG231" s="40">
        <f>Tabelle5897112140[[#This Row],[Durchschnittsauslastung max]]*Tabelle5897112140[[#This Row],[installierte Leistung MW max]]</f>
        <v>125.06939999999999</v>
      </c>
      <c r="DH231" s="46">
        <f>Tabelle5897112140[[#This Row],[Maximalauslastung min]]*Tabelle5897112140[[#This Row],[installierte Leistung MW min]]</f>
        <v>26.818000000000001</v>
      </c>
      <c r="DI231" s="46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0">
        <f>Tabelle5897112140[[#This Row],[Durchschnittsauslastung min]]*Tabelle5897112140[[#This Row],[installierte Leistung MW min]]</f>
        <v>0</v>
      </c>
      <c r="DF232" s="40">
        <f>Tabelle5897112140[[#This Row],[Durchschnittsauslastung durch]]*Tabelle5897112140[[#This Row],[installierte Leistung MW durch]]</f>
        <v>10.910433333333332</v>
      </c>
      <c r="DG232" s="40">
        <f>Tabelle5897112140[[#This Row],[Durchschnittsauslastung max]]*Tabelle5897112140[[#This Row],[installierte Leistung MW max]]</f>
        <v>126.24929999999999</v>
      </c>
      <c r="DH232" s="46">
        <f>Tabelle5897112140[[#This Row],[Maximalauslastung min]]*Tabelle5897112140[[#This Row],[installierte Leistung MW min]]</f>
        <v>27.070999999999998</v>
      </c>
      <c r="DI232" s="46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0">
        <f>Tabelle5897112140[[#This Row],[Durchschnittsauslastung min]]*Tabelle5897112140[[#This Row],[installierte Leistung MW min]]</f>
        <v>0</v>
      </c>
      <c r="DF233" s="40">
        <f>Tabelle5897112140[[#This Row],[Durchschnittsauslastung durch]]*Tabelle5897112140[[#This Row],[installierte Leistung MW durch]]</f>
        <v>11.114366666666665</v>
      </c>
      <c r="DG233" s="40">
        <f>Tabelle5897112140[[#This Row],[Durchschnittsauslastung max]]*Tabelle5897112140[[#This Row],[installierte Leistung MW max]]</f>
        <v>128.60909999999998</v>
      </c>
      <c r="DH233" s="46">
        <f>Tabelle5897112140[[#This Row],[Maximalauslastung min]]*Tabelle5897112140[[#This Row],[installierte Leistung MW min]]</f>
        <v>27.576999999999998</v>
      </c>
      <c r="DI233" s="46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0">
        <f>Tabelle5897112140[[#This Row],[Durchschnittsauslastung min]]*Tabelle5897112140[[#This Row],[installierte Leistung MW min]]</f>
        <v>6.84</v>
      </c>
      <c r="DF234" s="40">
        <f>Tabelle5897112140[[#This Row],[Durchschnittsauslastung durch]]*Tabelle5897112140[[#This Row],[installierte Leistung MW durch]]</f>
        <v>15.353333333333335</v>
      </c>
      <c r="DG234" s="40">
        <f>Tabelle5897112140[[#This Row],[Durchschnittsauslastung max]]*Tabelle5897112140[[#This Row],[installierte Leistung MW max]]</f>
        <v>34.799999999999997</v>
      </c>
      <c r="DH234" s="46">
        <f>Tabelle5897112140[[#This Row],[Maximalauslastung min]]*Tabelle5897112140[[#This Row],[installierte Leistung MW min]]</f>
        <v>7.92</v>
      </c>
      <c r="DI234" s="46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0">
        <f>Tabelle5897112140[[#This Row],[Durchschnittsauslastung min]]*Tabelle5897112140[[#This Row],[installierte Leistung MW min]]</f>
        <v>6.9084000000000003</v>
      </c>
      <c r="DF235" s="40">
        <f>Tabelle5897112140[[#This Row],[Durchschnittsauslastung durch]]*Tabelle5897112140[[#This Row],[installierte Leistung MW durch]]</f>
        <v>15.506866666666669</v>
      </c>
      <c r="DG235" s="40">
        <f>Tabelle5897112140[[#This Row],[Durchschnittsauslastung max]]*Tabelle5897112140[[#This Row],[installierte Leistung MW max]]</f>
        <v>35.147999999999996</v>
      </c>
      <c r="DH235" s="46">
        <f>Tabelle5897112140[[#This Row],[Maximalauslastung min]]*Tabelle5897112140[[#This Row],[installierte Leistung MW min]]</f>
        <v>16.7256</v>
      </c>
      <c r="DI235" s="46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0">
        <f>Tabelle5897112140[[#This Row],[Durchschnittsauslastung min]]*Tabelle5897112140[[#This Row],[installierte Leistung MW min]]</f>
        <v>6.9767999999999999</v>
      </c>
      <c r="DF236" s="40">
        <f>Tabelle5897112140[[#This Row],[Durchschnittsauslastung durch]]*Tabelle5897112140[[#This Row],[installierte Leistung MW durch]]</f>
        <v>15.660400000000001</v>
      </c>
      <c r="DG236" s="40">
        <f>Tabelle5897112140[[#This Row],[Durchschnittsauslastung max]]*Tabelle5897112140[[#This Row],[installierte Leistung MW max]]</f>
        <v>35.495999999999995</v>
      </c>
      <c r="DH236" s="46">
        <f>Tabelle5897112140[[#This Row],[Maximalauslastung min]]*Tabelle5897112140[[#This Row],[installierte Leistung MW min]]</f>
        <v>16.891200000000001</v>
      </c>
      <c r="DI236" s="46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0">
        <f>Tabelle5897112140[[#This Row],[Durchschnittsauslastung min]]*Tabelle5897112140[[#This Row],[installierte Leistung MW min]]</f>
        <v>7.0451999999999995</v>
      </c>
      <c r="DF237" s="40">
        <f>Tabelle5897112140[[#This Row],[Durchschnittsauslastung durch]]*Tabelle5897112140[[#This Row],[installierte Leistung MW durch]]</f>
        <v>15.813933333333335</v>
      </c>
      <c r="DG237" s="40">
        <f>Tabelle5897112140[[#This Row],[Durchschnittsauslastung max]]*Tabelle5897112140[[#This Row],[installierte Leistung MW max]]</f>
        <v>35.844000000000001</v>
      </c>
      <c r="DH237" s="46">
        <f>Tabelle5897112140[[#This Row],[Maximalauslastung min]]*Tabelle5897112140[[#This Row],[installierte Leistung MW min]]</f>
        <v>17.056799999999999</v>
      </c>
      <c r="DI237" s="46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0">
        <f>Tabelle5897112140[[#This Row],[Durchschnittsauslastung min]]*Tabelle5897112140[[#This Row],[installierte Leistung MW min]]</f>
        <v>7.1819999999999995</v>
      </c>
      <c r="DF238" s="40">
        <f>Tabelle5897112140[[#This Row],[Durchschnittsauslastung durch]]*Tabelle5897112140[[#This Row],[installierte Leistung MW durch]]</f>
        <v>16.121000000000002</v>
      </c>
      <c r="DG238" s="40">
        <f>Tabelle5897112140[[#This Row],[Durchschnittsauslastung max]]*Tabelle5897112140[[#This Row],[installierte Leistung MW max]]</f>
        <v>36.54</v>
      </c>
      <c r="DH238" s="46">
        <f>Tabelle5897112140[[#This Row],[Maximalauslastung min]]*Tabelle5897112140[[#This Row],[installierte Leistung MW min]]</f>
        <v>17.387999999999998</v>
      </c>
      <c r="DI238" s="46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0">
        <f>Tabelle5897112140[[#This Row],[Durchschnittsauslastung min]]*Tabelle5897112140[[#This Row],[installierte Leistung MW min]]</f>
        <v>7.2503999999999991</v>
      </c>
      <c r="DF239" s="40">
        <f>Tabelle5897112140[[#This Row],[Durchschnittsauslastung durch]]*Tabelle5897112140[[#This Row],[installierte Leistung MW durch]]</f>
        <v>16.274533333333334</v>
      </c>
      <c r="DG239" s="40">
        <f>Tabelle5897112140[[#This Row],[Durchschnittsauslastung max]]*Tabelle5897112140[[#This Row],[installierte Leistung MW max]]</f>
        <v>36.887999999999998</v>
      </c>
      <c r="DH239" s="46">
        <f>Tabelle5897112140[[#This Row],[Maximalauslastung min]]*Tabelle5897112140[[#This Row],[installierte Leistung MW min]]</f>
        <v>17.553599999999999</v>
      </c>
      <c r="DI239" s="46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0">
        <f>Tabelle5897112140[[#This Row],[Durchschnittsauslastung min]]*Tabelle5897112140[[#This Row],[installierte Leistung MW min]]</f>
        <v>7.3188000000000004</v>
      </c>
      <c r="DF240" s="40">
        <f>Tabelle5897112140[[#This Row],[Durchschnittsauslastung durch]]*Tabelle5897112140[[#This Row],[installierte Leistung MW durch]]</f>
        <v>16.42806666666667</v>
      </c>
      <c r="DG240" s="40">
        <f>Tabelle5897112140[[#This Row],[Durchschnittsauslastung max]]*Tabelle5897112140[[#This Row],[installierte Leistung MW max]]</f>
        <v>37.235999999999997</v>
      </c>
      <c r="DH240" s="46">
        <f>Tabelle5897112140[[#This Row],[Maximalauslastung min]]*Tabelle5897112140[[#This Row],[installierte Leistung MW min]]</f>
        <v>17.719200000000001</v>
      </c>
      <c r="DI240" s="46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0">
        <f>Tabelle5897112140[[#This Row],[Durchschnittsauslastung min]]*Tabelle5897112140[[#This Row],[installierte Leistung MW min]]</f>
        <v>7.4556000000000004</v>
      </c>
      <c r="DF241" s="40">
        <f>Tabelle5897112140[[#This Row],[Durchschnittsauslastung durch]]*Tabelle5897112140[[#This Row],[installierte Leistung MW durch]]</f>
        <v>16.735133333333334</v>
      </c>
      <c r="DG241" s="40">
        <f>Tabelle5897112140[[#This Row],[Durchschnittsauslastung max]]*Tabelle5897112140[[#This Row],[installierte Leistung MW max]]</f>
        <v>37.931999999999995</v>
      </c>
      <c r="DH241" s="46">
        <f>Tabelle5897112140[[#This Row],[Maximalauslastung min]]*Tabelle5897112140[[#This Row],[installierte Leistung MW min]]</f>
        <v>18.050400000000003</v>
      </c>
      <c r="DI241" s="46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0">
        <f>Tabelle5897112140[[#This Row],[Durchschnittsauslastung min]]*Tabelle5897112140[[#This Row],[installierte Leistung MW min]]</f>
        <v>8.91</v>
      </c>
      <c r="DF242" s="40">
        <f>Tabelle5897112140[[#This Row],[Durchschnittsauslastung durch]]*Tabelle5897112140[[#This Row],[installierte Leistung MW durch]]</f>
        <v>23.686666666666664</v>
      </c>
      <c r="DG242" s="40">
        <f>Tabelle5897112140[[#This Row],[Durchschnittsauslastung max]]*Tabelle5897112140[[#This Row],[installierte Leistung MW max]]</f>
        <v>44.1</v>
      </c>
      <c r="DH242" s="46">
        <f>Tabelle5897112140[[#This Row],[Maximalauslastung min]]*Tabelle5897112140[[#This Row],[installierte Leistung MW min]]</f>
        <v>12.42</v>
      </c>
      <c r="DI242" s="46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0">
        <f>Tabelle5897112140[[#This Row],[Durchschnittsauslastung min]]*Tabelle5897112140[[#This Row],[installierte Leistung MW min]]</f>
        <v>8.91</v>
      </c>
      <c r="DF243" s="40">
        <f>Tabelle5897112140[[#This Row],[Durchschnittsauslastung durch]]*Tabelle5897112140[[#This Row],[installierte Leistung MW durch]]</f>
        <v>23.686666666666664</v>
      </c>
      <c r="DG243" s="40">
        <f>Tabelle5897112140[[#This Row],[Durchschnittsauslastung max]]*Tabelle5897112140[[#This Row],[installierte Leistung MW max]]</f>
        <v>44.1</v>
      </c>
      <c r="DH243" s="46">
        <f>Tabelle5897112140[[#This Row],[Maximalauslastung min]]*Tabelle5897112140[[#This Row],[installierte Leistung MW min]]</f>
        <v>11.34</v>
      </c>
      <c r="DI243" s="46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0">
        <f>Tabelle5897112140[[#This Row],[Durchschnittsauslastung min]]*Tabelle5897112140[[#This Row],[installierte Leistung MW min]]</f>
        <v>8.91</v>
      </c>
      <c r="DF244" s="40">
        <f>Tabelle5897112140[[#This Row],[Durchschnittsauslastung durch]]*Tabelle5897112140[[#This Row],[installierte Leistung MW durch]]</f>
        <v>23.686666666666664</v>
      </c>
      <c r="DG244" s="40">
        <f>Tabelle5897112140[[#This Row],[Durchschnittsauslastung max]]*Tabelle5897112140[[#This Row],[installierte Leistung MW max]]</f>
        <v>44.1</v>
      </c>
      <c r="DH244" s="46">
        <f>Tabelle5897112140[[#This Row],[Maximalauslastung min]]*Tabelle5897112140[[#This Row],[installierte Leistung MW min]]</f>
        <v>11.34</v>
      </c>
      <c r="DI244" s="46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0">
        <f>Tabelle5897112140[[#This Row],[Durchschnittsauslastung min]]*Tabelle5897112140[[#This Row],[installierte Leistung MW min]]</f>
        <v>8.91</v>
      </c>
      <c r="DF245" s="40">
        <f>Tabelle5897112140[[#This Row],[Durchschnittsauslastung durch]]*Tabelle5897112140[[#This Row],[installierte Leistung MW durch]]</f>
        <v>23.686666666666664</v>
      </c>
      <c r="DG245" s="40">
        <f>Tabelle5897112140[[#This Row],[Durchschnittsauslastung max]]*Tabelle5897112140[[#This Row],[installierte Leistung MW max]]</f>
        <v>44.1</v>
      </c>
      <c r="DH245" s="46">
        <f>Tabelle5897112140[[#This Row],[Maximalauslastung min]]*Tabelle5897112140[[#This Row],[installierte Leistung MW min]]</f>
        <v>11.34</v>
      </c>
      <c r="DI245" s="46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0">
        <f>Tabelle5897112140[[#This Row],[Durchschnittsauslastung min]]*Tabelle5897112140[[#This Row],[installierte Leistung MW min]]</f>
        <v>8.91</v>
      </c>
      <c r="DF246" s="40">
        <f>Tabelle5897112140[[#This Row],[Durchschnittsauslastung durch]]*Tabelle5897112140[[#This Row],[installierte Leistung MW durch]]</f>
        <v>23.686666666666664</v>
      </c>
      <c r="DG246" s="40">
        <f>Tabelle5897112140[[#This Row],[Durchschnittsauslastung max]]*Tabelle5897112140[[#This Row],[installierte Leistung MW max]]</f>
        <v>44.1</v>
      </c>
      <c r="DH246" s="46">
        <f>Tabelle5897112140[[#This Row],[Maximalauslastung min]]*Tabelle5897112140[[#This Row],[installierte Leistung MW min]]</f>
        <v>11.34</v>
      </c>
      <c r="DI246" s="46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0">
        <f>Tabelle5897112140[[#This Row],[Durchschnittsauslastung min]]*Tabelle5897112140[[#This Row],[installierte Leistung MW min]]</f>
        <v>8.91</v>
      </c>
      <c r="DF247" s="40">
        <f>Tabelle5897112140[[#This Row],[Durchschnittsauslastung durch]]*Tabelle5897112140[[#This Row],[installierte Leistung MW durch]]</f>
        <v>23.686666666666664</v>
      </c>
      <c r="DG247" s="40">
        <f>Tabelle5897112140[[#This Row],[Durchschnittsauslastung max]]*Tabelle5897112140[[#This Row],[installierte Leistung MW max]]</f>
        <v>44.1</v>
      </c>
      <c r="DH247" s="46">
        <f>Tabelle5897112140[[#This Row],[Maximalauslastung min]]*Tabelle5897112140[[#This Row],[installierte Leistung MW min]]</f>
        <v>11.34</v>
      </c>
      <c r="DI247" s="46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0">
        <f>Tabelle5897112140[[#This Row],[Durchschnittsauslastung min]]*Tabelle5897112140[[#This Row],[installierte Leistung MW min]]</f>
        <v>8.91</v>
      </c>
      <c r="DF248" s="40">
        <f>Tabelle5897112140[[#This Row],[Durchschnittsauslastung durch]]*Tabelle5897112140[[#This Row],[installierte Leistung MW durch]]</f>
        <v>23.686666666666664</v>
      </c>
      <c r="DG248" s="40">
        <f>Tabelle5897112140[[#This Row],[Durchschnittsauslastung max]]*Tabelle5897112140[[#This Row],[installierte Leistung MW max]]</f>
        <v>44.1</v>
      </c>
      <c r="DH248" s="46">
        <f>Tabelle5897112140[[#This Row],[Maximalauslastung min]]*Tabelle5897112140[[#This Row],[installierte Leistung MW min]]</f>
        <v>11.34</v>
      </c>
      <c r="DI248" s="46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0">
        <f>Tabelle5897112140[[#This Row],[Durchschnittsauslastung min]]*Tabelle5897112140[[#This Row],[installierte Leistung MW min]]</f>
        <v>8.91</v>
      </c>
      <c r="DF249" s="40">
        <f>Tabelle5897112140[[#This Row],[Durchschnittsauslastung durch]]*Tabelle5897112140[[#This Row],[installierte Leistung MW durch]]</f>
        <v>23.686666666666664</v>
      </c>
      <c r="DG249" s="40">
        <f>Tabelle5897112140[[#This Row],[Durchschnittsauslastung max]]*Tabelle5897112140[[#This Row],[installierte Leistung MW max]]</f>
        <v>44.1</v>
      </c>
      <c r="DH249" s="46">
        <f>Tabelle5897112140[[#This Row],[Maximalauslastung min]]*Tabelle5897112140[[#This Row],[installierte Leistung MW min]]</f>
        <v>11.34</v>
      </c>
      <c r="DI249" s="46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0">
        <f>Tabelle5897112140[[#This Row],[Durchschnittsauslastung min]]*Tabelle5897112140[[#This Row],[installierte Leistung MW min]]</f>
        <v>173.92500000000001</v>
      </c>
      <c r="DF250" s="40">
        <f>Tabelle5897112140[[#This Row],[Durchschnittsauslastung durch]]*Tabelle5897112140[[#This Row],[installierte Leistung MW durch]]</f>
        <v>290</v>
      </c>
      <c r="DG250" s="40">
        <f>Tabelle5897112140[[#This Row],[Durchschnittsauslastung max]]*Tabelle5897112140[[#This Row],[installierte Leistung MW max]]</f>
        <v>425.42500000000001</v>
      </c>
      <c r="DH250" s="46">
        <f>Tabelle5897112140[[#This Row],[Maximalauslastung min]]*Tabelle5897112140[[#This Row],[installierte Leistung MW min]]</f>
        <v>773</v>
      </c>
      <c r="DI250" s="46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0">
        <f>Tabelle5897112140[[#This Row],[Durchschnittsauslastung min]]*Tabelle5897112140[[#This Row],[installierte Leistung MW min]]</f>
        <v>173.92500000000001</v>
      </c>
      <c r="DF251" s="40">
        <f>Tabelle5897112140[[#This Row],[Durchschnittsauslastung durch]]*Tabelle5897112140[[#This Row],[installierte Leistung MW durch]]</f>
        <v>290</v>
      </c>
      <c r="DG251" s="40">
        <f>Tabelle5897112140[[#This Row],[Durchschnittsauslastung max]]*Tabelle5897112140[[#This Row],[installierte Leistung MW max]]</f>
        <v>425.42500000000001</v>
      </c>
      <c r="DH251" s="46">
        <f>Tabelle5897112140[[#This Row],[Maximalauslastung min]]*Tabelle5897112140[[#This Row],[installierte Leistung MW min]]</f>
        <v>347.85</v>
      </c>
      <c r="DI251" s="46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0">
        <f>Tabelle5897112140[[#This Row],[Durchschnittsauslastung min]]*Tabelle5897112140[[#This Row],[installierte Leistung MW min]]</f>
        <v>173.92500000000001</v>
      </c>
      <c r="DF252" s="40">
        <f>Tabelle5897112140[[#This Row],[Durchschnittsauslastung durch]]*Tabelle5897112140[[#This Row],[installierte Leistung MW durch]]</f>
        <v>290</v>
      </c>
      <c r="DG252" s="40">
        <f>Tabelle5897112140[[#This Row],[Durchschnittsauslastung max]]*Tabelle5897112140[[#This Row],[installierte Leistung MW max]]</f>
        <v>425.42500000000001</v>
      </c>
      <c r="DH252" s="46">
        <f>Tabelle5897112140[[#This Row],[Maximalauslastung min]]*Tabelle5897112140[[#This Row],[installierte Leistung MW min]]</f>
        <v>347.85</v>
      </c>
      <c r="DI252" s="46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0">
        <f>Tabelle5897112140[[#This Row],[Durchschnittsauslastung min]]*Tabelle5897112140[[#This Row],[installierte Leistung MW min]]</f>
        <v>173.92500000000001</v>
      </c>
      <c r="DF253" s="40">
        <f>Tabelle5897112140[[#This Row],[Durchschnittsauslastung durch]]*Tabelle5897112140[[#This Row],[installierte Leistung MW durch]]</f>
        <v>290</v>
      </c>
      <c r="DG253" s="40">
        <f>Tabelle5897112140[[#This Row],[Durchschnittsauslastung max]]*Tabelle5897112140[[#This Row],[installierte Leistung MW max]]</f>
        <v>425.42500000000001</v>
      </c>
      <c r="DH253" s="46">
        <f>Tabelle5897112140[[#This Row],[Maximalauslastung min]]*Tabelle5897112140[[#This Row],[installierte Leistung MW min]]</f>
        <v>347.85</v>
      </c>
      <c r="DI253" s="46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0">
        <f>Tabelle5897112140[[#This Row],[Durchschnittsauslastung min]]*Tabelle5897112140[[#This Row],[installierte Leistung MW min]]</f>
        <v>173.92500000000001</v>
      </c>
      <c r="DF254" s="40">
        <f>Tabelle5897112140[[#This Row],[Durchschnittsauslastung durch]]*Tabelle5897112140[[#This Row],[installierte Leistung MW durch]]</f>
        <v>290</v>
      </c>
      <c r="DG254" s="40">
        <f>Tabelle5897112140[[#This Row],[Durchschnittsauslastung max]]*Tabelle5897112140[[#This Row],[installierte Leistung MW max]]</f>
        <v>425.42500000000001</v>
      </c>
      <c r="DH254" s="46">
        <f>Tabelle5897112140[[#This Row],[Maximalauslastung min]]*Tabelle5897112140[[#This Row],[installierte Leistung MW min]]</f>
        <v>347.85</v>
      </c>
      <c r="DI254" s="46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0">
        <f>Tabelle5897112140[[#This Row],[Durchschnittsauslastung min]]*Tabelle5897112140[[#This Row],[installierte Leistung MW min]]</f>
        <v>173.92500000000001</v>
      </c>
      <c r="DF255" s="40">
        <f>Tabelle5897112140[[#This Row],[Durchschnittsauslastung durch]]*Tabelle5897112140[[#This Row],[installierte Leistung MW durch]]</f>
        <v>290</v>
      </c>
      <c r="DG255" s="40">
        <f>Tabelle5897112140[[#This Row],[Durchschnittsauslastung max]]*Tabelle5897112140[[#This Row],[installierte Leistung MW max]]</f>
        <v>425.42500000000001</v>
      </c>
      <c r="DH255" s="46">
        <f>Tabelle5897112140[[#This Row],[Maximalauslastung min]]*Tabelle5897112140[[#This Row],[installierte Leistung MW min]]</f>
        <v>347.85</v>
      </c>
      <c r="DI255" s="46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0">
        <f>Tabelle5897112140[[#This Row],[Durchschnittsauslastung min]]*Tabelle5897112140[[#This Row],[installierte Leistung MW min]]</f>
        <v>173.92500000000001</v>
      </c>
      <c r="DF256" s="40">
        <f>Tabelle5897112140[[#This Row],[Durchschnittsauslastung durch]]*Tabelle5897112140[[#This Row],[installierte Leistung MW durch]]</f>
        <v>290</v>
      </c>
      <c r="DG256" s="40">
        <f>Tabelle5897112140[[#This Row],[Durchschnittsauslastung max]]*Tabelle5897112140[[#This Row],[installierte Leistung MW max]]</f>
        <v>425.42500000000001</v>
      </c>
      <c r="DH256" s="46">
        <f>Tabelle5897112140[[#This Row],[Maximalauslastung min]]*Tabelle5897112140[[#This Row],[installierte Leistung MW min]]</f>
        <v>347.85</v>
      </c>
      <c r="DI256" s="46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0">
        <f>Tabelle5897112140[[#This Row],[Durchschnittsauslastung min]]*Tabelle5897112140[[#This Row],[installierte Leistung MW min]]</f>
        <v>173.92500000000001</v>
      </c>
      <c r="DF257" s="40">
        <f>Tabelle5897112140[[#This Row],[Durchschnittsauslastung durch]]*Tabelle5897112140[[#This Row],[installierte Leistung MW durch]]</f>
        <v>290</v>
      </c>
      <c r="DG257" s="40">
        <f>Tabelle5897112140[[#This Row],[Durchschnittsauslastung max]]*Tabelle5897112140[[#This Row],[installierte Leistung MW max]]</f>
        <v>425.42500000000001</v>
      </c>
      <c r="DH257" s="46">
        <f>Tabelle5897112140[[#This Row],[Maximalauslastung min]]*Tabelle5897112140[[#This Row],[installierte Leistung MW min]]</f>
        <v>347.85</v>
      </c>
      <c r="DI257" s="46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0">
        <f>Tabelle5897112140[[#This Row],[Durchschnittsauslastung min]]*Tabelle5897112140[[#This Row],[installierte Leistung MW min]]</f>
        <v>0</v>
      </c>
      <c r="DF258" s="40">
        <f>Tabelle5897112140[[#This Row],[Durchschnittsauslastung durch]]*Tabelle5897112140[[#This Row],[installierte Leistung MW durch]]</f>
        <v>3531.5972222222222</v>
      </c>
      <c r="DG258" s="40">
        <f>Tabelle5897112140[[#This Row],[Durchschnittsauslastung max]]*Tabelle5897112140[[#This Row],[installierte Leistung MW max]]</f>
        <v>14360</v>
      </c>
      <c r="DH258" s="46">
        <f>Tabelle5897112140[[#This Row],[Maximalauslastung min]]*Tabelle5897112140[[#This Row],[installierte Leistung MW min]]</f>
        <v>7843</v>
      </c>
      <c r="DI258" s="46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0">
        <f>Tabelle5897112140[[#This Row],[Durchschnittsauslastung min]]*Tabelle5897112140[[#This Row],[installierte Leistung MW min]]</f>
        <v>0</v>
      </c>
      <c r="DF259" s="40">
        <f>Tabelle5897112140[[#This Row],[Durchschnittsauslastung durch]]*Tabelle5897112140[[#This Row],[installierte Leistung MW durch]]</f>
        <v>2860.59375</v>
      </c>
      <c r="DG259" s="40">
        <f>Tabelle5897112140[[#This Row],[Durchschnittsauslastung max]]*Tabelle5897112140[[#This Row],[installierte Leistung MW max]]</f>
        <v>11631.6</v>
      </c>
      <c r="DH259" s="46">
        <f>Tabelle5897112140[[#This Row],[Maximalauslastung min]]*Tabelle5897112140[[#This Row],[installierte Leistung MW min]]</f>
        <v>6352.83</v>
      </c>
      <c r="DI259" s="46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0">
        <f>Tabelle5897112140[[#This Row],[Durchschnittsauslastung min]]*Tabelle5897112140[[#This Row],[installierte Leistung MW min]]</f>
        <v>0</v>
      </c>
      <c r="DF260" s="40">
        <f>Tabelle5897112140[[#This Row],[Durchschnittsauslastung durch]]*Tabelle5897112140[[#This Row],[installierte Leistung MW durch]]</f>
        <v>2366.1701388888887</v>
      </c>
      <c r="DG260" s="40">
        <f>Tabelle5897112140[[#This Row],[Durchschnittsauslastung max]]*Tabelle5897112140[[#This Row],[installierte Leistung MW max]]</f>
        <v>9621.2000000000007</v>
      </c>
      <c r="DH260" s="46">
        <f>Tabelle5897112140[[#This Row],[Maximalauslastung min]]*Tabelle5897112140[[#This Row],[installierte Leistung MW min]]</f>
        <v>5254.81</v>
      </c>
      <c r="DI260" s="46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0">
        <f>Tabelle5897112140[[#This Row],[Durchschnittsauslastung min]]*Tabelle5897112140[[#This Row],[installierte Leistung MW min]]</f>
        <v>0</v>
      </c>
      <c r="DF261" s="40">
        <f>Tabelle5897112140[[#This Row],[Durchschnittsauslastung durch]]*Tabelle5897112140[[#This Row],[installierte Leistung MW durch]]</f>
        <v>1907.0625</v>
      </c>
      <c r="DG261" s="40">
        <f>Tabelle5897112140[[#This Row],[Durchschnittsauslastung max]]*Tabelle5897112140[[#This Row],[installierte Leistung MW max]]</f>
        <v>7754.4000000000005</v>
      </c>
      <c r="DH261" s="46">
        <f>Tabelle5897112140[[#This Row],[Maximalauslastung min]]*Tabelle5897112140[[#This Row],[installierte Leistung MW min]]</f>
        <v>4235.22</v>
      </c>
      <c r="DI261" s="46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0">
        <f>Tabelle5897112140[[#This Row],[Durchschnittsauslastung min]]*Tabelle5897112140[[#This Row],[installierte Leistung MW min]]</f>
        <v>0</v>
      </c>
      <c r="DF262" s="40">
        <f>Tabelle5897112140[[#This Row],[Durchschnittsauslastung durch]]*Tabelle5897112140[[#This Row],[installierte Leistung MW durch]]</f>
        <v>1130.1111111111111</v>
      </c>
      <c r="DG262" s="40">
        <f>Tabelle5897112140[[#This Row],[Durchschnittsauslastung max]]*Tabelle5897112140[[#This Row],[installierte Leistung MW max]]</f>
        <v>4595.2</v>
      </c>
      <c r="DH262" s="46">
        <f>Tabelle5897112140[[#This Row],[Maximalauslastung min]]*Tabelle5897112140[[#This Row],[installierte Leistung MW min]]</f>
        <v>2509.7600000000002</v>
      </c>
      <c r="DI262" s="46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0">
        <f>Tabelle5897112140[[#This Row],[Durchschnittsauslastung min]]*Tabelle5897112140[[#This Row],[installierte Leistung MW min]]</f>
        <v>0</v>
      </c>
      <c r="DF263" s="40">
        <f>Tabelle5897112140[[#This Row],[Durchschnittsauslastung durch]]*Tabelle5897112140[[#This Row],[installierte Leistung MW durch]]</f>
        <v>671.00347222222217</v>
      </c>
      <c r="DG263" s="40">
        <f>Tabelle5897112140[[#This Row],[Durchschnittsauslastung max]]*Tabelle5897112140[[#This Row],[installierte Leistung MW max]]</f>
        <v>2728.4</v>
      </c>
      <c r="DH263" s="46">
        <f>Tabelle5897112140[[#This Row],[Maximalauslastung min]]*Tabelle5897112140[[#This Row],[installierte Leistung MW min]]</f>
        <v>1490.17</v>
      </c>
      <c r="DI263" s="46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0">
        <f>Tabelle5897112140[[#This Row],[Durchschnittsauslastung min]]*Tabelle5897112140[[#This Row],[installierte Leistung MW min]]</f>
        <v>0</v>
      </c>
      <c r="DF264" s="40">
        <f>Tabelle5897112140[[#This Row],[Durchschnittsauslastung durch]]*Tabelle5897112140[[#This Row],[installierte Leistung MW durch]]</f>
        <v>388.4756944444444</v>
      </c>
      <c r="DG264" s="40">
        <f>Tabelle5897112140[[#This Row],[Durchschnittsauslastung max]]*Tabelle5897112140[[#This Row],[installierte Leistung MW max]]</f>
        <v>1579.6000000000001</v>
      </c>
      <c r="DH264" s="46">
        <f>Tabelle5897112140[[#This Row],[Maximalauslastung min]]*Tabelle5897112140[[#This Row],[installierte Leistung MW min]]</f>
        <v>862.73</v>
      </c>
      <c r="DI264" s="46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0">
        <f>Tabelle5897112140[[#This Row],[Durchschnittsauslastung min]]*Tabelle5897112140[[#This Row],[installierte Leistung MW min]]</f>
        <v>0</v>
      </c>
      <c r="DF265" s="40">
        <f>Tabelle5897112140[[#This Row],[Durchschnittsauslastung durch]]*Tabelle5897112140[[#This Row],[installierte Leistung MW durch]]</f>
        <v>211.89583333333331</v>
      </c>
      <c r="DG265" s="40">
        <f>Tabelle5897112140[[#This Row],[Durchschnittsauslastung max]]*Tabelle5897112140[[#This Row],[installierte Leistung MW max]]</f>
        <v>861.6</v>
      </c>
      <c r="DH265" s="46">
        <f>Tabelle5897112140[[#This Row],[Maximalauslastung min]]*Tabelle5897112140[[#This Row],[installierte Leistung MW min]]</f>
        <v>0</v>
      </c>
      <c r="DI265" s="46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0">
        <f>Tabelle5897112140[[#This Row],[Durchschnittsauslastung min]]*Tabelle5897112140[[#This Row],[installierte Leistung MW min]]</f>
        <v>548.13200000000006</v>
      </c>
      <c r="DF266" s="40">
        <f>Tabelle5897112140[[#This Row],[Durchschnittsauslastung durch]]*Tabelle5897112140[[#This Row],[installierte Leistung MW durch]]</f>
        <v>780.48749999999995</v>
      </c>
      <c r="DG266" s="40">
        <f>Tabelle5897112140[[#This Row],[Durchschnittsauslastung max]]*Tabelle5897112140[[#This Row],[installierte Leistung MW max]]</f>
        <v>1071.8499999999999</v>
      </c>
      <c r="DH266" s="46">
        <f>Tabelle5897112140[[#This Row],[Maximalauslastung min]]*Tabelle5897112140[[#This Row],[installierte Leistung MW min]]</f>
        <v>647.4</v>
      </c>
      <c r="DI266" s="46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0">
        <f>Tabelle5897112140[[#This Row],[Durchschnittsauslastung min]]*Tabelle5897112140[[#This Row],[installierte Leistung MW min]]</f>
        <v>487.83747999999997</v>
      </c>
      <c r="DF267" s="40">
        <f>Tabelle5897112140[[#This Row],[Durchschnittsauslastung durch]]*Tabelle5897112140[[#This Row],[installierte Leistung MW durch]]</f>
        <v>694.63387499999988</v>
      </c>
      <c r="DG267" s="40">
        <f>Tabelle5897112140[[#This Row],[Durchschnittsauslastung max]]*Tabelle5897112140[[#This Row],[installierte Leistung MW max]]</f>
        <v>953.9464999999999</v>
      </c>
      <c r="DH267" s="46">
        <f>Tabelle5897112140[[#This Row],[Maximalauslastung min]]*Tabelle5897112140[[#This Row],[installierte Leistung MW min]]</f>
        <v>1920.62</v>
      </c>
      <c r="DI267" s="46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0">
        <f>Tabelle5897112140[[#This Row],[Durchschnittsauslastung min]]*Tabelle5897112140[[#This Row],[installierte Leistung MW min]]</f>
        <v>476.87484000000001</v>
      </c>
      <c r="DF268" s="40">
        <f>Tabelle5897112140[[#This Row],[Durchschnittsauslastung durch]]*Tabelle5897112140[[#This Row],[installierte Leistung MW durch]]</f>
        <v>679.02412499999991</v>
      </c>
      <c r="DG268" s="40">
        <f>Tabelle5897112140[[#This Row],[Durchschnittsauslastung max]]*Tabelle5897112140[[#This Row],[installierte Leistung MW max]]</f>
        <v>932.50949999999989</v>
      </c>
      <c r="DH268" s="46">
        <f>Tabelle5897112140[[#This Row],[Maximalauslastung min]]*Tabelle5897112140[[#This Row],[installierte Leistung MW min]]</f>
        <v>1877.46</v>
      </c>
      <c r="DI268" s="46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0">
        <f>Tabelle5897112140[[#This Row],[Durchschnittsauslastung min]]*Tabelle5897112140[[#This Row],[installierte Leistung MW min]]</f>
        <v>454.94956000000002</v>
      </c>
      <c r="DF269" s="40">
        <f>Tabelle5897112140[[#This Row],[Durchschnittsauslastung durch]]*Tabelle5897112140[[#This Row],[installierte Leistung MW durch]]</f>
        <v>647.80462499999999</v>
      </c>
      <c r="DG269" s="40">
        <f>Tabelle5897112140[[#This Row],[Durchschnittsauslastung max]]*Tabelle5897112140[[#This Row],[installierte Leistung MW max]]</f>
        <v>889.63550000000009</v>
      </c>
      <c r="DH269" s="46">
        <f>Tabelle5897112140[[#This Row],[Maximalauslastung min]]*Tabelle5897112140[[#This Row],[installierte Leistung MW min]]</f>
        <v>1791.14</v>
      </c>
      <c r="DI269" s="46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0">
        <f>Tabelle5897112140[[#This Row],[Durchschnittsauslastung min]]*Tabelle5897112140[[#This Row],[installierte Leistung MW min]]</f>
        <v>422.06164000000001</v>
      </c>
      <c r="DF270" s="40">
        <f>Tabelle5897112140[[#This Row],[Durchschnittsauslastung durch]]*Tabelle5897112140[[#This Row],[installierte Leistung MW durch]]</f>
        <v>600.97537499999987</v>
      </c>
      <c r="DG270" s="40">
        <f>Tabelle5897112140[[#This Row],[Durchschnittsauslastung max]]*Tabelle5897112140[[#This Row],[installierte Leistung MW max]]</f>
        <v>825.32450000000006</v>
      </c>
      <c r="DH270" s="46">
        <f>Tabelle5897112140[[#This Row],[Maximalauslastung min]]*Tabelle5897112140[[#This Row],[installierte Leistung MW min]]</f>
        <v>1661.66</v>
      </c>
      <c r="DI270" s="46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0">
        <f>Tabelle5897112140[[#This Row],[Durchschnittsauslastung min]]*Tabelle5897112140[[#This Row],[installierte Leistung MW min]]</f>
        <v>383.69239999999996</v>
      </c>
      <c r="DF271" s="40">
        <f>Tabelle5897112140[[#This Row],[Durchschnittsauslastung durch]]*Tabelle5897112140[[#This Row],[installierte Leistung MW durch]]</f>
        <v>546.34124999999995</v>
      </c>
      <c r="DG271" s="40">
        <f>Tabelle5897112140[[#This Row],[Durchschnittsauslastung max]]*Tabelle5897112140[[#This Row],[installierte Leistung MW max]]</f>
        <v>750.29500000000007</v>
      </c>
      <c r="DH271" s="46">
        <f>Tabelle5897112140[[#This Row],[Maximalauslastung min]]*Tabelle5897112140[[#This Row],[installierte Leistung MW min]]</f>
        <v>1510.6</v>
      </c>
      <c r="DI271" s="46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0">
        <f>Tabelle5897112140[[#This Row],[Durchschnittsauslastung min]]*Tabelle5897112140[[#This Row],[installierte Leistung MW min]]</f>
        <v>356.28579999999999</v>
      </c>
      <c r="DF272" s="40">
        <f>Tabelle5897112140[[#This Row],[Durchschnittsauslastung durch]]*Tabelle5897112140[[#This Row],[installierte Leistung MW durch]]</f>
        <v>507.31687499999992</v>
      </c>
      <c r="DG272" s="40">
        <f>Tabelle5897112140[[#This Row],[Durchschnittsauslastung max]]*Tabelle5897112140[[#This Row],[installierte Leistung MW max]]</f>
        <v>696.70249999999999</v>
      </c>
      <c r="DH272" s="46">
        <f>Tabelle5897112140[[#This Row],[Maximalauslastung min]]*Tabelle5897112140[[#This Row],[installierte Leistung MW min]]</f>
        <v>1402.7</v>
      </c>
      <c r="DI272" s="46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0">
        <f>Tabelle5897112140[[#This Row],[Durchschnittsauslastung min]]*Tabelle5897112140[[#This Row],[installierte Leistung MW min]]</f>
        <v>323.39787999999999</v>
      </c>
      <c r="DF273" s="40">
        <f>Tabelle5897112140[[#This Row],[Durchschnittsauslastung durch]]*Tabelle5897112140[[#This Row],[installierte Leistung MW durch]]</f>
        <v>460.48762499999992</v>
      </c>
      <c r="DG273" s="40">
        <f>Tabelle5897112140[[#This Row],[Durchschnittsauslastung max]]*Tabelle5897112140[[#This Row],[installierte Leistung MW max]]</f>
        <v>632.39149999999995</v>
      </c>
      <c r="DH273" s="46">
        <f>Tabelle5897112140[[#This Row],[Maximalauslastung min]]*Tabelle5897112140[[#This Row],[installierte Leistung MW min]]</f>
        <v>1273.22</v>
      </c>
      <c r="DI273" s="46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0">
        <f>Tabelle5897112140[[#This Row],[Durchschnittsauslastung min]]*Tabelle5897112140[[#This Row],[installierte Leistung MW min]]</f>
        <v>208.28</v>
      </c>
      <c r="DF274" s="40">
        <f>Tabelle5897112140[[#This Row],[Durchschnittsauslastung durch]]*Tabelle5897112140[[#This Row],[installierte Leistung MW durch]]</f>
        <v>663.09541666666655</v>
      </c>
      <c r="DG274" s="40">
        <f>Tabelle5897112140[[#This Row],[Durchschnittsauslastung max]]*Tabelle5897112140[[#This Row],[installierte Leistung MW max]]</f>
        <v>1150.2919999999999</v>
      </c>
      <c r="DH274" s="46">
        <f>Tabelle5897112140[[#This Row],[Maximalauslastung min]]*Tabelle5897112140[[#This Row],[installierte Leistung MW min]]</f>
        <v>52070</v>
      </c>
      <c r="DI274" s="46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0">
        <f>Tabelle5897112140[[#This Row],[Durchschnittsauslastung min]]*Tabelle5897112140[[#This Row],[installierte Leistung MW min]]</f>
        <v>185.36920000000001</v>
      </c>
      <c r="DF275" s="40">
        <f>Tabelle5897112140[[#This Row],[Durchschnittsauslastung durch]]*Tabelle5897112140[[#This Row],[installierte Leistung MW durch]]</f>
        <v>590.15492083333322</v>
      </c>
      <c r="DG275" s="40">
        <f>Tabelle5897112140[[#This Row],[Durchschnittsauslastung max]]*Tabelle5897112140[[#This Row],[installierte Leistung MW max]]</f>
        <v>1023.75988</v>
      </c>
      <c r="DH275" s="46">
        <f>Tabelle5897112140[[#This Row],[Maximalauslastung min]]*Tabelle5897112140[[#This Row],[installierte Leistung MW min]]</f>
        <v>0</v>
      </c>
      <c r="DI275" s="46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0">
        <f>Tabelle5897112140[[#This Row],[Durchschnittsauslastung min]]*Tabelle5897112140[[#This Row],[installierte Leistung MW min]]</f>
        <v>170.78960000000001</v>
      </c>
      <c r="DF276" s="40">
        <f>Tabelle5897112140[[#This Row],[Durchschnittsauslastung durch]]*Tabelle5897112140[[#This Row],[installierte Leistung MW durch]]</f>
        <v>543.73824166666657</v>
      </c>
      <c r="DG276" s="40">
        <f>Tabelle5897112140[[#This Row],[Durchschnittsauslastung max]]*Tabelle5897112140[[#This Row],[installierte Leistung MW max]]</f>
        <v>943.23943999999983</v>
      </c>
      <c r="DH276" s="46">
        <f>Tabelle5897112140[[#This Row],[Maximalauslastung min]]*Tabelle5897112140[[#This Row],[installierte Leistung MW min]]</f>
        <v>0</v>
      </c>
      <c r="DI276" s="46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0">
        <f>Tabelle5897112140[[#This Row],[Durchschnittsauslastung min]]*Tabelle5897112140[[#This Row],[installierte Leistung MW min]]</f>
        <v>154.12720000000002</v>
      </c>
      <c r="DF277" s="40">
        <f>Tabelle5897112140[[#This Row],[Durchschnittsauslastung durch]]*Tabelle5897112140[[#This Row],[installierte Leistung MW durch]]</f>
        <v>490.69060833333327</v>
      </c>
      <c r="DG277" s="40">
        <f>Tabelle5897112140[[#This Row],[Durchschnittsauslastung max]]*Tabelle5897112140[[#This Row],[installierte Leistung MW max]]</f>
        <v>851.21607999999992</v>
      </c>
      <c r="DH277" s="46">
        <f>Tabelle5897112140[[#This Row],[Maximalauslastung min]]*Tabelle5897112140[[#This Row],[installierte Leistung MW min]]</f>
        <v>0</v>
      </c>
      <c r="DI277" s="46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0">
        <f>Tabelle5897112140[[#This Row],[Durchschnittsauslastung min]]*Tabelle5897112140[[#This Row],[installierte Leistung MW min]]</f>
        <v>147.87879999999998</v>
      </c>
      <c r="DF278" s="40">
        <f>Tabelle5897112140[[#This Row],[Durchschnittsauslastung durch]]*Tabelle5897112140[[#This Row],[installierte Leistung MW durch]]</f>
        <v>470.79774583333324</v>
      </c>
      <c r="DG278" s="40">
        <f>Tabelle5897112140[[#This Row],[Durchschnittsauslastung max]]*Tabelle5897112140[[#This Row],[installierte Leistung MW max]]</f>
        <v>816.70731999999987</v>
      </c>
      <c r="DH278" s="46">
        <f>Tabelle5897112140[[#This Row],[Maximalauslastung min]]*Tabelle5897112140[[#This Row],[installierte Leistung MW min]]</f>
        <v>0</v>
      </c>
      <c r="DI278" s="46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0">
        <f>Tabelle5897112140[[#This Row],[Durchschnittsauslastung min]]*Tabelle5897112140[[#This Row],[installierte Leistung MW min]]</f>
        <v>139.54760000000002</v>
      </c>
      <c r="DF279" s="40">
        <f>Tabelle5897112140[[#This Row],[Durchschnittsauslastung durch]]*Tabelle5897112140[[#This Row],[installierte Leistung MW durch]]</f>
        <v>444.27392916666662</v>
      </c>
      <c r="DG279" s="40">
        <f>Tabelle5897112140[[#This Row],[Durchschnittsauslastung max]]*Tabelle5897112140[[#This Row],[installierte Leistung MW max]]</f>
        <v>770.69564000000003</v>
      </c>
      <c r="DH279" s="46">
        <f>Tabelle5897112140[[#This Row],[Maximalauslastung min]]*Tabelle5897112140[[#This Row],[installierte Leistung MW min]]</f>
        <v>0</v>
      </c>
      <c r="DI279" s="46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0">
        <f>Tabelle5897112140[[#This Row],[Durchschnittsauslastung min]]*Tabelle5897112140[[#This Row],[installierte Leistung MW min]]</f>
        <v>133.29920000000001</v>
      </c>
      <c r="DF280" s="40">
        <f>Tabelle5897112140[[#This Row],[Durchschnittsauslastung durch]]*Tabelle5897112140[[#This Row],[installierte Leistung MW durch]]</f>
        <v>424.38106666666658</v>
      </c>
      <c r="DG280" s="40">
        <f>Tabelle5897112140[[#This Row],[Durchschnittsauslastung max]]*Tabelle5897112140[[#This Row],[installierte Leistung MW max]]</f>
        <v>736.18687999999997</v>
      </c>
      <c r="DH280" s="46">
        <f>Tabelle5897112140[[#This Row],[Maximalauslastung min]]*Tabelle5897112140[[#This Row],[installierte Leistung MW min]]</f>
        <v>0</v>
      </c>
      <c r="DI280" s="46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0">
        <f>Tabelle5897112140[[#This Row],[Durchschnittsauslastung min]]*Tabelle5897112140[[#This Row],[installierte Leistung MW min]]</f>
        <v>122.8852</v>
      </c>
      <c r="DF281" s="40">
        <f>Tabelle5897112140[[#This Row],[Durchschnittsauslastung durch]]*Tabelle5897112140[[#This Row],[installierte Leistung MW durch]]</f>
        <v>391.22629583333327</v>
      </c>
      <c r="DG281" s="40">
        <f>Tabelle5897112140[[#This Row],[Durchschnittsauslastung max]]*Tabelle5897112140[[#This Row],[installierte Leistung MW max]]</f>
        <v>678.67228</v>
      </c>
      <c r="DH281" s="46">
        <f>Tabelle5897112140[[#This Row],[Maximalauslastung min]]*Tabelle5897112140[[#This Row],[installierte Leistung MW min]]</f>
        <v>0</v>
      </c>
      <c r="DI281" s="46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0">
        <f>Tabelle5897112140[[#This Row],[Durchschnittsauslastung min]]*Tabelle5897112140[[#This Row],[installierte Leistung MW min]]</f>
        <v>152.03</v>
      </c>
      <c r="DF282" s="40">
        <f>Tabelle5897112140[[#This Row],[Durchschnittsauslastung durch]]*Tabelle5897112140[[#This Row],[installierte Leistung MW durch]]</f>
        <v>1496</v>
      </c>
      <c r="DG282" s="40">
        <f>Tabelle5897112140[[#This Row],[Durchschnittsauslastung max]]*Tabelle5897112140[[#This Row],[installierte Leistung MW max]]</f>
        <v>4089.1499999999996</v>
      </c>
      <c r="DH282" s="46">
        <f>Tabelle5897112140[[#This Row],[Maximalauslastung min]]*Tabelle5897112140[[#This Row],[installierte Leistung MW min]]</f>
        <v>6610</v>
      </c>
      <c r="DI282" s="46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0">
        <f>Tabelle5897112140[[#This Row],[Durchschnittsauslastung min]]*Tabelle5897112140[[#This Row],[installierte Leistung MW min]]</f>
        <v>218.92319999999998</v>
      </c>
      <c r="DF283" s="40">
        <f>Tabelle5897112140[[#This Row],[Durchschnittsauslastung durch]]*Tabelle5897112140[[#This Row],[installierte Leistung MW durch]]</f>
        <v>2154.2400000000002</v>
      </c>
      <c r="DG283" s="40">
        <f>Tabelle5897112140[[#This Row],[Durchschnittsauslastung max]]*Tabelle5897112140[[#This Row],[installierte Leistung MW max]]</f>
        <v>5888.3760000000002</v>
      </c>
      <c r="DH283" s="46">
        <f>Tabelle5897112140[[#This Row],[Maximalauslastung min]]*Tabelle5897112140[[#This Row],[installierte Leistung MW min]]</f>
        <v>0</v>
      </c>
      <c r="DI283" s="46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0">
        <f>Tabelle5897112140[[#This Row],[Durchschnittsauslastung min]]*Tabelle5897112140[[#This Row],[installierte Leistung MW min]]</f>
        <v>325.3442</v>
      </c>
      <c r="DF284" s="40">
        <f>Tabelle5897112140[[#This Row],[Durchschnittsauslastung durch]]*Tabelle5897112140[[#This Row],[installierte Leistung MW durch]]</f>
        <v>3201.44</v>
      </c>
      <c r="DG284" s="40">
        <f>Tabelle5897112140[[#This Row],[Durchschnittsauslastung max]]*Tabelle5897112140[[#This Row],[installierte Leistung MW max]]</f>
        <v>8750.780999999999</v>
      </c>
      <c r="DH284" s="46">
        <f>Tabelle5897112140[[#This Row],[Maximalauslastung min]]*Tabelle5897112140[[#This Row],[installierte Leistung MW min]]</f>
        <v>0</v>
      </c>
      <c r="DI284" s="46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0">
        <f>Tabelle5897112140[[#This Row],[Durchschnittsauslastung min]]*Tabelle5897112140[[#This Row],[installierte Leistung MW min]]</f>
        <v>498.65839999999997</v>
      </c>
      <c r="DF285" s="40">
        <f>Tabelle5897112140[[#This Row],[Durchschnittsauslastung durch]]*Tabelle5897112140[[#This Row],[installierte Leistung MW durch]]</f>
        <v>4906.88</v>
      </c>
      <c r="DG285" s="40">
        <f>Tabelle5897112140[[#This Row],[Durchschnittsauslastung max]]*Tabelle5897112140[[#This Row],[installierte Leistung MW max]]</f>
        <v>13412.412</v>
      </c>
      <c r="DH285" s="46">
        <f>Tabelle5897112140[[#This Row],[Maximalauslastung min]]*Tabelle5897112140[[#This Row],[installierte Leistung MW min]]</f>
        <v>0</v>
      </c>
      <c r="DI285" s="46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0">
        <f>Tabelle5897112140[[#This Row],[Durchschnittsauslastung min]]*Tabelle5897112140[[#This Row],[installierte Leistung MW min]]</f>
        <v>588.35609999999997</v>
      </c>
      <c r="DF286" s="40">
        <f>Tabelle5897112140[[#This Row],[Durchschnittsauslastung durch]]*Tabelle5897112140[[#This Row],[installierte Leistung MW durch]]</f>
        <v>5789.52</v>
      </c>
      <c r="DG286" s="40">
        <f>Tabelle5897112140[[#This Row],[Durchschnittsauslastung max]]*Tabelle5897112140[[#This Row],[installierte Leistung MW max]]</f>
        <v>15825.010499999999</v>
      </c>
      <c r="DH286" s="46">
        <f>Tabelle5897112140[[#This Row],[Maximalauslastung min]]*Tabelle5897112140[[#This Row],[installierte Leistung MW min]]</f>
        <v>0</v>
      </c>
      <c r="DI286" s="46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0">
        <f>Tabelle5897112140[[#This Row],[Durchschnittsauslastung min]]*Tabelle5897112140[[#This Row],[installierte Leistung MW min]]</f>
        <v>693.2568</v>
      </c>
      <c r="DF287" s="40">
        <f>Tabelle5897112140[[#This Row],[Durchschnittsauslastung durch]]*Tabelle5897112140[[#This Row],[installierte Leistung MW durch]]</f>
        <v>6821.76</v>
      </c>
      <c r="DG287" s="40">
        <f>Tabelle5897112140[[#This Row],[Durchschnittsauslastung max]]*Tabelle5897112140[[#This Row],[installierte Leistung MW max]]</f>
        <v>18646.524000000001</v>
      </c>
      <c r="DH287" s="46">
        <f>Tabelle5897112140[[#This Row],[Maximalauslastung min]]*Tabelle5897112140[[#This Row],[installierte Leistung MW min]]</f>
        <v>0</v>
      </c>
      <c r="DI287" s="46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0">
        <f>Tabelle5897112140[[#This Row],[Durchschnittsauslastung min]]*Tabelle5897112140[[#This Row],[installierte Leistung MW min]]</f>
        <v>819.44169999999997</v>
      </c>
      <c r="DF288" s="40">
        <f>Tabelle5897112140[[#This Row],[Durchschnittsauslastung durch]]*Tabelle5897112140[[#This Row],[installierte Leistung MW durch]]</f>
        <v>8063.44</v>
      </c>
      <c r="DG288" s="40">
        <f>Tabelle5897112140[[#This Row],[Durchschnittsauslastung max]]*Tabelle5897112140[[#This Row],[installierte Leistung MW max]]</f>
        <v>22040.518499999998</v>
      </c>
      <c r="DH288" s="46">
        <f>Tabelle5897112140[[#This Row],[Maximalauslastung min]]*Tabelle5897112140[[#This Row],[installierte Leistung MW min]]</f>
        <v>0</v>
      </c>
      <c r="DI288" s="46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0">
        <f>Tabelle5897112140[[#This Row],[Durchschnittsauslastung min]]*Tabelle5897112140[[#This Row],[installierte Leistung MW min]]</f>
        <v>925.86270000000002</v>
      </c>
      <c r="DF289" s="40">
        <f>Tabelle5897112140[[#This Row],[Durchschnittsauslastung durch]]*Tabelle5897112140[[#This Row],[installierte Leistung MW durch]]</f>
        <v>9110.64</v>
      </c>
      <c r="DG289" s="40">
        <f>Tabelle5897112140[[#This Row],[Durchschnittsauslastung max]]*Tabelle5897112140[[#This Row],[installierte Leistung MW max]]</f>
        <v>24902.923499999997</v>
      </c>
      <c r="DH289" s="46">
        <f>Tabelle5897112140[[#This Row],[Maximalauslastung min]]*Tabelle5897112140[[#This Row],[installierte Leistung MW min]]</f>
        <v>0</v>
      </c>
      <c r="DI289" s="46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0">
        <f>Tabelle5897112140[[#This Row],[Durchschnittsauslastung min]]*Tabelle5897112140[[#This Row],[installierte Leistung MW min]]</f>
        <v>924.81399999999996</v>
      </c>
      <c r="DF290" s="40">
        <f>Tabelle5897112140[[#This Row],[Durchschnittsauslastung durch]]*Tabelle5897112140[[#This Row],[installierte Leistung MW durch]]</f>
        <v>1317.1560416666664</v>
      </c>
      <c r="DG290" s="40">
        <f>Tabelle5897112140[[#This Row],[Durchschnittsauslastung max]]*Tabelle5897112140[[#This Row],[installierte Leistung MW max]]</f>
        <v>1809.2249999999999</v>
      </c>
      <c r="DH290" s="46">
        <f>Tabelle5897112140[[#This Row],[Maximalauslastung min]]*Tabelle5897112140[[#This Row],[installierte Leistung MW min]]</f>
        <v>0</v>
      </c>
      <c r="DI290" s="46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0">
        <f>Tabelle5897112140[[#This Row],[Durchschnittsauslastung min]]*Tabelle5897112140[[#This Row],[installierte Leistung MW min]]</f>
        <v>758.34748000000002</v>
      </c>
      <c r="DF291" s="40">
        <f>Tabelle5897112140[[#This Row],[Durchschnittsauslastung durch]]*Tabelle5897112140[[#This Row],[installierte Leistung MW durch]]</f>
        <v>1080.0679541666664</v>
      </c>
      <c r="DG291" s="40">
        <f>Tabelle5897112140[[#This Row],[Durchschnittsauslastung max]]*Tabelle5897112140[[#This Row],[installierte Leistung MW max]]</f>
        <v>1483.5645</v>
      </c>
      <c r="DH291" s="46">
        <f>Tabelle5897112140[[#This Row],[Maximalauslastung min]]*Tabelle5897112140[[#This Row],[installierte Leistung MW min]]</f>
        <v>1910.7968000000001</v>
      </c>
      <c r="DI291" s="46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0">
        <f>Tabelle5897112140[[#This Row],[Durchschnittsauslastung min]]*Tabelle5897112140[[#This Row],[installierte Leistung MW min]]</f>
        <v>656.61794000000009</v>
      </c>
      <c r="DF292" s="40">
        <f>Tabelle5897112140[[#This Row],[Durchschnittsauslastung durch]]*Tabelle5897112140[[#This Row],[installierte Leistung MW durch]]</f>
        <v>935.18078958333319</v>
      </c>
      <c r="DG292" s="40">
        <f>Tabelle5897112140[[#This Row],[Durchschnittsauslastung max]]*Tabelle5897112140[[#This Row],[installierte Leistung MW max]]</f>
        <v>1284.5497499999999</v>
      </c>
      <c r="DH292" s="46">
        <f>Tabelle5897112140[[#This Row],[Maximalauslastung min]]*Tabelle5897112140[[#This Row],[installierte Leistung MW min]]</f>
        <v>1654.4704000000002</v>
      </c>
      <c r="DI292" s="46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0">
        <f>Tabelle5897112140[[#This Row],[Durchschnittsauslastung min]]*Tabelle5897112140[[#This Row],[installierte Leistung MW min]]</f>
        <v>564.13654000000008</v>
      </c>
      <c r="DF293" s="40">
        <f>Tabelle5897112140[[#This Row],[Durchschnittsauslastung durch]]*Tabelle5897112140[[#This Row],[installierte Leistung MW durch]]</f>
        <v>803.46518541666649</v>
      </c>
      <c r="DG293" s="40">
        <f>Tabelle5897112140[[#This Row],[Durchschnittsauslastung max]]*Tabelle5897112140[[#This Row],[installierte Leistung MW max]]</f>
        <v>1103.62725</v>
      </c>
      <c r="DH293" s="46">
        <f>Tabelle5897112140[[#This Row],[Maximalauslastung min]]*Tabelle5897112140[[#This Row],[installierte Leistung MW min]]</f>
        <v>1421.4464000000003</v>
      </c>
      <c r="DI293" s="46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0">
        <f>Tabelle5897112140[[#This Row],[Durchschnittsauslastung min]]*Tabelle5897112140[[#This Row],[installierte Leistung MW min]]</f>
        <v>536.39212000000009</v>
      </c>
      <c r="DF294" s="40">
        <f>Tabelle5897112140[[#This Row],[Durchschnittsauslastung durch]]*Tabelle5897112140[[#This Row],[installierte Leistung MW durch]]</f>
        <v>763.95050416666663</v>
      </c>
      <c r="DG294" s="40">
        <f>Tabelle5897112140[[#This Row],[Durchschnittsauslastung max]]*Tabelle5897112140[[#This Row],[installierte Leistung MW max]]</f>
        <v>1049.3505</v>
      </c>
      <c r="DH294" s="46">
        <f>Tabelle5897112140[[#This Row],[Maximalauslastung min]]*Tabelle5897112140[[#This Row],[installierte Leistung MW min]]</f>
        <v>1351.5392000000002</v>
      </c>
      <c r="DI294" s="46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0">
        <f>Tabelle5897112140[[#This Row],[Durchschnittsauslastung min]]*Tabelle5897112140[[#This Row],[installierte Leistung MW min]]</f>
        <v>508.64769999999999</v>
      </c>
      <c r="DF295" s="40">
        <f>Tabelle5897112140[[#This Row],[Durchschnittsauslastung durch]]*Tabelle5897112140[[#This Row],[installierte Leistung MW durch]]</f>
        <v>724.43582291666655</v>
      </c>
      <c r="DG295" s="40">
        <f>Tabelle5897112140[[#This Row],[Durchschnittsauslastung max]]*Tabelle5897112140[[#This Row],[installierte Leistung MW max]]</f>
        <v>995.0737499999999</v>
      </c>
      <c r="DH295" s="46">
        <f>Tabelle5897112140[[#This Row],[Maximalauslastung min]]*Tabelle5897112140[[#This Row],[installierte Leistung MW min]]</f>
        <v>1281.6320000000001</v>
      </c>
      <c r="DI295" s="46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0">
        <f>Tabelle5897112140[[#This Row],[Durchschnittsauslastung min]]*Tabelle5897112140[[#This Row],[installierte Leistung MW min]]</f>
        <v>490.15142000000003</v>
      </c>
      <c r="DF296" s="40">
        <f>Tabelle5897112140[[#This Row],[Durchschnittsauslastung durch]]*Tabelle5897112140[[#This Row],[installierte Leistung MW durch]]</f>
        <v>698.09270208333317</v>
      </c>
      <c r="DG296" s="40">
        <f>Tabelle5897112140[[#This Row],[Durchschnittsauslastung max]]*Tabelle5897112140[[#This Row],[installierte Leistung MW max]]</f>
        <v>958.88924999999995</v>
      </c>
      <c r="DH296" s="46">
        <f>Tabelle5897112140[[#This Row],[Maximalauslastung min]]*Tabelle5897112140[[#This Row],[installierte Leistung MW min]]</f>
        <v>1235.0272</v>
      </c>
      <c r="DI296" s="46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0">
        <f>Tabelle5897112140[[#This Row],[Durchschnittsauslastung min]]*Tabelle5897112140[[#This Row],[installierte Leistung MW min]]</f>
        <v>471.65514000000002</v>
      </c>
      <c r="DF297" s="40">
        <f>Tabelle5897112140[[#This Row],[Durchschnittsauslastung durch]]*Tabelle5897112140[[#This Row],[installierte Leistung MW durch]]</f>
        <v>671.74958124999989</v>
      </c>
      <c r="DG297" s="40">
        <f>Tabelle5897112140[[#This Row],[Durchschnittsauslastung max]]*Tabelle5897112140[[#This Row],[installierte Leistung MW max]]</f>
        <v>922.70474999999999</v>
      </c>
      <c r="DH297" s="46">
        <f>Tabelle5897112140[[#This Row],[Maximalauslastung min]]*Tabelle5897112140[[#This Row],[installierte Leistung MW min]]</f>
        <v>1188.4224000000002</v>
      </c>
      <c r="DI297" s="46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0">
        <f>Tabelle5897112140[[#This Row],[Durchschnittsauslastung min]]*Tabelle5897112140[[#This Row],[installierte Leistung MW min]]</f>
        <v>615.6</v>
      </c>
      <c r="DF298" s="40">
        <f>Tabelle5897112140[[#This Row],[Durchschnittsauslastung durch]]*Tabelle5897112140[[#This Row],[installierte Leistung MW durch]]</f>
        <v>1894.6874999999995</v>
      </c>
      <c r="DG298" s="40">
        <f>Tabelle5897112140[[#This Row],[Durchschnittsauslastung max]]*Tabelle5897112140[[#This Row],[installierte Leistung MW max]]</f>
        <v>2716.1749999999997</v>
      </c>
      <c r="DH298" s="46">
        <f>Tabelle5897112140[[#This Row],[Maximalauslastung min]]*Tabelle5897112140[[#This Row],[installierte Leistung MW min]]</f>
        <v>850.5</v>
      </c>
      <c r="DI298" s="46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0">
        <f>Tabelle5897112140[[#This Row],[Durchschnittsauslastung min]]*Tabelle5897112140[[#This Row],[installierte Leistung MW min]]</f>
        <v>523.26</v>
      </c>
      <c r="DF299" s="40">
        <f>Tabelle5897112140[[#This Row],[Durchschnittsauslastung durch]]*Tabelle5897112140[[#This Row],[installierte Leistung MW durch]]</f>
        <v>1610.4843749999998</v>
      </c>
      <c r="DG299" s="40">
        <f>Tabelle5897112140[[#This Row],[Durchschnittsauslastung max]]*Tabelle5897112140[[#This Row],[installierte Leistung MW max]]</f>
        <v>2308.7487499999997</v>
      </c>
      <c r="DH299" s="46">
        <f>Tabelle5897112140[[#This Row],[Maximalauslastung min]]*Tabelle5897112140[[#This Row],[installierte Leistung MW min]]</f>
        <v>0</v>
      </c>
      <c r="DI299" s="46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0">
        <f>Tabelle5897112140[[#This Row],[Durchschnittsauslastung min]]*Tabelle5897112140[[#This Row],[installierte Leistung MW min]]</f>
        <v>449.38799999999998</v>
      </c>
      <c r="DF300" s="40">
        <f>Tabelle5897112140[[#This Row],[Durchschnittsauslastung durch]]*Tabelle5897112140[[#This Row],[installierte Leistung MW durch]]</f>
        <v>1383.1218749999998</v>
      </c>
      <c r="DG300" s="40">
        <f>Tabelle5897112140[[#This Row],[Durchschnittsauslastung max]]*Tabelle5897112140[[#This Row],[installierte Leistung MW max]]</f>
        <v>1982.8077499999999</v>
      </c>
      <c r="DH300" s="46">
        <f>Tabelle5897112140[[#This Row],[Maximalauslastung min]]*Tabelle5897112140[[#This Row],[installierte Leistung MW min]]</f>
        <v>0</v>
      </c>
      <c r="DI300" s="46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0">
        <f>Tabelle5897112140[[#This Row],[Durchschnittsauslastung min]]*Tabelle5897112140[[#This Row],[installierte Leistung MW min]]</f>
        <v>381.67199999999997</v>
      </c>
      <c r="DF301" s="40">
        <f>Tabelle5897112140[[#This Row],[Durchschnittsauslastung durch]]*Tabelle5897112140[[#This Row],[installierte Leistung MW durch]]</f>
        <v>1174.7062499999997</v>
      </c>
      <c r="DG301" s="40">
        <f>Tabelle5897112140[[#This Row],[Durchschnittsauslastung max]]*Tabelle5897112140[[#This Row],[installierte Leistung MW max]]</f>
        <v>1684.0284999999999</v>
      </c>
      <c r="DH301" s="46">
        <f>Tabelle5897112140[[#This Row],[Maximalauslastung min]]*Tabelle5897112140[[#This Row],[installierte Leistung MW min]]</f>
        <v>0</v>
      </c>
      <c r="DI301" s="46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0">
        <f>Tabelle5897112140[[#This Row],[Durchschnittsauslastung min]]*Tabelle5897112140[[#This Row],[installierte Leistung MW min]]</f>
        <v>381.67199999999997</v>
      </c>
      <c r="DF302" s="40">
        <f>Tabelle5897112140[[#This Row],[Durchschnittsauslastung durch]]*Tabelle5897112140[[#This Row],[installierte Leistung MW durch]]</f>
        <v>1174.7062499999997</v>
      </c>
      <c r="DG302" s="40">
        <f>Tabelle5897112140[[#This Row],[Durchschnittsauslastung max]]*Tabelle5897112140[[#This Row],[installierte Leistung MW max]]</f>
        <v>1684.0284999999999</v>
      </c>
      <c r="DH302" s="46">
        <f>Tabelle5897112140[[#This Row],[Maximalauslastung min]]*Tabelle5897112140[[#This Row],[installierte Leistung MW min]]</f>
        <v>0</v>
      </c>
      <c r="DI302" s="46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0">
        <f>Tabelle5897112140[[#This Row],[Durchschnittsauslastung min]]*Tabelle5897112140[[#This Row],[installierte Leistung MW min]]</f>
        <v>381.67199999999997</v>
      </c>
      <c r="DF303" s="40">
        <f>Tabelle5897112140[[#This Row],[Durchschnittsauslastung durch]]*Tabelle5897112140[[#This Row],[installierte Leistung MW durch]]</f>
        <v>1174.7062499999997</v>
      </c>
      <c r="DG303" s="40">
        <f>Tabelle5897112140[[#This Row],[Durchschnittsauslastung max]]*Tabelle5897112140[[#This Row],[installierte Leistung MW max]]</f>
        <v>1684.0284999999999</v>
      </c>
      <c r="DH303" s="46">
        <f>Tabelle5897112140[[#This Row],[Maximalauslastung min]]*Tabelle5897112140[[#This Row],[installierte Leistung MW min]]</f>
        <v>0</v>
      </c>
      <c r="DI303" s="46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0">
        <f>Tabelle5897112140[[#This Row],[Durchschnittsauslastung min]]*Tabelle5897112140[[#This Row],[installierte Leistung MW min]]</f>
        <v>387.82799999999997</v>
      </c>
      <c r="DF304" s="40">
        <f>Tabelle5897112140[[#This Row],[Durchschnittsauslastung durch]]*Tabelle5897112140[[#This Row],[installierte Leistung MW durch]]</f>
        <v>1193.6531249999998</v>
      </c>
      <c r="DG304" s="40">
        <f>Tabelle5897112140[[#This Row],[Durchschnittsauslastung max]]*Tabelle5897112140[[#This Row],[installierte Leistung MW max]]</f>
        <v>1711.1902499999999</v>
      </c>
      <c r="DH304" s="46">
        <f>Tabelle5897112140[[#This Row],[Maximalauslastung min]]*Tabelle5897112140[[#This Row],[installierte Leistung MW min]]</f>
        <v>0</v>
      </c>
      <c r="DI304" s="46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0">
        <f>Tabelle5897112140[[#This Row],[Durchschnittsauslastung min]]*Tabelle5897112140[[#This Row],[installierte Leistung MW min]]</f>
        <v>387.82799999999997</v>
      </c>
      <c r="DF305" s="40">
        <f>Tabelle5897112140[[#This Row],[Durchschnittsauslastung durch]]*Tabelle5897112140[[#This Row],[installierte Leistung MW durch]]</f>
        <v>1193.6531249999998</v>
      </c>
      <c r="DG305" s="40">
        <f>Tabelle5897112140[[#This Row],[Durchschnittsauslastung max]]*Tabelle5897112140[[#This Row],[installierte Leistung MW max]]</f>
        <v>1711.1902499999999</v>
      </c>
      <c r="DH305" s="46">
        <f>Tabelle5897112140[[#This Row],[Maximalauslastung min]]*Tabelle5897112140[[#This Row],[installierte Leistung MW min]]</f>
        <v>0</v>
      </c>
      <c r="DI305" s="46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0">
        <f>Tabelle5897112140[[#This Row],[Durchschnittsauslastung min]]*Tabelle5897112140[[#This Row],[installierte Leistung MW min]]</f>
        <v>126.846</v>
      </c>
      <c r="DF306" s="40">
        <f>Tabelle5897112140[[#This Row],[Durchschnittsauslastung durch]]*Tabelle5897112140[[#This Row],[installierte Leistung MW durch]]</f>
        <v>3330.1666666666665</v>
      </c>
      <c r="DG306" s="40">
        <f>Tabelle5897112140[[#This Row],[Durchschnittsauslastung max]]*Tabelle5897112140[[#This Row],[installierte Leistung MW max]]</f>
        <v>5813.34</v>
      </c>
      <c r="DH306" s="46">
        <f>Tabelle5897112140[[#This Row],[Maximalauslastung min]]*Tabelle5897112140[[#This Row],[installierte Leistung MW min]]</f>
        <v>9513.4500000000007</v>
      </c>
      <c r="DI306" s="46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0">
        <f>Tabelle5897112140[[#This Row],[Durchschnittsauslastung min]]*Tabelle5897112140[[#This Row],[installierte Leistung MW min]]</f>
        <v>128.11446000000001</v>
      </c>
      <c r="DF307" s="40">
        <f>Tabelle5897112140[[#This Row],[Durchschnittsauslastung durch]]*Tabelle5897112140[[#This Row],[installierte Leistung MW durch]]</f>
        <v>3363.4683333333332</v>
      </c>
      <c r="DG307" s="40">
        <f>Tabelle5897112140[[#This Row],[Durchschnittsauslastung max]]*Tabelle5897112140[[#This Row],[installierte Leistung MW max]]</f>
        <v>5871.4733999999999</v>
      </c>
      <c r="DH307" s="46">
        <f>Tabelle5897112140[[#This Row],[Maximalauslastung min]]*Tabelle5897112140[[#This Row],[installierte Leistung MW min]]</f>
        <v>3202.8615</v>
      </c>
      <c r="DI307" s="46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0">
        <f>Tabelle5897112140[[#This Row],[Durchschnittsauslastung min]]*Tabelle5897112140[[#This Row],[installierte Leistung MW min]]</f>
        <v>130.65137999999999</v>
      </c>
      <c r="DF308" s="40">
        <f>Tabelle5897112140[[#This Row],[Durchschnittsauslastung durch]]*Tabelle5897112140[[#This Row],[installierte Leistung MW durch]]</f>
        <v>3430.0716666666667</v>
      </c>
      <c r="DG308" s="40">
        <f>Tabelle5897112140[[#This Row],[Durchschnittsauslastung max]]*Tabelle5897112140[[#This Row],[installierte Leistung MW max]]</f>
        <v>5987.7402000000002</v>
      </c>
      <c r="DH308" s="46">
        <f>Tabelle5897112140[[#This Row],[Maximalauslastung min]]*Tabelle5897112140[[#This Row],[installierte Leistung MW min]]</f>
        <v>3266.2844999999998</v>
      </c>
      <c r="DI308" s="46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0">
        <f>Tabelle5897112140[[#This Row],[Durchschnittsauslastung min]]*Tabelle5897112140[[#This Row],[installierte Leistung MW min]]</f>
        <v>131.91983999999999</v>
      </c>
      <c r="DF309" s="40">
        <f>Tabelle5897112140[[#This Row],[Durchschnittsauslastung durch]]*Tabelle5897112140[[#This Row],[installierte Leistung MW durch]]</f>
        <v>3463.3733333333334</v>
      </c>
      <c r="DG309" s="40">
        <f>Tabelle5897112140[[#This Row],[Durchschnittsauslastung max]]*Tabelle5897112140[[#This Row],[installierte Leistung MW max]]</f>
        <v>6045.8736000000008</v>
      </c>
      <c r="DH309" s="46">
        <f>Tabelle5897112140[[#This Row],[Maximalauslastung min]]*Tabelle5897112140[[#This Row],[installierte Leistung MW min]]</f>
        <v>3297.9959999999996</v>
      </c>
      <c r="DI309" s="46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0">
        <f>Tabelle5897112140[[#This Row],[Durchschnittsauslastung min]]*Tabelle5897112140[[#This Row],[installierte Leistung MW min]]</f>
        <v>114.16140000000001</v>
      </c>
      <c r="DF310" s="40">
        <f>Tabelle5897112140[[#This Row],[Durchschnittsauslastung durch]]*Tabelle5897112140[[#This Row],[installierte Leistung MW durch]]</f>
        <v>2997.15</v>
      </c>
      <c r="DG310" s="40">
        <f>Tabelle5897112140[[#This Row],[Durchschnittsauslastung max]]*Tabelle5897112140[[#This Row],[installierte Leistung MW max]]</f>
        <v>5232.0059999999994</v>
      </c>
      <c r="DH310" s="46">
        <f>Tabelle5897112140[[#This Row],[Maximalauslastung min]]*Tabelle5897112140[[#This Row],[installierte Leistung MW min]]</f>
        <v>2854.0350000000003</v>
      </c>
      <c r="DI310" s="46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0">
        <f>Tabelle5897112140[[#This Row],[Durchschnittsauslastung min]]*Tabelle5897112140[[#This Row],[installierte Leistung MW min]]</f>
        <v>97.671419999999998</v>
      </c>
      <c r="DF311" s="40">
        <f>Tabelle5897112140[[#This Row],[Durchschnittsauslastung durch]]*Tabelle5897112140[[#This Row],[installierte Leistung MW durch]]</f>
        <v>2564.2283333333335</v>
      </c>
      <c r="DG311" s="40">
        <f>Tabelle5897112140[[#This Row],[Durchschnittsauslastung max]]*Tabelle5897112140[[#This Row],[installierte Leistung MW max]]</f>
        <v>4476.2718000000004</v>
      </c>
      <c r="DH311" s="46">
        <f>Tabelle5897112140[[#This Row],[Maximalauslastung min]]*Tabelle5897112140[[#This Row],[installierte Leistung MW min]]</f>
        <v>2441.7855</v>
      </c>
      <c r="DI311" s="46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0">
        <f>Tabelle5897112140[[#This Row],[Durchschnittsauslastung min]]*Tabelle5897112140[[#This Row],[installierte Leistung MW min]]</f>
        <v>84.986819999999994</v>
      </c>
      <c r="DF312" s="40">
        <f>Tabelle5897112140[[#This Row],[Durchschnittsauslastung durch]]*Tabelle5897112140[[#This Row],[installierte Leistung MW durch]]</f>
        <v>2231.2116666666666</v>
      </c>
      <c r="DG312" s="40">
        <f>Tabelle5897112140[[#This Row],[Durchschnittsauslastung max]]*Tabelle5897112140[[#This Row],[installierte Leistung MW max]]</f>
        <v>3894.9378000000002</v>
      </c>
      <c r="DH312" s="46">
        <f>Tabelle5897112140[[#This Row],[Maximalauslastung min]]*Tabelle5897112140[[#This Row],[installierte Leistung MW min]]</f>
        <v>2124.6704999999997</v>
      </c>
      <c r="DI312" s="46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0">
        <f>Tabelle5897112140[[#This Row],[Durchschnittsauslastung min]]*Tabelle5897112140[[#This Row],[installierte Leistung MW min]]</f>
        <v>73.57068000000001</v>
      </c>
      <c r="DF313" s="40">
        <f>Tabelle5897112140[[#This Row],[Durchschnittsauslastung durch]]*Tabelle5897112140[[#This Row],[installierte Leistung MW durch]]</f>
        <v>1931.4966666666667</v>
      </c>
      <c r="DG313" s="40">
        <f>Tabelle5897112140[[#This Row],[Durchschnittsauslastung max]]*Tabelle5897112140[[#This Row],[installierte Leistung MW max]]</f>
        <v>3371.7372</v>
      </c>
      <c r="DH313" s="46">
        <f>Tabelle5897112140[[#This Row],[Maximalauslastung min]]*Tabelle5897112140[[#This Row],[installierte Leistung MW min]]</f>
        <v>1839.2670000000001</v>
      </c>
      <c r="DI313" s="46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0">
        <f>Tabelle5897112140[[#This Row],[Durchschnittsauslastung min]]*Tabelle5897112140[[#This Row],[installierte Leistung MW min]]</f>
        <v>132.024</v>
      </c>
      <c r="DF314" s="40">
        <f>Tabelle5897112140[[#This Row],[Durchschnittsauslastung durch]]*Tabelle5897112140[[#This Row],[installierte Leistung MW durch]]</f>
        <v>545.72924999999987</v>
      </c>
      <c r="DG314" s="40">
        <f>Tabelle5897112140[[#This Row],[Durchschnittsauslastung max]]*Tabelle5897112140[[#This Row],[installierte Leistung MW max]]</f>
        <v>795.43200000000002</v>
      </c>
      <c r="DH314" s="46">
        <f>Tabelle5897112140[[#This Row],[Maximalauslastung min]]*Tabelle5897112140[[#This Row],[installierte Leistung MW min]]</f>
        <v>0</v>
      </c>
      <c r="DI314" s="46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0">
        <f>Tabelle5897112140[[#This Row],[Durchschnittsauslastung min]]*Tabelle5897112140[[#This Row],[installierte Leistung MW min]]</f>
        <v>114.86088000000001</v>
      </c>
      <c r="DF315" s="40">
        <f>Tabelle5897112140[[#This Row],[Durchschnittsauslastung durch]]*Tabelle5897112140[[#This Row],[installierte Leistung MW durch]]</f>
        <v>474.78444749999989</v>
      </c>
      <c r="DG315" s="40">
        <f>Tabelle5897112140[[#This Row],[Durchschnittsauslastung max]]*Tabelle5897112140[[#This Row],[installierte Leistung MW max]]</f>
        <v>692.02584000000002</v>
      </c>
      <c r="DH315" s="46">
        <f>Tabelle5897112140[[#This Row],[Maximalauslastung min]]*Tabelle5897112140[[#This Row],[installierte Leistung MW min]]</f>
        <v>39627.003599999996</v>
      </c>
      <c r="DI315" s="46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0">
        <f>Tabelle5897112140[[#This Row],[Durchschnittsauslastung min]]*Tabelle5897112140[[#This Row],[installierte Leistung MW min]]</f>
        <v>99.018000000000001</v>
      </c>
      <c r="DF316" s="40">
        <f>Tabelle5897112140[[#This Row],[Durchschnittsauslastung durch]]*Tabelle5897112140[[#This Row],[installierte Leistung MW durch]]</f>
        <v>409.29693749999996</v>
      </c>
      <c r="DG316" s="40">
        <f>Tabelle5897112140[[#This Row],[Durchschnittsauslastung max]]*Tabelle5897112140[[#This Row],[installierte Leistung MW max]]</f>
        <v>596.57400000000007</v>
      </c>
      <c r="DH316" s="46">
        <f>Tabelle5897112140[[#This Row],[Maximalauslastung min]]*Tabelle5897112140[[#This Row],[installierte Leistung MW min]]</f>
        <v>34161.21</v>
      </c>
      <c r="DI316" s="46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0">
        <f>Tabelle5897112140[[#This Row],[Durchschnittsauslastung min]]*Tabelle5897112140[[#This Row],[installierte Leistung MW min]]</f>
        <v>85.815600000000003</v>
      </c>
      <c r="DF317" s="40">
        <f>Tabelle5897112140[[#This Row],[Durchschnittsauslastung durch]]*Tabelle5897112140[[#This Row],[installierte Leistung MW durch]]</f>
        <v>354.72401249999996</v>
      </c>
      <c r="DG317" s="40">
        <f>Tabelle5897112140[[#This Row],[Durchschnittsauslastung max]]*Tabelle5897112140[[#This Row],[installierte Leistung MW max]]</f>
        <v>517.0308</v>
      </c>
      <c r="DH317" s="46">
        <f>Tabelle5897112140[[#This Row],[Maximalauslastung min]]*Tabelle5897112140[[#This Row],[installierte Leistung MW min]]</f>
        <v>29606.382000000001</v>
      </c>
      <c r="DI317" s="46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0">
        <f>Tabelle5897112140[[#This Row],[Durchschnittsauslastung min]]*Tabelle5897112140[[#This Row],[installierte Leistung MW min]]</f>
        <v>81.854880000000009</v>
      </c>
      <c r="DF318" s="40">
        <f>Tabelle5897112140[[#This Row],[Durchschnittsauslastung durch]]*Tabelle5897112140[[#This Row],[installierte Leistung MW durch]]</f>
        <v>338.35213499999992</v>
      </c>
      <c r="DG318" s="40">
        <f>Tabelle5897112140[[#This Row],[Durchschnittsauslastung max]]*Tabelle5897112140[[#This Row],[installierte Leistung MW max]]</f>
        <v>493.16784000000001</v>
      </c>
      <c r="DH318" s="46">
        <f>Tabelle5897112140[[#This Row],[Maximalauslastung min]]*Tabelle5897112140[[#This Row],[installierte Leistung MW min]]</f>
        <v>28239.9336</v>
      </c>
      <c r="DI318" s="46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0">
        <f>Tabelle5897112140[[#This Row],[Durchschnittsauslastung min]]*Tabelle5897112140[[#This Row],[installierte Leistung MW min]]</f>
        <v>76.573920000000001</v>
      </c>
      <c r="DF319" s="40">
        <f>Tabelle5897112140[[#This Row],[Durchschnittsauslastung durch]]*Tabelle5897112140[[#This Row],[installierte Leistung MW durch]]</f>
        <v>316.52296499999994</v>
      </c>
      <c r="DG319" s="40">
        <f>Tabelle5897112140[[#This Row],[Durchschnittsauslastung max]]*Tabelle5897112140[[#This Row],[installierte Leistung MW max]]</f>
        <v>461.35055999999997</v>
      </c>
      <c r="DH319" s="46">
        <f>Tabelle5897112140[[#This Row],[Maximalauslastung min]]*Tabelle5897112140[[#This Row],[installierte Leistung MW min]]</f>
        <v>26418.002399999998</v>
      </c>
      <c r="DI319" s="46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0">
        <f>Tabelle5897112140[[#This Row],[Durchschnittsauslastung min]]*Tabelle5897112140[[#This Row],[installierte Leistung MW min]]</f>
        <v>72.613199999999992</v>
      </c>
      <c r="DF320" s="40">
        <f>Tabelle5897112140[[#This Row],[Durchschnittsauslastung durch]]*Tabelle5897112140[[#This Row],[installierte Leistung MW durch]]</f>
        <v>300.1510874999999</v>
      </c>
      <c r="DG320" s="40">
        <f>Tabelle5897112140[[#This Row],[Durchschnittsauslastung max]]*Tabelle5897112140[[#This Row],[installierte Leistung MW max]]</f>
        <v>437.48760000000004</v>
      </c>
      <c r="DH320" s="46">
        <f>Tabelle5897112140[[#This Row],[Maximalauslastung min]]*Tabelle5897112140[[#This Row],[installierte Leistung MW min]]</f>
        <v>25051.553999999996</v>
      </c>
      <c r="DI320" s="46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0">
        <f>Tabelle5897112140[[#This Row],[Durchschnittsauslastung min]]*Tabelle5897112140[[#This Row],[installierte Leistung MW min]]</f>
        <v>67.332240000000013</v>
      </c>
      <c r="DF321" s="40">
        <f>Tabelle5897112140[[#This Row],[Durchschnittsauslastung durch]]*Tabelle5897112140[[#This Row],[installierte Leistung MW durch]]</f>
        <v>278.32191749999993</v>
      </c>
      <c r="DG321" s="40">
        <f>Tabelle5897112140[[#This Row],[Durchschnittsauslastung max]]*Tabelle5897112140[[#This Row],[installierte Leistung MW max]]</f>
        <v>405.67032</v>
      </c>
      <c r="DH321" s="46">
        <f>Tabelle5897112140[[#This Row],[Maximalauslastung min]]*Tabelle5897112140[[#This Row],[installierte Leistung MW min]]</f>
        <v>23229.622800000001</v>
      </c>
      <c r="DI321" s="46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0">
        <f>Tabelle5897112140[[#This Row],[Durchschnittsauslastung min]]*Tabelle5897112140[[#This Row],[installierte Leistung MW min]]</f>
        <v>288.99</v>
      </c>
      <c r="DF322" s="40">
        <f>Tabelle5897112140[[#This Row],[Durchschnittsauslastung durch]]*Tabelle5897112140[[#This Row],[installierte Leistung MW durch]]</f>
        <v>947.15555555555568</v>
      </c>
      <c r="DG322" s="40">
        <f>Tabelle5897112140[[#This Row],[Durchschnittsauslastung max]]*Tabelle5897112140[[#This Row],[installierte Leistung MW max]]</f>
        <v>1964.8200000000002</v>
      </c>
      <c r="DH322" s="46">
        <f>Tabelle5897112140[[#This Row],[Maximalauslastung min]]*Tabelle5897112140[[#This Row],[installierte Leistung MW min]]</f>
        <v>1049.49</v>
      </c>
      <c r="DI322" s="46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0">
        <f>Tabelle5897112140[[#This Row],[Durchschnittsauslastung min]]*Tabelle5897112140[[#This Row],[installierte Leistung MW min]]</f>
        <v>413.25570000000005</v>
      </c>
      <c r="DF323" s="40">
        <f>Tabelle5897112140[[#This Row],[Durchschnittsauslastung durch]]*Tabelle5897112140[[#This Row],[installierte Leistung MW durch]]</f>
        <v>1354.4324444444446</v>
      </c>
      <c r="DG323" s="40">
        <f>Tabelle5897112140[[#This Row],[Durchschnittsauslastung max]]*Tabelle5897112140[[#This Row],[installierte Leistung MW max]]</f>
        <v>2809.6926000000003</v>
      </c>
      <c r="DH323" s="46">
        <f>Tabelle5897112140[[#This Row],[Maximalauslastung min]]*Tabelle5897112140[[#This Row],[installierte Leistung MW min]]</f>
        <v>6.5250899999999969</v>
      </c>
      <c r="DI323" s="46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0">
        <f>Tabelle5897112140[[#This Row],[Durchschnittsauslastung min]]*Tabelle5897112140[[#This Row],[installierte Leistung MW min]]</f>
        <v>436.37490000000003</v>
      </c>
      <c r="DF324" s="40">
        <f>Tabelle5897112140[[#This Row],[Durchschnittsauslastung durch]]*Tabelle5897112140[[#This Row],[installierte Leistung MW durch]]</f>
        <v>1430.2048888888889</v>
      </c>
      <c r="DG324" s="40">
        <f>Tabelle5897112140[[#This Row],[Durchschnittsauslastung max]]*Tabelle5897112140[[#This Row],[installierte Leistung MW max]]</f>
        <v>2966.8782000000001</v>
      </c>
      <c r="DH324" s="46">
        <f>Tabelle5897112140[[#This Row],[Maximalauslastung min]]*Tabelle5897112140[[#This Row],[installierte Leistung MW min]]</f>
        <v>6.8901299999999965</v>
      </c>
      <c r="DI324" s="46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0">
        <f>Tabelle5897112140[[#This Row],[Durchschnittsauslastung min]]*Tabelle5897112140[[#This Row],[installierte Leistung MW min]]</f>
        <v>465.27389999999997</v>
      </c>
      <c r="DF325" s="40">
        <f>Tabelle5897112140[[#This Row],[Durchschnittsauslastung durch]]*Tabelle5897112140[[#This Row],[installierte Leistung MW durch]]</f>
        <v>1524.9204444444447</v>
      </c>
      <c r="DG325" s="40">
        <f>Tabelle5897112140[[#This Row],[Durchschnittsauslastung max]]*Tabelle5897112140[[#This Row],[installierte Leistung MW max]]</f>
        <v>3163.3602000000001</v>
      </c>
      <c r="DH325" s="46">
        <f>Tabelle5897112140[[#This Row],[Maximalauslastung min]]*Tabelle5897112140[[#This Row],[installierte Leistung MW min]]</f>
        <v>7.3464299999999954</v>
      </c>
      <c r="DI325" s="46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0">
        <f>Tabelle5897112140[[#This Row],[Durchschnittsauslastung min]]*Tabelle5897112140[[#This Row],[installierte Leistung MW min]]</f>
        <v>497.06279999999998</v>
      </c>
      <c r="DF326" s="40">
        <f>Tabelle5897112140[[#This Row],[Durchschnittsauslastung durch]]*Tabelle5897112140[[#This Row],[installierte Leistung MW durch]]</f>
        <v>1629.1075555555558</v>
      </c>
      <c r="DG326" s="40">
        <f>Tabelle5897112140[[#This Row],[Durchschnittsauslastung max]]*Tabelle5897112140[[#This Row],[installierte Leistung MW max]]</f>
        <v>3379.4904000000001</v>
      </c>
      <c r="DH326" s="46">
        <f>Tabelle5897112140[[#This Row],[Maximalauslastung min]]*Tabelle5897112140[[#This Row],[installierte Leistung MW min]]</f>
        <v>7.8483599999999951</v>
      </c>
      <c r="DI326" s="46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0">
        <f>Tabelle5897112140[[#This Row],[Durchschnittsauslastung min]]*Tabelle5897112140[[#This Row],[installierte Leistung MW min]]</f>
        <v>540.41129999999998</v>
      </c>
      <c r="DF327" s="40">
        <f>Tabelle5897112140[[#This Row],[Durchschnittsauslastung durch]]*Tabelle5897112140[[#This Row],[installierte Leistung MW durch]]</f>
        <v>1771.1808888888893</v>
      </c>
      <c r="DG327" s="40">
        <f>Tabelle5897112140[[#This Row],[Durchschnittsauslastung max]]*Tabelle5897112140[[#This Row],[installierte Leistung MW max]]</f>
        <v>3674.2134000000001</v>
      </c>
      <c r="DH327" s="46">
        <f>Tabelle5897112140[[#This Row],[Maximalauslastung min]]*Tabelle5897112140[[#This Row],[installierte Leistung MW min]]</f>
        <v>8.532809999999996</v>
      </c>
      <c r="DI327" s="46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0">
        <f>Tabelle5897112140[[#This Row],[Durchschnittsauslastung min]]*Tabelle5897112140[[#This Row],[installierte Leistung MW min]]</f>
        <v>598.20929999999998</v>
      </c>
      <c r="DF328" s="40">
        <f>Tabelle5897112140[[#This Row],[Durchschnittsauslastung durch]]*Tabelle5897112140[[#This Row],[installierte Leistung MW durch]]</f>
        <v>1960.6120000000001</v>
      </c>
      <c r="DG328" s="40">
        <f>Tabelle5897112140[[#This Row],[Durchschnittsauslastung max]]*Tabelle5897112140[[#This Row],[installierte Leistung MW max]]</f>
        <v>4067.1774</v>
      </c>
      <c r="DH328" s="46">
        <f>Tabelle5897112140[[#This Row],[Maximalauslastung min]]*Tabelle5897112140[[#This Row],[installierte Leistung MW min]]</f>
        <v>9.4454099999999936</v>
      </c>
      <c r="DI328" s="46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0">
        <f>Tabelle5897112140[[#This Row],[Durchschnittsauslastung min]]*Tabelle5897112140[[#This Row],[installierte Leistung MW min]]</f>
        <v>670.45679999999993</v>
      </c>
      <c r="DF329" s="40">
        <f>Tabelle5897112140[[#This Row],[Durchschnittsauslastung durch]]*Tabelle5897112140[[#This Row],[installierte Leistung MW durch]]</f>
        <v>2197.4008888888889</v>
      </c>
      <c r="DG329" s="40">
        <f>Tabelle5897112140[[#This Row],[Durchschnittsauslastung max]]*Tabelle5897112140[[#This Row],[installierte Leistung MW max]]</f>
        <v>4558.3824000000004</v>
      </c>
      <c r="DH329" s="46">
        <f>Tabelle5897112140[[#This Row],[Maximalauslastung min]]*Tabelle5897112140[[#This Row],[installierte Leistung MW min]]</f>
        <v>10.586159999999994</v>
      </c>
      <c r="DI329" s="46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0">
        <f>Tabelle5897112140[[#This Row],[Durchschnittsauslastung min]]*Tabelle5897112140[[#This Row],[installierte Leistung MW min]]</f>
        <v>105.18900000000001</v>
      </c>
      <c r="DF330" s="40">
        <f>Tabelle5897112140[[#This Row],[Durchschnittsauslastung durch]]*Tabelle5897112140[[#This Row],[installierte Leistung MW durch]]</f>
        <v>456.90799999999996</v>
      </c>
      <c r="DG330" s="40">
        <f>Tabelle5897112140[[#This Row],[Durchschnittsauslastung max]]*Tabelle5897112140[[#This Row],[installierte Leistung MW max]]</f>
        <v>682.34699999999998</v>
      </c>
      <c r="DH330" s="46">
        <f>Tabelle5897112140[[#This Row],[Maximalauslastung min]]*Tabelle5897112140[[#This Row],[installierte Leistung MW min]]</f>
        <v>105.18899999999994</v>
      </c>
      <c r="DI330" s="46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0">
        <f>Tabelle5897112140[[#This Row],[Durchschnittsauslastung min]]*Tabelle5897112140[[#This Row],[installierte Leistung MW min]]</f>
        <v>91.514430000000004</v>
      </c>
      <c r="DF331" s="40">
        <f>Tabelle5897112140[[#This Row],[Durchschnittsauslastung durch]]*Tabelle5897112140[[#This Row],[installierte Leistung MW durch]]</f>
        <v>397.50995999999998</v>
      </c>
      <c r="DG331" s="40">
        <f>Tabelle5897112140[[#This Row],[Durchschnittsauslastung max]]*Tabelle5897112140[[#This Row],[installierte Leistung MW max]]</f>
        <v>593.64188999999999</v>
      </c>
      <c r="DH331" s="46">
        <f>Tabelle5897112140[[#This Row],[Maximalauslastung min]]*Tabelle5897112140[[#This Row],[installierte Leistung MW min]]</f>
        <v>30504.81</v>
      </c>
      <c r="DI331" s="46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0">
        <f>Tabelle5897112140[[#This Row],[Durchschnittsauslastung min]]*Tabelle5897112140[[#This Row],[installierte Leistung MW min]]</f>
        <v>79.943640000000002</v>
      </c>
      <c r="DF332" s="40">
        <f>Tabelle5897112140[[#This Row],[Durchschnittsauslastung durch]]*Tabelle5897112140[[#This Row],[installierte Leistung MW durch]]</f>
        <v>347.25007999999997</v>
      </c>
      <c r="DG332" s="40">
        <f>Tabelle5897112140[[#This Row],[Durchschnittsauslastung max]]*Tabelle5897112140[[#This Row],[installierte Leistung MW max]]</f>
        <v>518.58371999999997</v>
      </c>
      <c r="DH332" s="46">
        <f>Tabelle5897112140[[#This Row],[Maximalauslastung min]]*Tabelle5897112140[[#This Row],[installierte Leistung MW min]]</f>
        <v>26647.88</v>
      </c>
      <c r="DI332" s="46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0">
        <f>Tabelle5897112140[[#This Row],[Durchschnittsauslastung min]]*Tabelle5897112140[[#This Row],[installierte Leistung MW min]]</f>
        <v>70.47663</v>
      </c>
      <c r="DF333" s="40">
        <f>Tabelle5897112140[[#This Row],[Durchschnittsauslastung durch]]*Tabelle5897112140[[#This Row],[installierte Leistung MW durch]]</f>
        <v>306.12835999999999</v>
      </c>
      <c r="DG333" s="40">
        <f>Tabelle5897112140[[#This Row],[Durchschnittsauslastung max]]*Tabelle5897112140[[#This Row],[installierte Leistung MW max]]</f>
        <v>457.17248999999998</v>
      </c>
      <c r="DH333" s="46">
        <f>Tabelle5897112140[[#This Row],[Maximalauslastung min]]*Tabelle5897112140[[#This Row],[installierte Leistung MW min]]</f>
        <v>23492.21</v>
      </c>
      <c r="DI333" s="46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0">
        <f>Tabelle5897112140[[#This Row],[Durchschnittsauslastung min]]*Tabelle5897112140[[#This Row],[installierte Leistung MW min]]</f>
        <v>65.217179999999999</v>
      </c>
      <c r="DF334" s="40">
        <f>Tabelle5897112140[[#This Row],[Durchschnittsauslastung durch]]*Tabelle5897112140[[#This Row],[installierte Leistung MW durch]]</f>
        <v>283.28296</v>
      </c>
      <c r="DG334" s="40">
        <f>Tabelle5897112140[[#This Row],[Durchschnittsauslastung max]]*Tabelle5897112140[[#This Row],[installierte Leistung MW max]]</f>
        <v>423.05513999999999</v>
      </c>
      <c r="DH334" s="46">
        <f>Tabelle5897112140[[#This Row],[Maximalauslastung min]]*Tabelle5897112140[[#This Row],[installierte Leistung MW min]]</f>
        <v>21739.06</v>
      </c>
      <c r="DI334" s="46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0">
        <f>Tabelle5897112140[[#This Row],[Durchschnittsauslastung min]]*Tabelle5897112140[[#This Row],[installierte Leistung MW min]]</f>
        <v>61.009620000000005</v>
      </c>
      <c r="DF335" s="40">
        <f>Tabelle5897112140[[#This Row],[Durchschnittsauslastung durch]]*Tabelle5897112140[[#This Row],[installierte Leistung MW durch]]</f>
        <v>265.00664</v>
      </c>
      <c r="DG335" s="40">
        <f>Tabelle5897112140[[#This Row],[Durchschnittsauslastung max]]*Tabelle5897112140[[#This Row],[installierte Leistung MW max]]</f>
        <v>395.76125999999999</v>
      </c>
      <c r="DH335" s="46">
        <f>Tabelle5897112140[[#This Row],[Maximalauslastung min]]*Tabelle5897112140[[#This Row],[installierte Leistung MW min]]</f>
        <v>20336.54</v>
      </c>
      <c r="DI335" s="46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0">
        <f>Tabelle5897112140[[#This Row],[Durchschnittsauslastung min]]*Tabelle5897112140[[#This Row],[installierte Leistung MW min]]</f>
        <v>56.802060000000004</v>
      </c>
      <c r="DF336" s="40">
        <f>Tabelle5897112140[[#This Row],[Durchschnittsauslastung durch]]*Tabelle5897112140[[#This Row],[installierte Leistung MW durch]]</f>
        <v>246.73032000000001</v>
      </c>
      <c r="DG336" s="40">
        <f>Tabelle5897112140[[#This Row],[Durchschnittsauslastung max]]*Tabelle5897112140[[#This Row],[installierte Leistung MW max]]</f>
        <v>368.46737999999999</v>
      </c>
      <c r="DH336" s="46">
        <f>Tabelle5897112140[[#This Row],[Maximalauslastung min]]*Tabelle5897112140[[#This Row],[installierte Leistung MW min]]</f>
        <v>18934.02</v>
      </c>
      <c r="DI336" s="46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0">
        <f>Tabelle5897112140[[#This Row],[Durchschnittsauslastung min]]*Tabelle5897112140[[#This Row],[installierte Leistung MW min]]</f>
        <v>51.542609999999996</v>
      </c>
      <c r="DF337" s="40">
        <f>Tabelle5897112140[[#This Row],[Durchschnittsauslastung durch]]*Tabelle5897112140[[#This Row],[installierte Leistung MW durch]]</f>
        <v>223.88491999999997</v>
      </c>
      <c r="DG337" s="40">
        <f>Tabelle5897112140[[#This Row],[Durchschnittsauslastung max]]*Tabelle5897112140[[#This Row],[installierte Leistung MW max]]</f>
        <v>334.35002999999995</v>
      </c>
      <c r="DH337" s="46">
        <f>Tabelle5897112140[[#This Row],[Maximalauslastung min]]*Tabelle5897112140[[#This Row],[installierte Leistung MW min]]</f>
        <v>17180.87</v>
      </c>
      <c r="DI337" s="46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39">
        <v>0.92</v>
      </c>
      <c r="DC338" s="39">
        <v>0.95</v>
      </c>
      <c r="DD338" s="39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4">
        <v>8.3333333333333332E-3</v>
      </c>
      <c r="DT338" s="1">
        <v>0.23408333333333334</v>
      </c>
      <c r="DU338" s="1">
        <v>2.7777777777777778E-4</v>
      </c>
      <c r="DV338" s="54">
        <v>0.5</v>
      </c>
      <c r="DW338" s="1">
        <v>2.1</v>
      </c>
      <c r="DX338" s="1">
        <v>1.9000000000000001</v>
      </c>
      <c r="DY338" s="54">
        <v>2.3000000000000003</v>
      </c>
      <c r="DZ338" s="1">
        <v>4.2</v>
      </c>
      <c r="EA338" s="1">
        <v>3.7</v>
      </c>
      <c r="EB338" s="54">
        <v>4.7</v>
      </c>
      <c r="EC338" s="1">
        <v>6.1</v>
      </c>
      <c r="ED338" s="1">
        <v>6.1</v>
      </c>
      <c r="EE338" s="54">
        <v>6.1</v>
      </c>
      <c r="EF338" s="1">
        <v>4.2</v>
      </c>
      <c r="EG338" s="1">
        <v>3.7</v>
      </c>
      <c r="EH338" s="54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39">
        <v>0.92</v>
      </c>
      <c r="DC339" s="39">
        <v>0.95</v>
      </c>
      <c r="DD339" s="39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6">
        <f>Tabelle5897112140[[#This Row],[Durchschnittsauslastung max]]*Tabelle5897112140[[#This Row],[installierte Leistung MW max]]</f>
        <v>904.00099999999986</v>
      </c>
      <c r="DH339" s="46">
        <f>Tabelle5897112140[[#This Row],[Maximalauslastung min]]*Tabelle5897112140[[#This Row],[installierte Leistung MW min]]</f>
        <v>815.25104999999985</v>
      </c>
      <c r="DI339" s="46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4">
        <v>8.3333333333333332E-3</v>
      </c>
      <c r="DT339" s="1">
        <v>0.23408333333333334</v>
      </c>
      <c r="DU339" s="1">
        <v>2.7777777777777778E-4</v>
      </c>
      <c r="DV339" s="54">
        <v>0.5</v>
      </c>
      <c r="DW339" s="1">
        <v>2.1</v>
      </c>
      <c r="DX339" s="1">
        <v>1.9000000000000001</v>
      </c>
      <c r="DY339" s="54">
        <v>2.3000000000000003</v>
      </c>
      <c r="DZ339" s="1">
        <v>4.2</v>
      </c>
      <c r="EA339" s="1">
        <v>3.7</v>
      </c>
      <c r="EB339" s="54">
        <v>4.7</v>
      </c>
      <c r="EC339" s="1">
        <v>6.1</v>
      </c>
      <c r="ED339" s="1">
        <v>6.1</v>
      </c>
      <c r="EE339" s="54">
        <v>6.1</v>
      </c>
      <c r="EF339" s="1">
        <v>4.2</v>
      </c>
      <c r="EG339" s="1">
        <v>3.7</v>
      </c>
      <c r="EH339" s="54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39">
        <v>0.92</v>
      </c>
      <c r="DC340" s="39">
        <v>0.95</v>
      </c>
      <c r="DD340" s="39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6">
        <f>Tabelle5897112140[[#This Row],[Durchschnittsauslastung max]]*Tabelle5897112140[[#This Row],[installierte Leistung MW max]]</f>
        <v>856.42199999999991</v>
      </c>
      <c r="DH340" s="46">
        <f>Tabelle5897112140[[#This Row],[Maximalauslastung min]]*Tabelle5897112140[[#This Row],[installierte Leistung MW min]]</f>
        <v>772.34310000000005</v>
      </c>
      <c r="DI340" s="46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4">
        <v>8.3333333333333332E-3</v>
      </c>
      <c r="DT340" s="1">
        <v>0.23408333333333334</v>
      </c>
      <c r="DU340" s="1">
        <v>2.7777777777777778E-4</v>
      </c>
      <c r="DV340" s="54">
        <v>0.5</v>
      </c>
      <c r="DW340" s="1">
        <v>2.1</v>
      </c>
      <c r="DX340" s="1">
        <v>1.9000000000000001</v>
      </c>
      <c r="DY340" s="54">
        <v>2.3000000000000003</v>
      </c>
      <c r="DZ340" s="1">
        <v>4.2</v>
      </c>
      <c r="EA340" s="1">
        <v>3.7</v>
      </c>
      <c r="EB340" s="54">
        <v>4.7</v>
      </c>
      <c r="EC340" s="1">
        <v>6.1</v>
      </c>
      <c r="ED340" s="1">
        <v>6.1</v>
      </c>
      <c r="EE340" s="54">
        <v>6.1</v>
      </c>
      <c r="EF340" s="1">
        <v>4.2</v>
      </c>
      <c r="EG340" s="1">
        <v>3.7</v>
      </c>
      <c r="EH340" s="54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39">
        <v>0.92</v>
      </c>
      <c r="DC341" s="39">
        <v>0.95</v>
      </c>
      <c r="DD341" s="39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6">
        <f>Tabelle5897112140[[#This Row],[Durchschnittsauslastung max]]*Tabelle5897112140[[#This Row],[installierte Leistung MW max]]</f>
        <v>818.35879999999997</v>
      </c>
      <c r="DH341" s="46">
        <f>Tabelle5897112140[[#This Row],[Maximalauslastung min]]*Tabelle5897112140[[#This Row],[installierte Leistung MW min]]</f>
        <v>738.01673999999991</v>
      </c>
      <c r="DI341" s="46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4">
        <v>8.3333333333333332E-3</v>
      </c>
      <c r="DT341" s="1">
        <v>0.23408333333333334</v>
      </c>
      <c r="DU341" s="1">
        <v>2.7777777777777778E-4</v>
      </c>
      <c r="DV341" s="54">
        <v>0.5</v>
      </c>
      <c r="DW341" s="1">
        <v>2.1</v>
      </c>
      <c r="DX341" s="1">
        <v>1.9000000000000001</v>
      </c>
      <c r="DY341" s="54">
        <v>2.3000000000000003</v>
      </c>
      <c r="DZ341" s="1">
        <v>4.2</v>
      </c>
      <c r="EA341" s="1">
        <v>3.7</v>
      </c>
      <c r="EB341" s="54">
        <v>4.7</v>
      </c>
      <c r="EC341" s="1">
        <v>6.1</v>
      </c>
      <c r="ED341" s="1">
        <v>6.1</v>
      </c>
      <c r="EE341" s="54">
        <v>6.1</v>
      </c>
      <c r="EF341" s="1">
        <v>4.2</v>
      </c>
      <c r="EG341" s="1">
        <v>3.7</v>
      </c>
      <c r="EH341" s="54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39">
        <v>0.92</v>
      </c>
      <c r="DC342" s="39">
        <v>0.95</v>
      </c>
      <c r="DD342" s="39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6">
        <f>Tabelle5897112140[[#This Row],[Durchschnittsauslastung max]]*Tabelle5897112140[[#This Row],[installierte Leistung MW max]]</f>
        <v>780.29559999999992</v>
      </c>
      <c r="DH342" s="46">
        <f>Tabelle5897112140[[#This Row],[Maximalauslastung min]]*Tabelle5897112140[[#This Row],[installierte Leistung MW min]]</f>
        <v>703.69038</v>
      </c>
      <c r="DI342" s="46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4">
        <v>8.3333333333333332E-3</v>
      </c>
      <c r="DT342" s="1">
        <v>0.23408333333333334</v>
      </c>
      <c r="DU342" s="1">
        <v>2.7777777777777778E-4</v>
      </c>
      <c r="DV342" s="54">
        <v>0.5</v>
      </c>
      <c r="DW342" s="1">
        <v>2.1</v>
      </c>
      <c r="DX342" s="1">
        <v>1.9000000000000001</v>
      </c>
      <c r="DY342" s="54">
        <v>2.3000000000000003</v>
      </c>
      <c r="DZ342" s="1">
        <v>4.2</v>
      </c>
      <c r="EA342" s="1">
        <v>3.7</v>
      </c>
      <c r="EB342" s="54">
        <v>4.7</v>
      </c>
      <c r="EC342" s="1">
        <v>6.1</v>
      </c>
      <c r="ED342" s="1">
        <v>6.1</v>
      </c>
      <c r="EE342" s="54">
        <v>6.1</v>
      </c>
      <c r="EF342" s="1">
        <v>4.2</v>
      </c>
      <c r="EG342" s="1">
        <v>3.7</v>
      </c>
      <c r="EH342" s="54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39">
        <v>0.92</v>
      </c>
      <c r="DC343" s="39">
        <v>0.95</v>
      </c>
      <c r="DD343" s="39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6">
        <f>Tabelle5897112140[[#This Row],[Durchschnittsauslastung max]]*Tabelle5897112140[[#This Row],[installierte Leistung MW max]]</f>
        <v>742.23239999999998</v>
      </c>
      <c r="DH343" s="46">
        <f>Tabelle5897112140[[#This Row],[Maximalauslastung min]]*Tabelle5897112140[[#This Row],[installierte Leistung MW min]]</f>
        <v>669.3640200000001</v>
      </c>
      <c r="DI343" s="46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4">
        <v>8.3333333333333332E-3</v>
      </c>
      <c r="DT343" s="1">
        <v>0.23408333333333334</v>
      </c>
      <c r="DU343" s="1">
        <v>2.7777777777777778E-4</v>
      </c>
      <c r="DV343" s="54">
        <v>0.5</v>
      </c>
      <c r="DW343" s="1">
        <v>2.1</v>
      </c>
      <c r="DX343" s="1">
        <v>1.9000000000000001</v>
      </c>
      <c r="DY343" s="54">
        <v>2.3000000000000003</v>
      </c>
      <c r="DZ343" s="1">
        <v>4.2</v>
      </c>
      <c r="EA343" s="1">
        <v>3.7</v>
      </c>
      <c r="EB343" s="54">
        <v>4.7</v>
      </c>
      <c r="EC343" s="1">
        <v>6.1</v>
      </c>
      <c r="ED343" s="1">
        <v>6.1</v>
      </c>
      <c r="EE343" s="54">
        <v>6.1</v>
      </c>
      <c r="EF343" s="1">
        <v>4.2</v>
      </c>
      <c r="EG343" s="1">
        <v>3.7</v>
      </c>
      <c r="EH343" s="54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39">
        <v>0.92</v>
      </c>
      <c r="DC344" s="39">
        <v>0.95</v>
      </c>
      <c r="DD344" s="39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6">
        <f>Tabelle5897112140[[#This Row],[Durchschnittsauslastung max]]*Tabelle5897112140[[#This Row],[installierte Leistung MW max]]</f>
        <v>704.16919999999993</v>
      </c>
      <c r="DH344" s="46">
        <f>Tabelle5897112140[[#This Row],[Maximalauslastung min]]*Tabelle5897112140[[#This Row],[installierte Leistung MW min]]</f>
        <v>635.03765999999996</v>
      </c>
      <c r="DI344" s="46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4">
        <v>8.3333333333333332E-3</v>
      </c>
      <c r="DT344" s="1">
        <v>0.23408333333333334</v>
      </c>
      <c r="DU344" s="1">
        <v>2.7777777777777778E-4</v>
      </c>
      <c r="DV344" s="54">
        <v>0.5</v>
      </c>
      <c r="DW344" s="1">
        <v>2.1</v>
      </c>
      <c r="DX344" s="1">
        <v>1.9000000000000001</v>
      </c>
      <c r="DY344" s="54">
        <v>2.3000000000000003</v>
      </c>
      <c r="DZ344" s="1">
        <v>4.2</v>
      </c>
      <c r="EA344" s="1">
        <v>3.7</v>
      </c>
      <c r="EB344" s="54">
        <v>4.7</v>
      </c>
      <c r="EC344" s="1">
        <v>6.1</v>
      </c>
      <c r="ED344" s="1">
        <v>6.1</v>
      </c>
      <c r="EE344" s="54">
        <v>6.1</v>
      </c>
      <c r="EF344" s="1">
        <v>4.2</v>
      </c>
      <c r="EG344" s="1">
        <v>3.7</v>
      </c>
      <c r="EH344" s="54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39">
        <v>0.92</v>
      </c>
      <c r="DC345" s="39">
        <v>0.95</v>
      </c>
      <c r="DD345" s="39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6">
        <f>Tabelle5897112140[[#This Row],[Durchschnittsauslastung max]]*Tabelle5897112140[[#This Row],[installierte Leistung MW max]]</f>
        <v>666.10599999999988</v>
      </c>
      <c r="DH345" s="46">
        <f>Tabelle5897112140[[#This Row],[Maximalauslastung min]]*Tabelle5897112140[[#This Row],[installierte Leistung MW min]]</f>
        <v>600.71129999999994</v>
      </c>
      <c r="DI345" s="46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4">
        <v>8.3333333333333332E-3</v>
      </c>
      <c r="DT345" s="1">
        <v>0.23408333333333334</v>
      </c>
      <c r="DU345" s="1">
        <v>2.7777777777777778E-4</v>
      </c>
      <c r="DV345" s="54">
        <v>0.5</v>
      </c>
      <c r="DW345" s="1">
        <v>2.1</v>
      </c>
      <c r="DX345" s="1">
        <v>1.9000000000000001</v>
      </c>
      <c r="DY345" s="54">
        <v>2.3000000000000003</v>
      </c>
      <c r="DZ345" s="1">
        <v>4.2</v>
      </c>
      <c r="EA345" s="1">
        <v>3.7</v>
      </c>
      <c r="EB345" s="54">
        <v>4.7</v>
      </c>
      <c r="EC345" s="1">
        <v>6.1</v>
      </c>
      <c r="ED345" s="1">
        <v>6.1</v>
      </c>
      <c r="EE345" s="54">
        <v>6.1</v>
      </c>
      <c r="EF345" s="1">
        <v>4.2</v>
      </c>
      <c r="EG345" s="1">
        <v>3.7</v>
      </c>
      <c r="EH345" s="54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39">
        <v>0.72</v>
      </c>
      <c r="DC346" s="39">
        <v>0.8</v>
      </c>
      <c r="DD346" s="39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6">
        <f>Tabelle5897112140[[#This Row],[Durchschnittsauslastung max]]*Tabelle5897112140[[#This Row],[installierte Leistung MW max]]</f>
        <v>88</v>
      </c>
      <c r="DH346" s="46">
        <f>Tabelle5897112140[[#This Row],[Maximalauslastung min]]*Tabelle5897112140[[#This Row],[installierte Leistung MW min]]</f>
        <v>52.64</v>
      </c>
      <c r="DI346" s="46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4">
        <v>0.25</v>
      </c>
      <c r="DT346" s="1">
        <v>0.16666666666666663</v>
      </c>
      <c r="DU346" s="1">
        <v>8.3333333333333329E-2</v>
      </c>
      <c r="DV346" s="54">
        <v>0.25</v>
      </c>
      <c r="DW346" s="1">
        <v>2</v>
      </c>
      <c r="DX346" s="1">
        <v>1.6</v>
      </c>
      <c r="DY346" s="54">
        <v>2.4</v>
      </c>
      <c r="DZ346" s="1">
        <v>4.8</v>
      </c>
      <c r="EA346" s="1">
        <v>3.4</v>
      </c>
      <c r="EB346" s="54">
        <v>6.1999999999999993</v>
      </c>
      <c r="EC346" s="1">
        <v>6</v>
      </c>
      <c r="ED346" s="1">
        <v>6</v>
      </c>
      <c r="EE346" s="54">
        <v>6</v>
      </c>
      <c r="EF346" s="1">
        <v>4.8</v>
      </c>
      <c r="EG346" s="1">
        <v>3.4</v>
      </c>
      <c r="EH346" s="54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39">
        <v>0.72</v>
      </c>
      <c r="DC347" s="39">
        <v>0.8</v>
      </c>
      <c r="DD347" s="39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6">
        <f>Tabelle5897112140[[#This Row],[Durchschnittsauslastung max]]*Tabelle5897112140[[#This Row],[installierte Leistung MW max]]</f>
        <v>82.72</v>
      </c>
      <c r="DH347" s="46">
        <f>Tabelle5897112140[[#This Row],[Maximalauslastung min]]*Tabelle5897112140[[#This Row],[installierte Leistung MW min]]</f>
        <v>49.4816</v>
      </c>
      <c r="DI347" s="46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4">
        <v>0.25</v>
      </c>
      <c r="DT347" s="1">
        <v>0.16666666666666663</v>
      </c>
      <c r="DU347" s="1">
        <v>8.3333333333333329E-2</v>
      </c>
      <c r="DV347" s="54">
        <v>0.25</v>
      </c>
      <c r="DW347" s="1">
        <v>2</v>
      </c>
      <c r="DX347" s="1">
        <v>1.6</v>
      </c>
      <c r="DY347" s="54">
        <v>2.4</v>
      </c>
      <c r="DZ347" s="1">
        <v>4.8</v>
      </c>
      <c r="EA347" s="1">
        <v>3.4</v>
      </c>
      <c r="EB347" s="54">
        <v>6.1999999999999993</v>
      </c>
      <c r="EC347" s="1">
        <v>6</v>
      </c>
      <c r="ED347" s="1">
        <v>6</v>
      </c>
      <c r="EE347" s="54">
        <v>6</v>
      </c>
      <c r="EF347" s="1">
        <v>4.8</v>
      </c>
      <c r="EG347" s="1">
        <v>3.4</v>
      </c>
      <c r="EH347" s="54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39">
        <v>0.72</v>
      </c>
      <c r="DC348" s="39">
        <v>0.8</v>
      </c>
      <c r="DD348" s="39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6">
        <f>Tabelle5897112140[[#This Row],[Durchschnittsauslastung max]]*Tabelle5897112140[[#This Row],[installierte Leistung MW max]]</f>
        <v>77.44</v>
      </c>
      <c r="DH348" s="46">
        <f>Tabelle5897112140[[#This Row],[Maximalauslastung min]]*Tabelle5897112140[[#This Row],[installierte Leistung MW min]]</f>
        <v>46.3232</v>
      </c>
      <c r="DI348" s="46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4">
        <v>0.25</v>
      </c>
      <c r="DT348" s="1">
        <v>0.16666666666666663</v>
      </c>
      <c r="DU348" s="1">
        <v>8.3333333333333329E-2</v>
      </c>
      <c r="DV348" s="54">
        <v>0.25</v>
      </c>
      <c r="DW348" s="1">
        <v>2</v>
      </c>
      <c r="DX348" s="1">
        <v>1.6</v>
      </c>
      <c r="DY348" s="54">
        <v>2.4</v>
      </c>
      <c r="DZ348" s="1">
        <v>4.8</v>
      </c>
      <c r="EA348" s="1">
        <v>3.4</v>
      </c>
      <c r="EB348" s="54">
        <v>6.1999999999999993</v>
      </c>
      <c r="EC348" s="1">
        <v>6</v>
      </c>
      <c r="ED348" s="1">
        <v>6</v>
      </c>
      <c r="EE348" s="54">
        <v>6</v>
      </c>
      <c r="EF348" s="1">
        <v>4.8</v>
      </c>
      <c r="EG348" s="1">
        <v>3.4</v>
      </c>
      <c r="EH348" s="54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39">
        <v>0.72</v>
      </c>
      <c r="DC349" s="39">
        <v>0.8</v>
      </c>
      <c r="DD349" s="39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6">
        <f>Tabelle5897112140[[#This Row],[Durchschnittsauslastung max]]*Tabelle5897112140[[#This Row],[installierte Leistung MW max]]</f>
        <v>72.16</v>
      </c>
      <c r="DH349" s="46">
        <f>Tabelle5897112140[[#This Row],[Maximalauslastung min]]*Tabelle5897112140[[#This Row],[installierte Leistung MW min]]</f>
        <v>43.164799999999993</v>
      </c>
      <c r="DI349" s="46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4">
        <v>0.25</v>
      </c>
      <c r="DT349" s="1">
        <v>0.16666666666666663</v>
      </c>
      <c r="DU349" s="1">
        <v>8.3333333333333329E-2</v>
      </c>
      <c r="DV349" s="54">
        <v>0.25</v>
      </c>
      <c r="DW349" s="1">
        <v>2</v>
      </c>
      <c r="DX349" s="1">
        <v>1.6</v>
      </c>
      <c r="DY349" s="54">
        <v>2.4</v>
      </c>
      <c r="DZ349" s="1">
        <v>4.8</v>
      </c>
      <c r="EA349" s="1">
        <v>3.4</v>
      </c>
      <c r="EB349" s="54">
        <v>6.1999999999999993</v>
      </c>
      <c r="EC349" s="1">
        <v>6</v>
      </c>
      <c r="ED349" s="1">
        <v>6</v>
      </c>
      <c r="EE349" s="54">
        <v>6</v>
      </c>
      <c r="EF349" s="1">
        <v>4.8</v>
      </c>
      <c r="EG349" s="1">
        <v>3.4</v>
      </c>
      <c r="EH349" s="54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39">
        <v>0.72</v>
      </c>
      <c r="DC350" s="39">
        <v>0.8</v>
      </c>
      <c r="DD350" s="39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6">
        <f>Tabelle5897112140[[#This Row],[Durchschnittsauslastung max]]*Tabelle5897112140[[#This Row],[installierte Leistung MW max]]</f>
        <v>67.760000000000005</v>
      </c>
      <c r="DH350" s="46">
        <f>Tabelle5897112140[[#This Row],[Maximalauslastung min]]*Tabelle5897112140[[#This Row],[installierte Leistung MW min]]</f>
        <v>40.532800000000002</v>
      </c>
      <c r="DI350" s="46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4">
        <v>0.25</v>
      </c>
      <c r="DT350" s="1">
        <v>0.16666666666666663</v>
      </c>
      <c r="DU350" s="1">
        <v>8.3333333333333329E-2</v>
      </c>
      <c r="DV350" s="54">
        <v>0.25</v>
      </c>
      <c r="DW350" s="1">
        <v>2</v>
      </c>
      <c r="DX350" s="1">
        <v>1.6</v>
      </c>
      <c r="DY350" s="54">
        <v>2.4</v>
      </c>
      <c r="DZ350" s="1">
        <v>4.8</v>
      </c>
      <c r="EA350" s="1">
        <v>3.4</v>
      </c>
      <c r="EB350" s="54">
        <v>6.1999999999999993</v>
      </c>
      <c r="EC350" s="1">
        <v>6</v>
      </c>
      <c r="ED350" s="1">
        <v>6</v>
      </c>
      <c r="EE350" s="54">
        <v>6</v>
      </c>
      <c r="EF350" s="1">
        <v>4.8</v>
      </c>
      <c r="EG350" s="1">
        <v>3.4</v>
      </c>
      <c r="EH350" s="54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39">
        <v>0.72</v>
      </c>
      <c r="DC351" s="39">
        <v>0.8</v>
      </c>
      <c r="DD351" s="39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6">
        <f>Tabelle5897112140[[#This Row],[Durchschnittsauslastung max]]*Tabelle5897112140[[#This Row],[installierte Leistung MW max]]</f>
        <v>64.239999999999995</v>
      </c>
      <c r="DH351" s="46">
        <f>Tabelle5897112140[[#This Row],[Maximalauslastung min]]*Tabelle5897112140[[#This Row],[installierte Leistung MW min]]</f>
        <v>38.427199999999992</v>
      </c>
      <c r="DI351" s="46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4">
        <v>0.25</v>
      </c>
      <c r="DT351" s="1">
        <v>0.16666666666666663</v>
      </c>
      <c r="DU351" s="1">
        <v>8.3333333333333329E-2</v>
      </c>
      <c r="DV351" s="54">
        <v>0.25</v>
      </c>
      <c r="DW351" s="1">
        <v>2</v>
      </c>
      <c r="DX351" s="1">
        <v>1.6</v>
      </c>
      <c r="DY351" s="54">
        <v>2.4</v>
      </c>
      <c r="DZ351" s="1">
        <v>4.8</v>
      </c>
      <c r="EA351" s="1">
        <v>3.4</v>
      </c>
      <c r="EB351" s="54">
        <v>6.1999999999999993</v>
      </c>
      <c r="EC351" s="1">
        <v>6</v>
      </c>
      <c r="ED351" s="1">
        <v>6</v>
      </c>
      <c r="EE351" s="54">
        <v>6</v>
      </c>
      <c r="EF351" s="1">
        <v>4.8</v>
      </c>
      <c r="EG351" s="1">
        <v>3.4</v>
      </c>
      <c r="EH351" s="54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39">
        <v>0.72</v>
      </c>
      <c r="DC352" s="39">
        <v>0.8</v>
      </c>
      <c r="DD352" s="39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6">
        <f>Tabelle5897112140[[#This Row],[Durchschnittsauslastung max]]*Tabelle5897112140[[#This Row],[installierte Leistung MW max]]</f>
        <v>59.84</v>
      </c>
      <c r="DH352" s="46">
        <f>Tabelle5897112140[[#This Row],[Maximalauslastung min]]*Tabelle5897112140[[#This Row],[installierte Leistung MW min]]</f>
        <v>35.795200000000001</v>
      </c>
      <c r="DI352" s="46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4">
        <v>0.25</v>
      </c>
      <c r="DT352" s="1">
        <v>0.16666666666666663</v>
      </c>
      <c r="DU352" s="1">
        <v>8.3333333333333329E-2</v>
      </c>
      <c r="DV352" s="54">
        <v>0.25</v>
      </c>
      <c r="DW352" s="1">
        <v>2</v>
      </c>
      <c r="DX352" s="1">
        <v>1.6</v>
      </c>
      <c r="DY352" s="54">
        <v>2.4</v>
      </c>
      <c r="DZ352" s="1">
        <v>4.8</v>
      </c>
      <c r="EA352" s="1">
        <v>3.4</v>
      </c>
      <c r="EB352" s="54">
        <v>6.1999999999999993</v>
      </c>
      <c r="EC352" s="1">
        <v>6</v>
      </c>
      <c r="ED352" s="1">
        <v>6</v>
      </c>
      <c r="EE352" s="54">
        <v>6</v>
      </c>
      <c r="EF352" s="1">
        <v>4.8</v>
      </c>
      <c r="EG352" s="1">
        <v>3.4</v>
      </c>
      <c r="EH352" s="54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39">
        <v>0.72</v>
      </c>
      <c r="DC353" s="39">
        <v>0.8</v>
      </c>
      <c r="DD353" s="39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6">
        <f>Tabelle5897112140[[#This Row],[Durchschnittsauslastung max]]*Tabelle5897112140[[#This Row],[installierte Leistung MW max]]</f>
        <v>56.32</v>
      </c>
      <c r="DH353" s="46">
        <f>Tabelle5897112140[[#This Row],[Maximalauslastung min]]*Tabelle5897112140[[#This Row],[installierte Leistung MW min]]</f>
        <v>33.689599999999999</v>
      </c>
      <c r="DI353" s="46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4">
        <v>0.25</v>
      </c>
      <c r="DT353" s="1">
        <v>0.16666666666666663</v>
      </c>
      <c r="DU353" s="1">
        <v>8.3333333333333329E-2</v>
      </c>
      <c r="DV353" s="54">
        <v>0.25</v>
      </c>
      <c r="DW353" s="1">
        <v>2</v>
      </c>
      <c r="DX353" s="1">
        <v>1.6</v>
      </c>
      <c r="DY353" s="54">
        <v>2.4</v>
      </c>
      <c r="DZ353" s="1">
        <v>4.8</v>
      </c>
      <c r="EA353" s="1">
        <v>3.4</v>
      </c>
      <c r="EB353" s="54">
        <v>6.1999999999999993</v>
      </c>
      <c r="EC353" s="1">
        <v>6</v>
      </c>
      <c r="ED353" s="1">
        <v>6</v>
      </c>
      <c r="EE353" s="54">
        <v>6</v>
      </c>
      <c r="EF353" s="1">
        <v>4.8</v>
      </c>
      <c r="EG353" s="1">
        <v>3.4</v>
      </c>
      <c r="EH353" s="54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39">
        <v>0.83</v>
      </c>
      <c r="DC354" s="39">
        <v>0.86</v>
      </c>
      <c r="DD354" s="39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6">
        <f>Tabelle5897112140[[#This Row],[Durchschnittsauslastung max]]*Tabelle5897112140[[#This Row],[installierte Leistung MW max]]</f>
        <v>1602.89</v>
      </c>
      <c r="DH354" s="46">
        <f>Tabelle5897112140[[#This Row],[Maximalauslastung min]]*Tabelle5897112140[[#This Row],[installierte Leistung MW min]]</f>
        <v>1523.74</v>
      </c>
      <c r="DI354" s="46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4">
        <v>1</v>
      </c>
      <c r="DT354" s="1">
        <v>7.3143749999999993E-2</v>
      </c>
      <c r="DU354" s="1">
        <v>0</v>
      </c>
      <c r="DV354" s="54">
        <v>0.25</v>
      </c>
      <c r="DW354" s="1">
        <v>7</v>
      </c>
      <c r="DX354" s="1">
        <v>4.8</v>
      </c>
      <c r="DY354" s="54">
        <v>8.8000000000000007</v>
      </c>
      <c r="DZ354" s="1">
        <v>4.05</v>
      </c>
      <c r="EA354" s="1">
        <v>2.4</v>
      </c>
      <c r="EB354" s="54">
        <v>5.8</v>
      </c>
      <c r="EC354" s="1">
        <v>10.4</v>
      </c>
      <c r="ED354" s="1">
        <v>10.4</v>
      </c>
      <c r="EE354" s="54">
        <v>10.4</v>
      </c>
      <c r="EF354" s="1">
        <v>4.05</v>
      </c>
      <c r="EG354" s="1">
        <v>2.4</v>
      </c>
      <c r="EH354" s="54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39">
        <v>0.83</v>
      </c>
      <c r="DC355" s="39">
        <v>0.8600000000000001</v>
      </c>
      <c r="DD355" s="39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6">
        <f>Tabelle5897112140[[#This Row],[Durchschnittsauslastung max]]*Tabelle5897112140[[#This Row],[installierte Leistung MW max]]</f>
        <v>1559.2977999999996</v>
      </c>
      <c r="DH355" s="46">
        <f>Tabelle5897112140[[#This Row],[Maximalauslastung min]]*Tabelle5897112140[[#This Row],[installierte Leistung MW min]]</f>
        <v>1491.1596</v>
      </c>
      <c r="DI355" s="46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4">
        <v>1</v>
      </c>
      <c r="DT355" s="1">
        <v>8.9386535304760414E-2</v>
      </c>
      <c r="DU355" s="1">
        <v>0</v>
      </c>
      <c r="DV355" s="54">
        <v>0.25</v>
      </c>
      <c r="DW355" s="1">
        <v>7.7072814196192141</v>
      </c>
      <c r="DX355" s="1">
        <v>4.8</v>
      </c>
      <c r="DY355" s="54">
        <v>8.8000000000000007</v>
      </c>
      <c r="DZ355" s="1">
        <v>4.4694592554427919</v>
      </c>
      <c r="EA355" s="1">
        <v>2.4</v>
      </c>
      <c r="EB355" s="54">
        <v>5.8</v>
      </c>
      <c r="EC355" s="1">
        <v>11.460922129428823</v>
      </c>
      <c r="ED355" s="1">
        <v>4.4830641602682899</v>
      </c>
      <c r="EE355" s="54">
        <v>4.4571409002180333</v>
      </c>
      <c r="EF355" s="1">
        <v>4.4694592554427919</v>
      </c>
      <c r="EG355" s="1">
        <v>2.4</v>
      </c>
      <c r="EH355" s="54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39">
        <v>0.83000000000000018</v>
      </c>
      <c r="DC356" s="39">
        <v>0.86</v>
      </c>
      <c r="DD356" s="39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6">
        <f>Tabelle5897112140[[#This Row],[Durchschnittsauslastung max]]*Tabelle5897112140[[#This Row],[installierte Leistung MW max]]</f>
        <v>1512.9555</v>
      </c>
      <c r="DH356" s="46">
        <f>Tabelle5897112140[[#This Row],[Maximalauslastung min]]*Tabelle5897112140[[#This Row],[installierte Leistung MW min]]</f>
        <v>1446.8762000000002</v>
      </c>
      <c r="DI356" s="46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4">
        <v>1</v>
      </c>
      <c r="DT356" s="1">
        <v>8.9392817112149789E-2</v>
      </c>
      <c r="DU356" s="1">
        <v>0</v>
      </c>
      <c r="DV356" s="54">
        <v>0.25</v>
      </c>
      <c r="DW356" s="1">
        <v>7.7072468958193134</v>
      </c>
      <c r="DX356" s="1">
        <v>4.8</v>
      </c>
      <c r="DY356" s="54">
        <v>8.8000000000000007</v>
      </c>
      <c r="DZ356" s="1">
        <v>4.4693965756765603</v>
      </c>
      <c r="EA356" s="1">
        <v>2.4</v>
      </c>
      <c r="EB356" s="54">
        <v>5.8</v>
      </c>
      <c r="EC356" s="1">
        <v>11.460870343728969</v>
      </c>
      <c r="ED356" s="1">
        <v>4.4830051389331036</v>
      </c>
      <c r="EE356" s="54">
        <v>4.4570746198417606</v>
      </c>
      <c r="EF356" s="1">
        <v>4.4693965756765603</v>
      </c>
      <c r="EG356" s="1">
        <v>2.4</v>
      </c>
      <c r="EH356" s="54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39">
        <v>0.83</v>
      </c>
      <c r="DC357" s="39">
        <v>0.86</v>
      </c>
      <c r="DD357" s="39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6">
        <f>Tabelle5897112140[[#This Row],[Durchschnittsauslastung max]]*Tabelle5897112140[[#This Row],[installierte Leistung MW max]]</f>
        <v>1450.5843000000002</v>
      </c>
      <c r="DH357" s="46">
        <f>Tabelle5897112140[[#This Row],[Maximalauslastung min]]*Tabelle5897112140[[#This Row],[installierte Leistung MW min]]</f>
        <v>1387.3553999999997</v>
      </c>
      <c r="DI357" s="46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4">
        <v>1</v>
      </c>
      <c r="DT357" s="1">
        <v>8.9399301481610266E-2</v>
      </c>
      <c r="DU357" s="1">
        <v>0</v>
      </c>
      <c r="DV357" s="54">
        <v>0.25</v>
      </c>
      <c r="DW357" s="1">
        <v>7.7078350688071913</v>
      </c>
      <c r="DX357" s="1">
        <v>4.8</v>
      </c>
      <c r="DY357" s="54">
        <v>8.8000000000000007</v>
      </c>
      <c r="DZ357" s="1">
        <v>4.4697061607712065</v>
      </c>
      <c r="EA357" s="1">
        <v>2.4</v>
      </c>
      <c r="EB357" s="54">
        <v>5.8</v>
      </c>
      <c r="EC357" s="1">
        <v>11.461752603210787</v>
      </c>
      <c r="ED357" s="1">
        <v>4.4832923416739501</v>
      </c>
      <c r="EE357" s="54">
        <v>4.4574033511875175</v>
      </c>
      <c r="EF357" s="1">
        <v>4.4697061607712065</v>
      </c>
      <c r="EG357" s="1">
        <v>2.4</v>
      </c>
      <c r="EH357" s="54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39">
        <v>0.83</v>
      </c>
      <c r="DC358" s="39">
        <v>0.85999999999999988</v>
      </c>
      <c r="DD358" s="39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6">
        <f>Tabelle5897112140[[#This Row],[Durchschnittsauslastung max]]*Tabelle5897112140[[#This Row],[installierte Leistung MW max]]</f>
        <v>1388.2131000000002</v>
      </c>
      <c r="DH358" s="46">
        <f>Tabelle5897112140[[#This Row],[Maximalauslastung min]]*Tabelle5897112140[[#This Row],[installierte Leistung MW min]]</f>
        <v>1327.8345999999999</v>
      </c>
      <c r="DI358" s="46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4">
        <v>1</v>
      </c>
      <c r="DT358" s="1">
        <v>8.9406367886265464E-2</v>
      </c>
      <c r="DU358" s="1">
        <v>0</v>
      </c>
      <c r="DV358" s="54">
        <v>0.25</v>
      </c>
      <c r="DW358" s="1">
        <v>7.7084760360384603</v>
      </c>
      <c r="DX358" s="1">
        <v>4.8</v>
      </c>
      <c r="DY358" s="54">
        <v>8.8000000000000007</v>
      </c>
      <c r="DZ358" s="1">
        <v>4.4700435341376261</v>
      </c>
      <c r="EA358" s="1">
        <v>2.4</v>
      </c>
      <c r="EB358" s="54">
        <v>5.8</v>
      </c>
      <c r="EC358" s="1">
        <v>11.46271405405769</v>
      </c>
      <c r="ED358" s="1">
        <v>4.4836052924061471</v>
      </c>
      <c r="EE358" s="54">
        <v>4.4577616217567755</v>
      </c>
      <c r="EF358" s="1">
        <v>4.4700435341376261</v>
      </c>
      <c r="EG358" s="1">
        <v>2.4</v>
      </c>
      <c r="EH358" s="54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39">
        <v>0.83</v>
      </c>
      <c r="DC359" s="39">
        <v>0.85999999999999988</v>
      </c>
      <c r="DD359" s="39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6">
        <f>Tabelle5897112140[[#This Row],[Durchschnittsauslastung max]]*Tabelle5897112140[[#This Row],[installierte Leistung MW max]]</f>
        <v>1325.8418999999999</v>
      </c>
      <c r="DH359" s="46">
        <f>Tabelle5897112140[[#This Row],[Maximalauslastung min]]*Tabelle5897112140[[#This Row],[installierte Leistung MW min]]</f>
        <v>1268.3137999999999</v>
      </c>
      <c r="DI359" s="46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4">
        <v>1</v>
      </c>
      <c r="DT359" s="1">
        <v>8.9414098373359438E-2</v>
      </c>
      <c r="DU359" s="1">
        <v>0</v>
      </c>
      <c r="DV359" s="54">
        <v>0.25</v>
      </c>
      <c r="DW359" s="1">
        <v>7.7091772397128544</v>
      </c>
      <c r="DX359" s="1">
        <v>4.8</v>
      </c>
      <c r="DY359" s="54">
        <v>8.8000000000000007</v>
      </c>
      <c r="DZ359" s="1">
        <v>4.4704126129807182</v>
      </c>
      <c r="EA359" s="1">
        <v>2.4</v>
      </c>
      <c r="EB359" s="54">
        <v>5.8</v>
      </c>
      <c r="EC359" s="1">
        <v>11.46376585956928</v>
      </c>
      <c r="ED359" s="1">
        <v>4.4839476161183454</v>
      </c>
      <c r="EE359" s="54">
        <v>4.4581536003651712</v>
      </c>
      <c r="EF359" s="1">
        <v>4.4704126129807182</v>
      </c>
      <c r="EG359" s="1">
        <v>2.4</v>
      </c>
      <c r="EH359" s="54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39">
        <v>0.83</v>
      </c>
      <c r="DC360" s="39">
        <v>0.85999999999999988</v>
      </c>
      <c r="DD360" s="39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6">
        <f>Tabelle5897112140[[#This Row],[Durchschnittsauslastung max]]*Tabelle5897112140[[#This Row],[installierte Leistung MW max]]</f>
        <v>1270.1724000000002</v>
      </c>
      <c r="DH360" s="46">
        <f>Tabelle5897112140[[#This Row],[Maximalauslastung min]]*Tabelle5897112140[[#This Row],[installierte Leistung MW min]]</f>
        <v>1214.5551999999998</v>
      </c>
      <c r="DI360" s="46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4">
        <v>1</v>
      </c>
      <c r="DT360" s="1">
        <v>8.9371761922040299E-2</v>
      </c>
      <c r="DU360" s="1">
        <v>0</v>
      </c>
      <c r="DV360" s="54">
        <v>0.25</v>
      </c>
      <c r="DW360" s="1">
        <v>7.7070063694267521</v>
      </c>
      <c r="DX360" s="1">
        <v>4.8</v>
      </c>
      <c r="DY360" s="54">
        <v>8.8000000000000007</v>
      </c>
      <c r="DZ360" s="1">
        <v>4.4693929186096115</v>
      </c>
      <c r="EA360" s="1">
        <v>2.4</v>
      </c>
      <c r="EB360" s="54">
        <v>5.8</v>
      </c>
      <c r="EC360" s="1">
        <v>11.460509554140128</v>
      </c>
      <c r="ED360" s="1">
        <v>4.4830041483499468</v>
      </c>
      <c r="EE360" s="54">
        <v>4.4570699851453242</v>
      </c>
      <c r="EF360" s="1">
        <v>4.4693929186096115</v>
      </c>
      <c r="EG360" s="1">
        <v>2.4</v>
      </c>
      <c r="EH360" s="54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39">
        <v>0.83</v>
      </c>
      <c r="DC361" s="39">
        <v>0.86</v>
      </c>
      <c r="DD361" s="39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6">
        <f>Tabelle5897112140[[#This Row],[Durchschnittsauslastung max]]*Tabelle5897112140[[#This Row],[installierte Leistung MW max]]</f>
        <v>1218.8728000000001</v>
      </c>
      <c r="DH361" s="46">
        <f>Tabelle5897112140[[#This Row],[Maximalauslastung min]]*Tabelle5897112140[[#This Row],[installierte Leistung MW min]]</f>
        <v>1165.9384</v>
      </c>
      <c r="DI361" s="46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4">
        <v>1</v>
      </c>
      <c r="DT361" s="1">
        <v>8.9440709619684519E-2</v>
      </c>
      <c r="DU361" s="1">
        <v>0</v>
      </c>
      <c r="DV361" s="54">
        <v>0.25</v>
      </c>
      <c r="DW361" s="1">
        <v>7.7077260257176583</v>
      </c>
      <c r="DX361" s="1">
        <v>4.8</v>
      </c>
      <c r="DY361" s="54">
        <v>8.8000000000000007</v>
      </c>
      <c r="DZ361" s="1">
        <v>4.4693641086946529</v>
      </c>
      <c r="EA361" s="1">
        <v>2.4</v>
      </c>
      <c r="EB361" s="54">
        <v>5.8</v>
      </c>
      <c r="EC361" s="1">
        <v>11.461589038576488</v>
      </c>
      <c r="ED361" s="1">
        <v>4.4829694604792154</v>
      </c>
      <c r="EE361" s="54">
        <v>4.4570418832875749</v>
      </c>
      <c r="EF361" s="1">
        <v>4.4693641086946529</v>
      </c>
      <c r="EG361" s="1">
        <v>2.4</v>
      </c>
      <c r="EH361" s="54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39">
        <v>0.49</v>
      </c>
      <c r="DC362" s="39">
        <v>0.52</v>
      </c>
      <c r="DD362" s="39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6">
        <f>Tabelle5897112140[[#This Row],[Durchschnittsauslastung max]]*Tabelle5897112140[[#This Row],[installierte Leistung MW max]]</f>
        <v>1764.8125000000002</v>
      </c>
      <c r="DH362" s="46">
        <f>Tabelle5897112140[[#This Row],[Maximalauslastung min]]*Tabelle5897112140[[#This Row],[installierte Leistung MW min]]</f>
        <v>1270.3026</v>
      </c>
      <c r="DI362" s="46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4">
        <v>3</v>
      </c>
      <c r="DT362" s="1">
        <v>1.3888888888888889E-4</v>
      </c>
      <c r="DU362" s="1">
        <v>0</v>
      </c>
      <c r="DV362" s="54">
        <v>2.7777777777777778E-4</v>
      </c>
      <c r="DW362" s="1">
        <v>0.25</v>
      </c>
      <c r="DX362" s="1">
        <v>0.2</v>
      </c>
      <c r="DY362" s="54">
        <v>0.3</v>
      </c>
      <c r="DZ362" s="1">
        <v>0.25</v>
      </c>
      <c r="EA362" s="1">
        <v>0.2</v>
      </c>
      <c r="EB362" s="54">
        <v>0.3</v>
      </c>
      <c r="EC362" s="1">
        <v>0.5</v>
      </c>
      <c r="ED362" s="1">
        <v>0.4</v>
      </c>
      <c r="EE362" s="54">
        <v>0.6</v>
      </c>
      <c r="EF362" s="1">
        <v>0.3</v>
      </c>
      <c r="EG362" s="1">
        <v>0.2</v>
      </c>
      <c r="EH362" s="54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39">
        <v>0.49</v>
      </c>
      <c r="DC363" s="39">
        <v>0.52</v>
      </c>
      <c r="DD363" s="39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6">
        <f>Tabelle5897112140[[#This Row],[Durchschnittsauslastung max]]*Tabelle5897112140[[#This Row],[installierte Leistung MW max]]</f>
        <v>1168.75</v>
      </c>
      <c r="DH363" s="46">
        <f>Tabelle5897112140[[#This Row],[Maximalauslastung min]]*Tabelle5897112140[[#This Row],[installierte Leistung MW min]]</f>
        <v>1101.6500000000001</v>
      </c>
      <c r="DI363" s="46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4">
        <v>3</v>
      </c>
      <c r="DT363" s="1">
        <v>1.3888888888888889E-4</v>
      </c>
      <c r="DU363" s="1">
        <v>0</v>
      </c>
      <c r="DV363" s="54">
        <v>2.7777777777777778E-4</v>
      </c>
      <c r="DW363" s="1">
        <v>3.7</v>
      </c>
      <c r="DX363" s="1">
        <v>3.3000000000000003</v>
      </c>
      <c r="DY363" s="54">
        <v>4.1000000000000005</v>
      </c>
      <c r="DZ363" s="1">
        <v>1.1000000000000001</v>
      </c>
      <c r="EA363" s="1">
        <v>0.90000000000000013</v>
      </c>
      <c r="EB363" s="54">
        <v>1.3</v>
      </c>
      <c r="EC363" s="1">
        <v>4.7</v>
      </c>
      <c r="ED363" s="1">
        <v>4.7</v>
      </c>
      <c r="EE363" s="54">
        <v>4.7</v>
      </c>
      <c r="EF363" s="1">
        <v>1.1000000000000001</v>
      </c>
      <c r="EG363" s="1">
        <v>0.90000000000000013</v>
      </c>
      <c r="EH363" s="54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39">
        <v>0.49</v>
      </c>
      <c r="DC364" s="39">
        <v>0.52</v>
      </c>
      <c r="DD364" s="39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6">
        <f>Tabelle5897112140[[#This Row],[Durchschnittsauslastung max]]*Tabelle5897112140[[#This Row],[installierte Leistung MW max]]</f>
        <v>1168.75</v>
      </c>
      <c r="DH364" s="46">
        <f>Tabelle5897112140[[#This Row],[Maximalauslastung min]]*Tabelle5897112140[[#This Row],[installierte Leistung MW min]]</f>
        <v>1101.6500000000001</v>
      </c>
      <c r="DI364" s="46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4">
        <v>3</v>
      </c>
      <c r="DT364" s="1">
        <v>1.3888888888888889E-4</v>
      </c>
      <c r="DU364" s="1">
        <v>0</v>
      </c>
      <c r="DV364" s="54">
        <v>2.7777777777777778E-4</v>
      </c>
      <c r="DW364" s="1">
        <v>3.7</v>
      </c>
      <c r="DX364" s="1">
        <v>3.3000000000000003</v>
      </c>
      <c r="DY364" s="54">
        <v>4.1000000000000005</v>
      </c>
      <c r="DZ364" s="1">
        <v>1.1000000000000001</v>
      </c>
      <c r="EA364" s="1">
        <v>0.90000000000000013</v>
      </c>
      <c r="EB364" s="54">
        <v>1.3</v>
      </c>
      <c r="EC364" s="1">
        <v>4.7</v>
      </c>
      <c r="ED364" s="1">
        <v>4.7</v>
      </c>
      <c r="EE364" s="54">
        <v>4.7</v>
      </c>
      <c r="EF364" s="1">
        <v>1.1000000000000001</v>
      </c>
      <c r="EG364" s="1">
        <v>0.90000000000000013</v>
      </c>
      <c r="EH364" s="54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39">
        <v>0.49</v>
      </c>
      <c r="DC365" s="39">
        <v>0.52</v>
      </c>
      <c r="DD365" s="39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6">
        <f>Tabelle5897112140[[#This Row],[Durchschnittsauslastung max]]*Tabelle5897112140[[#This Row],[installierte Leistung MW max]]</f>
        <v>1168.75</v>
      </c>
      <c r="DH365" s="46">
        <f>Tabelle5897112140[[#This Row],[Maximalauslastung min]]*Tabelle5897112140[[#This Row],[installierte Leistung MW min]]</f>
        <v>1101.6500000000001</v>
      </c>
      <c r="DI365" s="46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4">
        <v>3</v>
      </c>
      <c r="DT365" s="1">
        <v>1.3888888888888889E-4</v>
      </c>
      <c r="DU365" s="1">
        <v>0</v>
      </c>
      <c r="DV365" s="54">
        <v>2.7777777777777778E-4</v>
      </c>
      <c r="DW365" s="1">
        <v>3.7</v>
      </c>
      <c r="DX365" s="1">
        <v>3.3000000000000003</v>
      </c>
      <c r="DY365" s="54">
        <v>4.1000000000000005</v>
      </c>
      <c r="DZ365" s="1">
        <v>1.1000000000000001</v>
      </c>
      <c r="EA365" s="1">
        <v>0.90000000000000013</v>
      </c>
      <c r="EB365" s="54">
        <v>1.3</v>
      </c>
      <c r="EC365" s="1">
        <v>4.7</v>
      </c>
      <c r="ED365" s="1">
        <v>4.7</v>
      </c>
      <c r="EE365" s="54">
        <v>4.7</v>
      </c>
      <c r="EF365" s="1">
        <v>1.1000000000000001</v>
      </c>
      <c r="EG365" s="1">
        <v>0.90000000000000013</v>
      </c>
      <c r="EH365" s="54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39">
        <v>0.49</v>
      </c>
      <c r="DC366" s="39">
        <v>0.52</v>
      </c>
      <c r="DD366" s="39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6">
        <f>Tabelle5897112140[[#This Row],[Durchschnittsauslastung max]]*Tabelle5897112140[[#This Row],[installierte Leistung MW max]]</f>
        <v>1297.3125</v>
      </c>
      <c r="DH366" s="46">
        <f>Tabelle5897112140[[#This Row],[Maximalauslastung min]]*Tabelle5897112140[[#This Row],[installierte Leistung MW min]]</f>
        <v>1222.8315000000002</v>
      </c>
      <c r="DI366" s="46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4">
        <v>3</v>
      </c>
      <c r="DT366" s="1">
        <v>1.3888888888888889E-4</v>
      </c>
      <c r="DU366" s="1">
        <v>0</v>
      </c>
      <c r="DV366" s="54">
        <v>2.7777777777777778E-4</v>
      </c>
      <c r="DW366" s="1">
        <v>3.7</v>
      </c>
      <c r="DX366" s="1">
        <v>3.3000000000000003</v>
      </c>
      <c r="DY366" s="54">
        <v>4.1000000000000005</v>
      </c>
      <c r="DZ366" s="1">
        <v>1.1000000000000001</v>
      </c>
      <c r="EA366" s="1">
        <v>0.90000000000000013</v>
      </c>
      <c r="EB366" s="54">
        <v>1.3</v>
      </c>
      <c r="EC366" s="1">
        <v>4.7</v>
      </c>
      <c r="ED366" s="1">
        <v>4.7</v>
      </c>
      <c r="EE366" s="54">
        <v>4.7</v>
      </c>
      <c r="EF366" s="1">
        <v>1.1000000000000001</v>
      </c>
      <c r="EG366" s="1">
        <v>0.90000000000000013</v>
      </c>
      <c r="EH366" s="54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39">
        <v>0.49</v>
      </c>
      <c r="DC367" s="39">
        <v>0.52</v>
      </c>
      <c r="DD367" s="39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6">
        <f>Tabelle5897112140[[#This Row],[Durchschnittsauslastung max]]*Tabelle5897112140[[#This Row],[installierte Leistung MW max]]</f>
        <v>1402.5</v>
      </c>
      <c r="DH367" s="46">
        <f>Tabelle5897112140[[#This Row],[Maximalauslastung min]]*Tabelle5897112140[[#This Row],[installierte Leistung MW min]]</f>
        <v>1321.98</v>
      </c>
      <c r="DI367" s="46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4">
        <v>3</v>
      </c>
      <c r="DT367" s="1">
        <v>1.3888888888888889E-4</v>
      </c>
      <c r="DU367" s="1">
        <v>0</v>
      </c>
      <c r="DV367" s="54">
        <v>2.7777777777777778E-4</v>
      </c>
      <c r="DW367" s="1">
        <v>3.7</v>
      </c>
      <c r="DX367" s="1">
        <v>3.3000000000000003</v>
      </c>
      <c r="DY367" s="54">
        <v>4.1000000000000005</v>
      </c>
      <c r="DZ367" s="1">
        <v>1.1000000000000001</v>
      </c>
      <c r="EA367" s="1">
        <v>0.90000000000000013</v>
      </c>
      <c r="EB367" s="54">
        <v>1.3</v>
      </c>
      <c r="EC367" s="1">
        <v>4.7</v>
      </c>
      <c r="ED367" s="1">
        <v>4.7</v>
      </c>
      <c r="EE367" s="54">
        <v>4.7</v>
      </c>
      <c r="EF367" s="1">
        <v>1.1000000000000001</v>
      </c>
      <c r="EG367" s="1">
        <v>0.90000000000000013</v>
      </c>
      <c r="EH367" s="54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39">
        <v>0.49</v>
      </c>
      <c r="DC368" s="39">
        <v>0.52</v>
      </c>
      <c r="DD368" s="39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6">
        <f>Tabelle5897112140[[#This Row],[Durchschnittsauslastung max]]*Tabelle5897112140[[#This Row],[installierte Leistung MW max]]</f>
        <v>1507.6875000000002</v>
      </c>
      <c r="DH368" s="46">
        <f>Tabelle5897112140[[#This Row],[Maximalauslastung min]]*Tabelle5897112140[[#This Row],[installierte Leistung MW min]]</f>
        <v>1421.1285</v>
      </c>
      <c r="DI368" s="46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4">
        <v>3</v>
      </c>
      <c r="DT368" s="1">
        <v>1.3888888888888889E-4</v>
      </c>
      <c r="DU368" s="1">
        <v>0</v>
      </c>
      <c r="DV368" s="54">
        <v>2.7777777777777778E-4</v>
      </c>
      <c r="DW368" s="1">
        <v>3.7</v>
      </c>
      <c r="DX368" s="1">
        <v>3.3000000000000003</v>
      </c>
      <c r="DY368" s="54">
        <v>4.1000000000000005</v>
      </c>
      <c r="DZ368" s="1">
        <v>1.1000000000000001</v>
      </c>
      <c r="EA368" s="1">
        <v>0.90000000000000013</v>
      </c>
      <c r="EB368" s="54">
        <v>1.3</v>
      </c>
      <c r="EC368" s="1">
        <v>4.7</v>
      </c>
      <c r="ED368" s="1">
        <v>4.7</v>
      </c>
      <c r="EE368" s="54">
        <v>4.7</v>
      </c>
      <c r="EF368" s="1">
        <v>1.1000000000000001</v>
      </c>
      <c r="EG368" s="1">
        <v>0.90000000000000013</v>
      </c>
      <c r="EH368" s="54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39">
        <v>0.49</v>
      </c>
      <c r="DC369" s="39">
        <v>0.52</v>
      </c>
      <c r="DD369" s="39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6">
        <f>Tabelle5897112140[[#This Row],[Durchschnittsauslastung max]]*Tabelle5897112140[[#This Row],[installierte Leistung MW max]]</f>
        <v>1636.2500000000002</v>
      </c>
      <c r="DH369" s="46">
        <f>Tabelle5897112140[[#This Row],[Maximalauslastung min]]*Tabelle5897112140[[#This Row],[installierte Leistung MW min]]</f>
        <v>1542.31</v>
      </c>
      <c r="DI369" s="46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4">
        <v>3</v>
      </c>
      <c r="DT369" s="1">
        <v>1.3888888888888889E-4</v>
      </c>
      <c r="DU369" s="1">
        <v>0</v>
      </c>
      <c r="DV369" s="54">
        <v>2.7777777777777778E-4</v>
      </c>
      <c r="DW369" s="1">
        <v>3.7</v>
      </c>
      <c r="DX369" s="1">
        <v>3.3000000000000003</v>
      </c>
      <c r="DY369" s="54">
        <v>4.1000000000000005</v>
      </c>
      <c r="DZ369" s="1">
        <v>1.1000000000000001</v>
      </c>
      <c r="EA369" s="1">
        <v>0.90000000000000013</v>
      </c>
      <c r="EB369" s="54">
        <v>1.3</v>
      </c>
      <c r="EC369" s="1">
        <v>4.7</v>
      </c>
      <c r="ED369" s="1">
        <v>4.7</v>
      </c>
      <c r="EE369" s="54">
        <v>4.7</v>
      </c>
      <c r="EF369" s="1">
        <v>1.1000000000000001</v>
      </c>
      <c r="EG369" s="1">
        <v>0.90000000000000013</v>
      </c>
      <c r="EH369" s="54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39">
        <v>0.35</v>
      </c>
      <c r="DC370" s="39">
        <v>0.4</v>
      </c>
      <c r="DD370" s="39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6">
        <f>Tabelle5897112140[[#This Row],[Durchschnittsauslastung max]]*Tabelle5897112140[[#This Row],[installierte Leistung MW max]]</f>
        <v>35.1</v>
      </c>
      <c r="DH370" s="46">
        <f>Tabelle5897112140[[#This Row],[Maximalauslastung min]]*Tabelle5897112140[[#This Row],[installierte Leistung MW min]]</f>
        <v>37.599999999999994</v>
      </c>
      <c r="DI370" s="46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4">
        <v>8.3333333333333329E-2</v>
      </c>
      <c r="DT370" s="1">
        <v>2.8763888888888891E-2</v>
      </c>
      <c r="DU370" s="1">
        <v>0</v>
      </c>
      <c r="DV370" s="54">
        <v>8.3333333333333329E-2</v>
      </c>
      <c r="DW370" s="1">
        <v>6</v>
      </c>
      <c r="DX370" s="1">
        <v>4.8</v>
      </c>
      <c r="DY370" s="54">
        <v>7.2</v>
      </c>
      <c r="DZ370" s="1">
        <v>10.4</v>
      </c>
      <c r="EA370" s="1">
        <v>6.4</v>
      </c>
      <c r="EB370" s="54">
        <v>14.4</v>
      </c>
      <c r="EC370" s="1">
        <v>11</v>
      </c>
      <c r="ED370" s="1">
        <v>11</v>
      </c>
      <c r="EE370" s="54">
        <v>11</v>
      </c>
      <c r="EF370" s="1">
        <v>10.4</v>
      </c>
      <c r="EG370" s="1">
        <v>6.4</v>
      </c>
      <c r="EH370" s="54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39">
        <v>0.35</v>
      </c>
      <c r="DC371" s="39">
        <v>0.4</v>
      </c>
      <c r="DD371" s="39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6">
        <f>Tabelle5897112140[[#This Row],[Durchschnittsauslastung max]]*Tabelle5897112140[[#This Row],[installierte Leistung MW max]]</f>
        <v>35.1</v>
      </c>
      <c r="DH371" s="46">
        <f>Tabelle5897112140[[#This Row],[Maximalauslastung min]]*Tabelle5897112140[[#This Row],[installierte Leistung MW min]]</f>
        <v>37.599999999999994</v>
      </c>
      <c r="DI371" s="46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4">
        <v>8.3333333333333329E-2</v>
      </c>
      <c r="DT371" s="1">
        <v>2.8763888888888891E-2</v>
      </c>
      <c r="DU371" s="1">
        <v>0</v>
      </c>
      <c r="DV371" s="54">
        <v>8.3333333333333329E-2</v>
      </c>
      <c r="DW371" s="1">
        <v>6</v>
      </c>
      <c r="DX371" s="1">
        <v>4.8</v>
      </c>
      <c r="DY371" s="54">
        <v>7.2</v>
      </c>
      <c r="DZ371" s="1">
        <v>10.4</v>
      </c>
      <c r="EA371" s="1">
        <v>6.4</v>
      </c>
      <c r="EB371" s="54">
        <v>14.4</v>
      </c>
      <c r="EC371" s="1">
        <v>11</v>
      </c>
      <c r="ED371" s="1">
        <v>11</v>
      </c>
      <c r="EE371" s="54">
        <v>11</v>
      </c>
      <c r="EF371" s="1">
        <v>10.4</v>
      </c>
      <c r="EG371" s="1">
        <v>6.4</v>
      </c>
      <c r="EH371" s="54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39">
        <v>0.35</v>
      </c>
      <c r="DC372" s="39">
        <v>0.4</v>
      </c>
      <c r="DD372" s="39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6">
        <f>Tabelle5897112140[[#This Row],[Durchschnittsauslastung max]]*Tabelle5897112140[[#This Row],[installierte Leistung MW max]]</f>
        <v>35.1</v>
      </c>
      <c r="DH372" s="46">
        <f>Tabelle5897112140[[#This Row],[Maximalauslastung min]]*Tabelle5897112140[[#This Row],[installierte Leistung MW min]]</f>
        <v>37.599999999999994</v>
      </c>
      <c r="DI372" s="46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4">
        <v>8.3333333333333329E-2</v>
      </c>
      <c r="DT372" s="1">
        <v>2.8763888888888891E-2</v>
      </c>
      <c r="DU372" s="1">
        <v>0</v>
      </c>
      <c r="DV372" s="54">
        <v>8.3333333333333329E-2</v>
      </c>
      <c r="DW372" s="1">
        <v>6</v>
      </c>
      <c r="DX372" s="1">
        <v>4.8</v>
      </c>
      <c r="DY372" s="54">
        <v>7.2</v>
      </c>
      <c r="DZ372" s="1">
        <v>10.4</v>
      </c>
      <c r="EA372" s="1">
        <v>6.4</v>
      </c>
      <c r="EB372" s="54">
        <v>14.4</v>
      </c>
      <c r="EC372" s="1">
        <v>11</v>
      </c>
      <c r="ED372" s="1">
        <v>11</v>
      </c>
      <c r="EE372" s="54">
        <v>11</v>
      </c>
      <c r="EF372" s="1">
        <v>10.4</v>
      </c>
      <c r="EG372" s="1">
        <v>6.4</v>
      </c>
      <c r="EH372" s="54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39">
        <v>0.35</v>
      </c>
      <c r="DC373" s="39">
        <v>0.4</v>
      </c>
      <c r="DD373" s="39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6">
        <f>Tabelle5897112140[[#This Row],[Durchschnittsauslastung max]]*Tabelle5897112140[[#This Row],[installierte Leistung MW max]]</f>
        <v>35.1</v>
      </c>
      <c r="DH373" s="46">
        <f>Tabelle5897112140[[#This Row],[Maximalauslastung min]]*Tabelle5897112140[[#This Row],[installierte Leistung MW min]]</f>
        <v>37.599999999999994</v>
      </c>
      <c r="DI373" s="46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4">
        <v>8.3333333333333329E-2</v>
      </c>
      <c r="DT373" s="1">
        <v>2.8763888888888891E-2</v>
      </c>
      <c r="DU373" s="1">
        <v>0</v>
      </c>
      <c r="DV373" s="54">
        <v>8.3333333333333329E-2</v>
      </c>
      <c r="DW373" s="1">
        <v>6</v>
      </c>
      <c r="DX373" s="1">
        <v>4.8</v>
      </c>
      <c r="DY373" s="54">
        <v>7.2</v>
      </c>
      <c r="DZ373" s="1">
        <v>10.4</v>
      </c>
      <c r="EA373" s="1">
        <v>6.4</v>
      </c>
      <c r="EB373" s="54">
        <v>14.4</v>
      </c>
      <c r="EC373" s="1">
        <v>11</v>
      </c>
      <c r="ED373" s="1">
        <v>11</v>
      </c>
      <c r="EE373" s="54">
        <v>11</v>
      </c>
      <c r="EF373" s="1">
        <v>10.4</v>
      </c>
      <c r="EG373" s="1">
        <v>6.4</v>
      </c>
      <c r="EH373" s="54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39">
        <v>0.35</v>
      </c>
      <c r="DC374" s="39">
        <v>0.4</v>
      </c>
      <c r="DD374" s="39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6">
        <f>Tabelle5897112140[[#This Row],[Durchschnittsauslastung max]]*Tabelle5897112140[[#This Row],[installierte Leistung MW max]]</f>
        <v>35.1</v>
      </c>
      <c r="DH374" s="46">
        <f>Tabelle5897112140[[#This Row],[Maximalauslastung min]]*Tabelle5897112140[[#This Row],[installierte Leistung MW min]]</f>
        <v>37.599999999999994</v>
      </c>
      <c r="DI374" s="46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4">
        <v>8.3333333333333329E-2</v>
      </c>
      <c r="DT374" s="1">
        <v>2.8763888888888891E-2</v>
      </c>
      <c r="DU374" s="1">
        <v>0</v>
      </c>
      <c r="DV374" s="54">
        <v>8.3333333333333329E-2</v>
      </c>
      <c r="DW374" s="1">
        <v>6</v>
      </c>
      <c r="DX374" s="1">
        <v>4.8</v>
      </c>
      <c r="DY374" s="54">
        <v>7.2</v>
      </c>
      <c r="DZ374" s="1">
        <v>10.4</v>
      </c>
      <c r="EA374" s="1">
        <v>6.4</v>
      </c>
      <c r="EB374" s="54">
        <v>14.4</v>
      </c>
      <c r="EC374" s="1">
        <v>11</v>
      </c>
      <c r="ED374" s="1">
        <v>11</v>
      </c>
      <c r="EE374" s="54">
        <v>11</v>
      </c>
      <c r="EF374" s="1">
        <v>10.4</v>
      </c>
      <c r="EG374" s="1">
        <v>6.4</v>
      </c>
      <c r="EH374" s="54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39">
        <v>0.35</v>
      </c>
      <c r="DC375" s="39">
        <v>0.4</v>
      </c>
      <c r="DD375" s="39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6">
        <f>Tabelle5897112140[[#This Row],[Durchschnittsauslastung max]]*Tabelle5897112140[[#This Row],[installierte Leistung MW max]]</f>
        <v>35.1</v>
      </c>
      <c r="DH375" s="46">
        <f>Tabelle5897112140[[#This Row],[Maximalauslastung min]]*Tabelle5897112140[[#This Row],[installierte Leistung MW min]]</f>
        <v>37.599999999999994</v>
      </c>
      <c r="DI375" s="46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4">
        <v>8.3333333333333329E-2</v>
      </c>
      <c r="DT375" s="1">
        <v>2.8763888888888891E-2</v>
      </c>
      <c r="DU375" s="1">
        <v>0</v>
      </c>
      <c r="DV375" s="54">
        <v>8.3333333333333329E-2</v>
      </c>
      <c r="DW375" s="1">
        <v>6</v>
      </c>
      <c r="DX375" s="1">
        <v>4.8</v>
      </c>
      <c r="DY375" s="54">
        <v>7.2</v>
      </c>
      <c r="DZ375" s="1">
        <v>10.4</v>
      </c>
      <c r="EA375" s="1">
        <v>6.4</v>
      </c>
      <c r="EB375" s="54">
        <v>14.4</v>
      </c>
      <c r="EC375" s="1">
        <v>11</v>
      </c>
      <c r="ED375" s="1">
        <v>11</v>
      </c>
      <c r="EE375" s="54">
        <v>11</v>
      </c>
      <c r="EF375" s="1">
        <v>10.4</v>
      </c>
      <c r="EG375" s="1">
        <v>6.4</v>
      </c>
      <c r="EH375" s="54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39">
        <v>0.35</v>
      </c>
      <c r="DC376" s="39">
        <v>0.4</v>
      </c>
      <c r="DD376" s="39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6">
        <f>Tabelle5897112140[[#This Row],[Durchschnittsauslastung max]]*Tabelle5897112140[[#This Row],[installierte Leistung MW max]]</f>
        <v>35.1</v>
      </c>
      <c r="DH376" s="46">
        <f>Tabelle5897112140[[#This Row],[Maximalauslastung min]]*Tabelle5897112140[[#This Row],[installierte Leistung MW min]]</f>
        <v>37.599999999999994</v>
      </c>
      <c r="DI376" s="46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4">
        <v>8.3333333333333329E-2</v>
      </c>
      <c r="DT376" s="1">
        <v>2.8763888888888891E-2</v>
      </c>
      <c r="DU376" s="1">
        <v>0</v>
      </c>
      <c r="DV376" s="54">
        <v>8.3333333333333329E-2</v>
      </c>
      <c r="DW376" s="1">
        <v>6</v>
      </c>
      <c r="DX376" s="1">
        <v>4.8</v>
      </c>
      <c r="DY376" s="54">
        <v>7.2</v>
      </c>
      <c r="DZ376" s="1">
        <v>10.4</v>
      </c>
      <c r="EA376" s="1">
        <v>6.4</v>
      </c>
      <c r="EB376" s="54">
        <v>14.4</v>
      </c>
      <c r="EC376" s="1">
        <v>11</v>
      </c>
      <c r="ED376" s="1">
        <v>11</v>
      </c>
      <c r="EE376" s="54">
        <v>11</v>
      </c>
      <c r="EF376" s="1">
        <v>10.4</v>
      </c>
      <c r="EG376" s="1">
        <v>6.4</v>
      </c>
      <c r="EH376" s="54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39">
        <v>0.35</v>
      </c>
      <c r="DC377" s="39">
        <v>0.4</v>
      </c>
      <c r="DD377" s="39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6">
        <f>Tabelle5897112140[[#This Row],[Durchschnittsauslastung max]]*Tabelle5897112140[[#This Row],[installierte Leistung MW max]]</f>
        <v>35.1</v>
      </c>
      <c r="DH377" s="46">
        <f>Tabelle5897112140[[#This Row],[Maximalauslastung min]]*Tabelle5897112140[[#This Row],[installierte Leistung MW min]]</f>
        <v>37.599999999999994</v>
      </c>
      <c r="DI377" s="46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4">
        <v>8.3333333333333329E-2</v>
      </c>
      <c r="DT377" s="1">
        <v>2.8763888888888891E-2</v>
      </c>
      <c r="DU377" s="1">
        <v>0</v>
      </c>
      <c r="DV377" s="54">
        <v>8.3333333333333329E-2</v>
      </c>
      <c r="DW377" s="1">
        <v>6</v>
      </c>
      <c r="DX377" s="1">
        <v>4.8</v>
      </c>
      <c r="DY377" s="54">
        <v>7.2</v>
      </c>
      <c r="DZ377" s="1">
        <v>10.4</v>
      </c>
      <c r="EA377" s="1">
        <v>6.4</v>
      </c>
      <c r="EB377" s="54">
        <v>14.4</v>
      </c>
      <c r="EC377" s="1">
        <v>11</v>
      </c>
      <c r="ED377" s="1">
        <v>11</v>
      </c>
      <c r="EE377" s="54">
        <v>11</v>
      </c>
      <c r="EF377" s="1">
        <v>10.4</v>
      </c>
      <c r="EG377" s="1">
        <v>6.4</v>
      </c>
      <c r="EH377" s="54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39">
        <v>0.7</v>
      </c>
      <c r="DC378" s="39">
        <v>0.78</v>
      </c>
      <c r="DD378" s="39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6">
        <f>Tabelle5897112140[[#This Row],[Durchschnittsauslastung max]]*Tabelle5897112140[[#This Row],[installierte Leistung MW max]]</f>
        <v>206.4</v>
      </c>
      <c r="DH378" s="46">
        <f>Tabelle5897112140[[#This Row],[Maximalauslastung min]]*Tabelle5897112140[[#This Row],[installierte Leistung MW min]]</f>
        <v>30.08</v>
      </c>
      <c r="DI378" s="46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4">
        <v>0.25</v>
      </c>
      <c r="DT378" s="1">
        <v>0.16666666666666663</v>
      </c>
      <c r="DU378" s="1">
        <v>8.3333333333333329E-2</v>
      </c>
      <c r="DV378" s="54">
        <v>0.25</v>
      </c>
      <c r="DW378" s="1">
        <v>2</v>
      </c>
      <c r="DX378" s="1">
        <v>1.6</v>
      </c>
      <c r="DY378" s="54">
        <v>2.4</v>
      </c>
      <c r="DZ378" s="1">
        <v>4.9000000000000004</v>
      </c>
      <c r="EA378" s="1">
        <v>3.3000000000000003</v>
      </c>
      <c r="EB378" s="54">
        <v>6.5</v>
      </c>
      <c r="EC378" s="1">
        <v>6</v>
      </c>
      <c r="ED378" s="1">
        <v>6</v>
      </c>
      <c r="EE378" s="54">
        <v>6</v>
      </c>
      <c r="EF378" s="1">
        <v>4.9000000000000004</v>
      </c>
      <c r="EG378" s="1">
        <v>3.3000000000000003</v>
      </c>
      <c r="EH378" s="54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39">
        <v>0.7</v>
      </c>
      <c r="DC379" s="39">
        <v>0.78</v>
      </c>
      <c r="DD379" s="39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6">
        <f>Tabelle5897112140[[#This Row],[Durchschnittsauslastung max]]*Tabelle5897112140[[#This Row],[installierte Leistung MW max]]</f>
        <v>206.4</v>
      </c>
      <c r="DH379" s="46">
        <f>Tabelle5897112140[[#This Row],[Maximalauslastung min]]*Tabelle5897112140[[#This Row],[installierte Leistung MW min]]</f>
        <v>30.08</v>
      </c>
      <c r="DI379" s="46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4">
        <v>0.25</v>
      </c>
      <c r="DT379" s="1">
        <v>0.11913296568627449</v>
      </c>
      <c r="DU379" s="1">
        <v>8.3333333333333329E-2</v>
      </c>
      <c r="DV379" s="54">
        <v>0.25</v>
      </c>
      <c r="DW379" s="1">
        <v>2</v>
      </c>
      <c r="DX379" s="1">
        <v>1.6</v>
      </c>
      <c r="DY379" s="54">
        <v>2.4</v>
      </c>
      <c r="DZ379" s="1">
        <v>4.9000000000000004</v>
      </c>
      <c r="EA379" s="1">
        <v>3.3000000000000003</v>
      </c>
      <c r="EB379" s="54">
        <v>6.5</v>
      </c>
      <c r="EC379" s="1">
        <v>6</v>
      </c>
      <c r="ED379" s="1">
        <v>4.9000000000000004</v>
      </c>
      <c r="EE379" s="54">
        <v>4.9000000000000004</v>
      </c>
      <c r="EF379" s="1">
        <v>4.9000000000000004</v>
      </c>
      <c r="EG379" s="1">
        <v>3.3000000000000003</v>
      </c>
      <c r="EH379" s="54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39">
        <v>0.7</v>
      </c>
      <c r="DC380" s="39">
        <v>0.78</v>
      </c>
      <c r="DD380" s="39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6">
        <f>Tabelle5897112140[[#This Row],[Durchschnittsauslastung max]]*Tabelle5897112140[[#This Row],[installierte Leistung MW max]]</f>
        <v>206.4</v>
      </c>
      <c r="DH380" s="46">
        <f>Tabelle5897112140[[#This Row],[Maximalauslastung min]]*Tabelle5897112140[[#This Row],[installierte Leistung MW min]]</f>
        <v>30.08</v>
      </c>
      <c r="DI380" s="46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4">
        <v>0.25</v>
      </c>
      <c r="DT380" s="1">
        <v>0.11913296568627449</v>
      </c>
      <c r="DU380" s="1">
        <v>8.3333333333333329E-2</v>
      </c>
      <c r="DV380" s="54">
        <v>0.25</v>
      </c>
      <c r="DW380" s="1">
        <v>2</v>
      </c>
      <c r="DX380" s="1">
        <v>1.6</v>
      </c>
      <c r="DY380" s="54">
        <v>2.4</v>
      </c>
      <c r="DZ380" s="1">
        <v>4.9000000000000004</v>
      </c>
      <c r="EA380" s="1">
        <v>3.3000000000000003</v>
      </c>
      <c r="EB380" s="54">
        <v>6.5</v>
      </c>
      <c r="EC380" s="1">
        <v>6</v>
      </c>
      <c r="ED380" s="1">
        <v>4.9000000000000004</v>
      </c>
      <c r="EE380" s="54">
        <v>4.9000000000000004</v>
      </c>
      <c r="EF380" s="1">
        <v>4.9000000000000004</v>
      </c>
      <c r="EG380" s="1">
        <v>3.3000000000000003</v>
      </c>
      <c r="EH380" s="54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39">
        <v>0.7</v>
      </c>
      <c r="DC381" s="39">
        <v>0.78</v>
      </c>
      <c r="DD381" s="39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6">
        <f>Tabelle5897112140[[#This Row],[Durchschnittsauslastung max]]*Tabelle5897112140[[#This Row],[installierte Leistung MW max]]</f>
        <v>206.4</v>
      </c>
      <c r="DH381" s="46">
        <f>Tabelle5897112140[[#This Row],[Maximalauslastung min]]*Tabelle5897112140[[#This Row],[installierte Leistung MW min]]</f>
        <v>30.08</v>
      </c>
      <c r="DI381" s="46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4">
        <v>0.25</v>
      </c>
      <c r="DT381" s="1">
        <v>0.11913296568627449</v>
      </c>
      <c r="DU381" s="1">
        <v>8.3333333333333329E-2</v>
      </c>
      <c r="DV381" s="54">
        <v>0.25</v>
      </c>
      <c r="DW381" s="1">
        <v>2</v>
      </c>
      <c r="DX381" s="1">
        <v>1.6</v>
      </c>
      <c r="DY381" s="54">
        <v>2.4</v>
      </c>
      <c r="DZ381" s="1">
        <v>4.9000000000000004</v>
      </c>
      <c r="EA381" s="1">
        <v>3.3000000000000003</v>
      </c>
      <c r="EB381" s="54">
        <v>6.5</v>
      </c>
      <c r="EC381" s="1">
        <v>6</v>
      </c>
      <c r="ED381" s="1">
        <v>4.9000000000000004</v>
      </c>
      <c r="EE381" s="54">
        <v>4.9000000000000004</v>
      </c>
      <c r="EF381" s="1">
        <v>4.9000000000000004</v>
      </c>
      <c r="EG381" s="1">
        <v>3.3000000000000003</v>
      </c>
      <c r="EH381" s="54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39">
        <v>0.7</v>
      </c>
      <c r="DC382" s="39">
        <v>0.78</v>
      </c>
      <c r="DD382" s="39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6">
        <f>Tabelle5897112140[[#This Row],[Durchschnittsauslastung max]]*Tabelle5897112140[[#This Row],[installierte Leistung MW max]]</f>
        <v>206.4</v>
      </c>
      <c r="DH382" s="46">
        <f>Tabelle5897112140[[#This Row],[Maximalauslastung min]]*Tabelle5897112140[[#This Row],[installierte Leistung MW min]]</f>
        <v>30.08</v>
      </c>
      <c r="DI382" s="46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4">
        <v>0.25</v>
      </c>
      <c r="DT382" s="1">
        <v>0.11913296568627449</v>
      </c>
      <c r="DU382" s="1">
        <v>8.3333333333333329E-2</v>
      </c>
      <c r="DV382" s="54">
        <v>0.25</v>
      </c>
      <c r="DW382" s="1">
        <v>2</v>
      </c>
      <c r="DX382" s="1">
        <v>1.6</v>
      </c>
      <c r="DY382" s="54">
        <v>2.4</v>
      </c>
      <c r="DZ382" s="1">
        <v>4.9000000000000004</v>
      </c>
      <c r="EA382" s="1">
        <v>3.3000000000000003</v>
      </c>
      <c r="EB382" s="54">
        <v>6.5</v>
      </c>
      <c r="EC382" s="1">
        <v>6</v>
      </c>
      <c r="ED382" s="1">
        <v>4.9000000000000004</v>
      </c>
      <c r="EE382" s="54">
        <v>4.9000000000000004</v>
      </c>
      <c r="EF382" s="1">
        <v>4.9000000000000004</v>
      </c>
      <c r="EG382" s="1">
        <v>3.3000000000000003</v>
      </c>
      <c r="EH382" s="54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39">
        <v>0.7</v>
      </c>
      <c r="DC383" s="39">
        <v>0.78</v>
      </c>
      <c r="DD383" s="39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6">
        <f>Tabelle5897112140[[#This Row],[Durchschnittsauslastung max]]*Tabelle5897112140[[#This Row],[installierte Leistung MW max]]</f>
        <v>206.4</v>
      </c>
      <c r="DH383" s="46">
        <f>Tabelle5897112140[[#This Row],[Maximalauslastung min]]*Tabelle5897112140[[#This Row],[installierte Leistung MW min]]</f>
        <v>30.08</v>
      </c>
      <c r="DI383" s="46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4">
        <v>0.25</v>
      </c>
      <c r="DT383" s="1">
        <v>0.11913296568627449</v>
      </c>
      <c r="DU383" s="1">
        <v>8.3333333333333329E-2</v>
      </c>
      <c r="DV383" s="54">
        <v>0.25</v>
      </c>
      <c r="DW383" s="1">
        <v>2</v>
      </c>
      <c r="DX383" s="1">
        <v>1.6</v>
      </c>
      <c r="DY383" s="54">
        <v>2.4</v>
      </c>
      <c r="DZ383" s="1">
        <v>4.9000000000000004</v>
      </c>
      <c r="EA383" s="1">
        <v>3.3000000000000003</v>
      </c>
      <c r="EB383" s="54">
        <v>6.5</v>
      </c>
      <c r="EC383" s="1">
        <v>6</v>
      </c>
      <c r="ED383" s="1">
        <v>4.9000000000000004</v>
      </c>
      <c r="EE383" s="54">
        <v>4.9000000000000004</v>
      </c>
      <c r="EF383" s="1">
        <v>4.9000000000000004</v>
      </c>
      <c r="EG383" s="1">
        <v>3.3000000000000003</v>
      </c>
      <c r="EH383" s="54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39">
        <v>0.7</v>
      </c>
      <c r="DC384" s="39">
        <v>0.78</v>
      </c>
      <c r="DD384" s="39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6">
        <f>Tabelle5897112140[[#This Row],[Durchschnittsauslastung max]]*Tabelle5897112140[[#This Row],[installierte Leistung MW max]]</f>
        <v>206.4</v>
      </c>
      <c r="DH384" s="46">
        <f>Tabelle5897112140[[#This Row],[Maximalauslastung min]]*Tabelle5897112140[[#This Row],[installierte Leistung MW min]]</f>
        <v>30.08</v>
      </c>
      <c r="DI384" s="46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4">
        <v>0.25</v>
      </c>
      <c r="DT384" s="1">
        <v>0.11913296568627449</v>
      </c>
      <c r="DU384" s="1">
        <v>8.3333333333333329E-2</v>
      </c>
      <c r="DV384" s="54">
        <v>0.25</v>
      </c>
      <c r="DW384" s="1">
        <v>2</v>
      </c>
      <c r="DX384" s="1">
        <v>1.6</v>
      </c>
      <c r="DY384" s="54">
        <v>2.4</v>
      </c>
      <c r="DZ384" s="1">
        <v>4.9000000000000004</v>
      </c>
      <c r="EA384" s="1">
        <v>3.3000000000000003</v>
      </c>
      <c r="EB384" s="54">
        <v>6.5</v>
      </c>
      <c r="EC384" s="1">
        <v>6</v>
      </c>
      <c r="ED384" s="1">
        <v>4.9000000000000004</v>
      </c>
      <c r="EE384" s="54">
        <v>4.9000000000000004</v>
      </c>
      <c r="EF384" s="1">
        <v>4.9000000000000004</v>
      </c>
      <c r="EG384" s="1">
        <v>3.3000000000000003</v>
      </c>
      <c r="EH384" s="54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39">
        <v>0.7</v>
      </c>
      <c r="DC385" s="39">
        <v>0.78</v>
      </c>
      <c r="DD385" s="39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6">
        <f>Tabelle5897112140[[#This Row],[Durchschnittsauslastung max]]*Tabelle5897112140[[#This Row],[installierte Leistung MW max]]</f>
        <v>206.4</v>
      </c>
      <c r="DH385" s="46">
        <f>Tabelle5897112140[[#This Row],[Maximalauslastung min]]*Tabelle5897112140[[#This Row],[installierte Leistung MW min]]</f>
        <v>30.08</v>
      </c>
      <c r="DI385" s="46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4">
        <v>0.25</v>
      </c>
      <c r="DT385" s="1">
        <v>0.11913296568627449</v>
      </c>
      <c r="DU385" s="1">
        <v>8.3333333333333329E-2</v>
      </c>
      <c r="DV385" s="54">
        <v>0.25</v>
      </c>
      <c r="DW385" s="1">
        <v>2</v>
      </c>
      <c r="DX385" s="1">
        <v>1.6</v>
      </c>
      <c r="DY385" s="54">
        <v>2.4</v>
      </c>
      <c r="DZ385" s="1">
        <v>4.9000000000000004</v>
      </c>
      <c r="EA385" s="1">
        <v>3.3000000000000003</v>
      </c>
      <c r="EB385" s="54">
        <v>6.5</v>
      </c>
      <c r="EC385" s="1">
        <v>6</v>
      </c>
      <c r="ED385" s="1">
        <v>4.9000000000000004</v>
      </c>
      <c r="EE385" s="54">
        <v>4.9000000000000004</v>
      </c>
      <c r="EF385" s="1">
        <v>4.9000000000000004</v>
      </c>
      <c r="EG385" s="1">
        <v>3.3000000000000003</v>
      </c>
      <c r="EH385" s="54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39">
        <v>0.69</v>
      </c>
      <c r="DC386" s="39">
        <v>0.73</v>
      </c>
      <c r="DD386" s="39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6">
        <f>Tabelle5897112140[[#This Row],[Durchschnittsauslastung max]]*Tabelle5897112140[[#This Row],[installierte Leistung MW max]]</f>
        <v>378.07</v>
      </c>
      <c r="DH386" s="46">
        <f>Tabelle5897112140[[#This Row],[Maximalauslastung min]]*Tabelle5897112140[[#This Row],[installierte Leistung MW min]]</f>
        <v>177.66</v>
      </c>
      <c r="DI386" s="46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4">
        <v>0.5</v>
      </c>
      <c r="DT386" s="1">
        <v>0.77166666666666672</v>
      </c>
      <c r="DU386" s="1">
        <v>8.3333333333333329E-2</v>
      </c>
      <c r="DV386" s="54">
        <v>3</v>
      </c>
      <c r="DW386" s="1">
        <v>4.8</v>
      </c>
      <c r="DX386" s="1">
        <v>4.3</v>
      </c>
      <c r="DY386" s="54">
        <v>5.3</v>
      </c>
      <c r="DZ386" s="1">
        <v>7.8</v>
      </c>
      <c r="EA386" s="1">
        <v>5.8</v>
      </c>
      <c r="EB386" s="54">
        <v>9.8000000000000007</v>
      </c>
      <c r="EC386" s="1">
        <v>10.8</v>
      </c>
      <c r="ED386" s="1">
        <v>10.8</v>
      </c>
      <c r="EE386" s="54">
        <v>10.8</v>
      </c>
      <c r="EF386" s="1">
        <v>7.8</v>
      </c>
      <c r="EG386" s="1">
        <v>5.8</v>
      </c>
      <c r="EH386" s="54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39">
        <v>0.69</v>
      </c>
      <c r="DC387" s="39">
        <v>0.72999999999999987</v>
      </c>
      <c r="DD387" s="39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6">
        <f>Tabelle5897112140[[#This Row],[Durchschnittsauslastung max]]*Tabelle5897112140[[#This Row],[installierte Leistung MW max]]</f>
        <v>374.28929999999997</v>
      </c>
      <c r="DH387" s="46">
        <f>Tabelle5897112140[[#This Row],[Maximalauslastung min]]*Tabelle5897112140[[#This Row],[installierte Leistung MW min]]</f>
        <v>175.88339999999997</v>
      </c>
      <c r="DI387" s="46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4">
        <v>0.5</v>
      </c>
      <c r="DT387" s="1">
        <v>0.77166666666666672</v>
      </c>
      <c r="DU387" s="1">
        <v>8.3333333333333329E-2</v>
      </c>
      <c r="DV387" s="54">
        <v>3</v>
      </c>
      <c r="DW387" s="1">
        <v>4.7999999999999989</v>
      </c>
      <c r="DX387" s="1">
        <v>4.3</v>
      </c>
      <c r="DY387" s="54">
        <v>5.3</v>
      </c>
      <c r="DZ387" s="1">
        <v>7.7999999999999989</v>
      </c>
      <c r="EA387" s="1">
        <v>5.8</v>
      </c>
      <c r="EB387" s="54">
        <v>9.8000000000000007</v>
      </c>
      <c r="EC387" s="1">
        <v>10.8</v>
      </c>
      <c r="ED387" s="1">
        <v>7.8</v>
      </c>
      <c r="EE387" s="54">
        <v>7.7999999999999989</v>
      </c>
      <c r="EF387" s="1">
        <v>7.7999999999999989</v>
      </c>
      <c r="EG387" s="1">
        <v>5.8</v>
      </c>
      <c r="EH387" s="54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39">
        <v>0.69</v>
      </c>
      <c r="DC388" s="39">
        <v>0.73000000000000009</v>
      </c>
      <c r="DD388" s="39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6">
        <f>Tabelle5897112140[[#This Row],[Durchschnittsauslastung max]]*Tabelle5897112140[[#This Row],[installierte Leistung MW max]]</f>
        <v>366.72789999999998</v>
      </c>
      <c r="DH388" s="46">
        <f>Tabelle5897112140[[#This Row],[Maximalauslastung min]]*Tabelle5897112140[[#This Row],[installierte Leistung MW min]]</f>
        <v>172.33019999999996</v>
      </c>
      <c r="DI388" s="46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4">
        <v>0.5</v>
      </c>
      <c r="DT388" s="1">
        <v>0.77166666666666683</v>
      </c>
      <c r="DU388" s="1">
        <v>8.3333333333333329E-2</v>
      </c>
      <c r="DV388" s="54">
        <v>3</v>
      </c>
      <c r="DW388" s="1">
        <v>4.8000000000000007</v>
      </c>
      <c r="DX388" s="1">
        <v>4.3</v>
      </c>
      <c r="DY388" s="54">
        <v>5.3</v>
      </c>
      <c r="DZ388" s="1">
        <v>7.8000000000000007</v>
      </c>
      <c r="EA388" s="1">
        <v>5.8</v>
      </c>
      <c r="EB388" s="54">
        <v>9.8000000000000007</v>
      </c>
      <c r="EC388" s="1">
        <v>10.8</v>
      </c>
      <c r="ED388" s="1">
        <v>7.8</v>
      </c>
      <c r="EE388" s="54">
        <v>7.8</v>
      </c>
      <c r="EF388" s="1">
        <v>7.8000000000000007</v>
      </c>
      <c r="EG388" s="1">
        <v>5.8</v>
      </c>
      <c r="EH388" s="54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39">
        <v>0.69</v>
      </c>
      <c r="DC389" s="39">
        <v>0.73</v>
      </c>
      <c r="DD389" s="39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6">
        <f>Tabelle5897112140[[#This Row],[Durchschnittsauslastung max]]*Tabelle5897112140[[#This Row],[installierte Leistung MW max]]</f>
        <v>362.94719999999995</v>
      </c>
      <c r="DH389" s="46">
        <f>Tabelle5897112140[[#This Row],[Maximalauslastung min]]*Tabelle5897112140[[#This Row],[installierte Leistung MW min]]</f>
        <v>170.55359999999999</v>
      </c>
      <c r="DI389" s="46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4">
        <v>0.5</v>
      </c>
      <c r="DT389" s="1">
        <v>0.77166666666666672</v>
      </c>
      <c r="DU389" s="1">
        <v>8.3333333333333329E-2</v>
      </c>
      <c r="DV389" s="54">
        <v>3</v>
      </c>
      <c r="DW389" s="1">
        <v>4.8</v>
      </c>
      <c r="DX389" s="1">
        <v>4.3</v>
      </c>
      <c r="DY389" s="54">
        <v>5.3</v>
      </c>
      <c r="DZ389" s="1">
        <v>7.8</v>
      </c>
      <c r="EA389" s="1">
        <v>5.8</v>
      </c>
      <c r="EB389" s="54">
        <v>9.8000000000000007</v>
      </c>
      <c r="EC389" s="1">
        <v>10.8</v>
      </c>
      <c r="ED389" s="1">
        <v>7.8</v>
      </c>
      <c r="EE389" s="54">
        <v>7.7999999999999989</v>
      </c>
      <c r="EF389" s="1">
        <v>7.8</v>
      </c>
      <c r="EG389" s="1">
        <v>5.8</v>
      </c>
      <c r="EH389" s="54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39">
        <v>0.69</v>
      </c>
      <c r="DC390" s="39">
        <v>0.72999999999999987</v>
      </c>
      <c r="DD390" s="39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6">
        <f>Tabelle5897112140[[#This Row],[Durchschnittsauslastung max]]*Tabelle5897112140[[#This Row],[installierte Leistung MW max]]</f>
        <v>359.16649999999993</v>
      </c>
      <c r="DH390" s="46">
        <f>Tabelle5897112140[[#This Row],[Maximalauslastung min]]*Tabelle5897112140[[#This Row],[installierte Leistung MW min]]</f>
        <v>168.77699999999999</v>
      </c>
      <c r="DI390" s="46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4">
        <v>0.5</v>
      </c>
      <c r="DT390" s="1">
        <v>0.77166666666666672</v>
      </c>
      <c r="DU390" s="1">
        <v>8.3333333333333329E-2</v>
      </c>
      <c r="DV390" s="54">
        <v>3</v>
      </c>
      <c r="DW390" s="1">
        <v>4.7999999999999989</v>
      </c>
      <c r="DX390" s="1">
        <v>4.3</v>
      </c>
      <c r="DY390" s="54">
        <v>5.3</v>
      </c>
      <c r="DZ390" s="1">
        <v>7.7999999999999989</v>
      </c>
      <c r="EA390" s="1">
        <v>5.8</v>
      </c>
      <c r="EB390" s="54">
        <v>9.8000000000000007</v>
      </c>
      <c r="EC390" s="1">
        <v>10.8</v>
      </c>
      <c r="ED390" s="1">
        <v>7.8</v>
      </c>
      <c r="EE390" s="54">
        <v>7.8000000000000007</v>
      </c>
      <c r="EF390" s="1">
        <v>7.7999999999999989</v>
      </c>
      <c r="EG390" s="1">
        <v>5.8</v>
      </c>
      <c r="EH390" s="54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39">
        <v>0.69</v>
      </c>
      <c r="DC391" s="39">
        <v>0.73</v>
      </c>
      <c r="DD391" s="39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6">
        <f>Tabelle5897112140[[#This Row],[Durchschnittsauslastung max]]*Tabelle5897112140[[#This Row],[installierte Leistung MW max]]</f>
        <v>351.60510000000005</v>
      </c>
      <c r="DH391" s="46">
        <f>Tabelle5897112140[[#This Row],[Maximalauslastung min]]*Tabelle5897112140[[#This Row],[installierte Leistung MW min]]</f>
        <v>165.22380000000001</v>
      </c>
      <c r="DI391" s="46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4">
        <v>0.5</v>
      </c>
      <c r="DT391" s="1">
        <v>0.77166666666666672</v>
      </c>
      <c r="DU391" s="1">
        <v>8.3333333333333329E-2</v>
      </c>
      <c r="DV391" s="54">
        <v>3</v>
      </c>
      <c r="DW391" s="1">
        <v>4.7999999999999989</v>
      </c>
      <c r="DX391" s="1">
        <v>4.3</v>
      </c>
      <c r="DY391" s="54">
        <v>5.3</v>
      </c>
      <c r="DZ391" s="1">
        <v>7.7999999999999989</v>
      </c>
      <c r="EA391" s="1">
        <v>5.8</v>
      </c>
      <c r="EB391" s="54">
        <v>9.8000000000000007</v>
      </c>
      <c r="EC391" s="1">
        <v>10.8</v>
      </c>
      <c r="ED391" s="1">
        <v>7.8000000000000007</v>
      </c>
      <c r="EE391" s="54">
        <v>7.8000000000000007</v>
      </c>
      <c r="EF391" s="1">
        <v>7.7999999999999989</v>
      </c>
      <c r="EG391" s="1">
        <v>5.8</v>
      </c>
      <c r="EH391" s="54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39">
        <v>0.69</v>
      </c>
      <c r="DC392" s="39">
        <v>0.73</v>
      </c>
      <c r="DD392" s="39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6">
        <f>Tabelle5897112140[[#This Row],[Durchschnittsauslastung max]]*Tabelle5897112140[[#This Row],[installierte Leistung MW max]]</f>
        <v>347.82440000000003</v>
      </c>
      <c r="DH392" s="46">
        <f>Tabelle5897112140[[#This Row],[Maximalauslastung min]]*Tabelle5897112140[[#This Row],[installierte Leistung MW min]]</f>
        <v>163.44719999999998</v>
      </c>
      <c r="DI392" s="46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4">
        <v>0.5</v>
      </c>
      <c r="DT392" s="1">
        <v>0.77166666666666672</v>
      </c>
      <c r="DU392" s="1">
        <v>8.3333333333333329E-2</v>
      </c>
      <c r="DV392" s="54">
        <v>3</v>
      </c>
      <c r="DW392" s="1">
        <v>4.8</v>
      </c>
      <c r="DX392" s="1">
        <v>4.3</v>
      </c>
      <c r="DY392" s="54">
        <v>5.3</v>
      </c>
      <c r="DZ392" s="1">
        <v>7.8</v>
      </c>
      <c r="EA392" s="1">
        <v>5.8</v>
      </c>
      <c r="EB392" s="54">
        <v>9.8000000000000007</v>
      </c>
      <c r="EC392" s="1">
        <v>10.8</v>
      </c>
      <c r="ED392" s="1">
        <v>7.8</v>
      </c>
      <c r="EE392" s="54">
        <v>7.7999999999999989</v>
      </c>
      <c r="EF392" s="1">
        <v>7.8</v>
      </c>
      <c r="EG392" s="1">
        <v>5.8</v>
      </c>
      <c r="EH392" s="54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39">
        <v>0.69</v>
      </c>
      <c r="DC393" s="39">
        <v>0.73</v>
      </c>
      <c r="DD393" s="39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6">
        <f>Tabelle5897112140[[#This Row],[Durchschnittsauslastung max]]*Tabelle5897112140[[#This Row],[installierte Leistung MW max]]</f>
        <v>344.04369999999994</v>
      </c>
      <c r="DH393" s="46">
        <f>Tabelle5897112140[[#This Row],[Maximalauslastung min]]*Tabelle5897112140[[#This Row],[installierte Leistung MW min]]</f>
        <v>161.67060000000001</v>
      </c>
      <c r="DI393" s="46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4">
        <v>0.5</v>
      </c>
      <c r="DT393" s="1">
        <v>0.77166666666666672</v>
      </c>
      <c r="DU393" s="1">
        <v>8.3333333333333329E-2</v>
      </c>
      <c r="DV393" s="54">
        <v>3</v>
      </c>
      <c r="DW393" s="1">
        <v>4.8</v>
      </c>
      <c r="DX393" s="1">
        <v>4.3</v>
      </c>
      <c r="DY393" s="54">
        <v>5.3</v>
      </c>
      <c r="DZ393" s="1">
        <v>7.8</v>
      </c>
      <c r="EA393" s="1">
        <v>5.8</v>
      </c>
      <c r="EB393" s="54">
        <v>9.8000000000000007</v>
      </c>
      <c r="EC393" s="1">
        <v>10.8</v>
      </c>
      <c r="ED393" s="1">
        <v>7.8</v>
      </c>
      <c r="EE393" s="54">
        <v>7.8000000000000007</v>
      </c>
      <c r="EF393" s="1">
        <v>7.8</v>
      </c>
      <c r="EG393" s="1">
        <v>5.8</v>
      </c>
      <c r="EH393" s="54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39">
        <v>0.83</v>
      </c>
      <c r="DC394" s="39">
        <v>0.86</v>
      </c>
      <c r="DD394" s="39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6">
        <f>Tabelle5897112140[[#This Row],[Durchschnittsauslastung max]]*Tabelle5897112140[[#This Row],[installierte Leistung MW max]]</f>
        <v>1300.29</v>
      </c>
      <c r="DH394" s="46">
        <f>Tabelle5897112140[[#This Row],[Maximalauslastung min]]*Tabelle5897112140[[#This Row],[installierte Leistung MW min]]</f>
        <v>1290.6199999999999</v>
      </c>
      <c r="DI394" s="46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4">
        <v>3</v>
      </c>
      <c r="DT394" s="1">
        <v>1.625</v>
      </c>
      <c r="DU394" s="1">
        <v>0.5</v>
      </c>
      <c r="DV394" s="54">
        <v>3</v>
      </c>
      <c r="DW394" s="1">
        <v>5.2</v>
      </c>
      <c r="DX394" s="1">
        <v>4.7</v>
      </c>
      <c r="DY394" s="54">
        <v>5.7</v>
      </c>
      <c r="DZ394" s="1">
        <v>6.6</v>
      </c>
      <c r="EA394" s="1">
        <v>4.8999999999999995</v>
      </c>
      <c r="EB394" s="54">
        <v>8.2999999999999989</v>
      </c>
      <c r="EC394" s="1">
        <v>11.2</v>
      </c>
      <c r="ED394" s="1">
        <v>11.2</v>
      </c>
      <c r="EE394" s="54">
        <v>11.2</v>
      </c>
      <c r="EF394" s="1">
        <v>6.6</v>
      </c>
      <c r="EG394" s="1">
        <v>4.8999999999999995</v>
      </c>
      <c r="EH394" s="54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39">
        <v>0.83</v>
      </c>
      <c r="DC395" s="39">
        <v>0.86</v>
      </c>
      <c r="DD395" s="39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6">
        <f>Tabelle5897112140[[#This Row],[Durchschnittsauslastung max]]*Tabelle5897112140[[#This Row],[installierte Leistung MW max]]</f>
        <v>1352.3016</v>
      </c>
      <c r="DH395" s="46">
        <f>Tabelle5897112140[[#This Row],[Maximalauslastung min]]*Tabelle5897112140[[#This Row],[installierte Leistung MW min]]</f>
        <v>1342.2447999999999</v>
      </c>
      <c r="DI395" s="46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4">
        <v>3</v>
      </c>
      <c r="DT395" s="1">
        <v>1.625</v>
      </c>
      <c r="DU395" s="1">
        <v>0.5</v>
      </c>
      <c r="DV395" s="54">
        <v>3</v>
      </c>
      <c r="DW395" s="1">
        <v>5.2</v>
      </c>
      <c r="DX395" s="1">
        <v>4.7</v>
      </c>
      <c r="DY395" s="54">
        <v>5.7</v>
      </c>
      <c r="DZ395" s="1">
        <v>6.6</v>
      </c>
      <c r="EA395" s="1">
        <v>4.8999999999999995</v>
      </c>
      <c r="EB395" s="54">
        <v>8.2999999999999989</v>
      </c>
      <c r="EC395" s="1">
        <v>11.2</v>
      </c>
      <c r="ED395" s="1">
        <v>11.2</v>
      </c>
      <c r="EE395" s="54">
        <v>11.2</v>
      </c>
      <c r="EF395" s="1">
        <v>6.6</v>
      </c>
      <c r="EG395" s="1">
        <v>4.8999999999999995</v>
      </c>
      <c r="EH395" s="54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39">
        <v>0.83</v>
      </c>
      <c r="DC396" s="39">
        <v>0.86</v>
      </c>
      <c r="DD396" s="39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6">
        <f>Tabelle5897112140[[#This Row],[Durchschnittsauslastung max]]*Tabelle5897112140[[#This Row],[installierte Leistung MW max]]</f>
        <v>1404.3132000000001</v>
      </c>
      <c r="DH396" s="46">
        <f>Tabelle5897112140[[#This Row],[Maximalauslastung min]]*Tabelle5897112140[[#This Row],[installierte Leistung MW min]]</f>
        <v>1393.8696</v>
      </c>
      <c r="DI396" s="46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4">
        <v>3</v>
      </c>
      <c r="DT396" s="1">
        <v>1.625</v>
      </c>
      <c r="DU396" s="1">
        <v>0.5</v>
      </c>
      <c r="DV396" s="54">
        <v>3</v>
      </c>
      <c r="DW396" s="1">
        <v>5.2</v>
      </c>
      <c r="DX396" s="1">
        <v>4.7</v>
      </c>
      <c r="DY396" s="54">
        <v>5.7</v>
      </c>
      <c r="DZ396" s="1">
        <v>6.6</v>
      </c>
      <c r="EA396" s="1">
        <v>4.8999999999999995</v>
      </c>
      <c r="EB396" s="54">
        <v>8.2999999999999989</v>
      </c>
      <c r="EC396" s="1">
        <v>11.2</v>
      </c>
      <c r="ED396" s="1">
        <v>11.2</v>
      </c>
      <c r="EE396" s="54">
        <v>11.2</v>
      </c>
      <c r="EF396" s="1">
        <v>6.6</v>
      </c>
      <c r="EG396" s="1">
        <v>4.8999999999999995</v>
      </c>
      <c r="EH396" s="54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39">
        <v>0.83</v>
      </c>
      <c r="DC397" s="39">
        <v>0.86</v>
      </c>
      <c r="DD397" s="39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6">
        <f>Tabelle5897112140[[#This Row],[Durchschnittsauslastung max]]*Tabelle5897112140[[#This Row],[installierte Leistung MW max]]</f>
        <v>1521.3392999999999</v>
      </c>
      <c r="DH397" s="46">
        <f>Tabelle5897112140[[#This Row],[Maximalauslastung min]]*Tabelle5897112140[[#This Row],[installierte Leistung MW min]]</f>
        <v>1510.0253999999998</v>
      </c>
      <c r="DI397" s="46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4">
        <v>3</v>
      </c>
      <c r="DT397" s="1">
        <v>1.625</v>
      </c>
      <c r="DU397" s="1">
        <v>0.5</v>
      </c>
      <c r="DV397" s="54">
        <v>3</v>
      </c>
      <c r="DW397" s="1">
        <v>5.2</v>
      </c>
      <c r="DX397" s="1">
        <v>4.7</v>
      </c>
      <c r="DY397" s="54">
        <v>5.7</v>
      </c>
      <c r="DZ397" s="1">
        <v>6.6</v>
      </c>
      <c r="EA397" s="1">
        <v>4.8999999999999995</v>
      </c>
      <c r="EB397" s="54">
        <v>8.2999999999999989</v>
      </c>
      <c r="EC397" s="1">
        <v>11.2</v>
      </c>
      <c r="ED397" s="1">
        <v>11.2</v>
      </c>
      <c r="EE397" s="54">
        <v>11.2</v>
      </c>
      <c r="EF397" s="1">
        <v>6.6</v>
      </c>
      <c r="EG397" s="1">
        <v>4.8999999999999995</v>
      </c>
      <c r="EH397" s="54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39">
        <v>0.83</v>
      </c>
      <c r="DC398" s="39">
        <v>0.86</v>
      </c>
      <c r="DD398" s="39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6">
        <f>Tabelle5897112140[[#This Row],[Durchschnittsauslastung max]]*Tabelle5897112140[[#This Row],[installierte Leistung MW max]]</f>
        <v>1638.3653999999999</v>
      </c>
      <c r="DH398" s="46">
        <f>Tabelle5897112140[[#This Row],[Maximalauslastung min]]*Tabelle5897112140[[#This Row],[installierte Leistung MW min]]</f>
        <v>1626.1812</v>
      </c>
      <c r="DI398" s="46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4">
        <v>3</v>
      </c>
      <c r="DT398" s="1">
        <v>1.625</v>
      </c>
      <c r="DU398" s="1">
        <v>0.5</v>
      </c>
      <c r="DV398" s="54">
        <v>3</v>
      </c>
      <c r="DW398" s="1">
        <v>5.2</v>
      </c>
      <c r="DX398" s="1">
        <v>4.7</v>
      </c>
      <c r="DY398" s="54">
        <v>5.7</v>
      </c>
      <c r="DZ398" s="1">
        <v>6.6</v>
      </c>
      <c r="EA398" s="1">
        <v>4.8999999999999995</v>
      </c>
      <c r="EB398" s="54">
        <v>8.2999999999999989</v>
      </c>
      <c r="EC398" s="1">
        <v>11.2</v>
      </c>
      <c r="ED398" s="1">
        <v>11.2</v>
      </c>
      <c r="EE398" s="54">
        <v>11.2</v>
      </c>
      <c r="EF398" s="1">
        <v>6.6</v>
      </c>
      <c r="EG398" s="1">
        <v>4.8999999999999995</v>
      </c>
      <c r="EH398" s="54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39">
        <v>0.83</v>
      </c>
      <c r="DC399" s="39">
        <v>0.86</v>
      </c>
      <c r="DD399" s="39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6">
        <f>Tabelle5897112140[[#This Row],[Durchschnittsauslastung max]]*Tabelle5897112140[[#This Row],[installierte Leistung MW max]]</f>
        <v>1755.3915000000002</v>
      </c>
      <c r="DH399" s="46">
        <f>Tabelle5897112140[[#This Row],[Maximalauslastung min]]*Tabelle5897112140[[#This Row],[installierte Leistung MW min]]</f>
        <v>1742.337</v>
      </c>
      <c r="DI399" s="46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4">
        <v>3</v>
      </c>
      <c r="DT399" s="1">
        <v>1.625</v>
      </c>
      <c r="DU399" s="1">
        <v>0.5</v>
      </c>
      <c r="DV399" s="54">
        <v>3</v>
      </c>
      <c r="DW399" s="1">
        <v>5.2</v>
      </c>
      <c r="DX399" s="1">
        <v>4.7</v>
      </c>
      <c r="DY399" s="54">
        <v>5.7</v>
      </c>
      <c r="DZ399" s="1">
        <v>6.6</v>
      </c>
      <c r="EA399" s="1">
        <v>4.8999999999999995</v>
      </c>
      <c r="EB399" s="54">
        <v>8.2999999999999989</v>
      </c>
      <c r="EC399" s="1">
        <v>11.2</v>
      </c>
      <c r="ED399" s="1">
        <v>11.2</v>
      </c>
      <c r="EE399" s="54">
        <v>11.2</v>
      </c>
      <c r="EF399" s="1">
        <v>6.6</v>
      </c>
      <c r="EG399" s="1">
        <v>4.8999999999999995</v>
      </c>
      <c r="EH399" s="54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39">
        <v>0.83</v>
      </c>
      <c r="DC400" s="39">
        <v>0.86</v>
      </c>
      <c r="DD400" s="39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6">
        <f>Tabelle5897112140[[#This Row],[Durchschnittsauslastung max]]*Tabelle5897112140[[#This Row],[installierte Leistung MW max]]</f>
        <v>1898.4233999999999</v>
      </c>
      <c r="DH400" s="46">
        <f>Tabelle5897112140[[#This Row],[Maximalauslastung min]]*Tabelle5897112140[[#This Row],[installierte Leistung MW min]]</f>
        <v>1884.3051999999998</v>
      </c>
      <c r="DI400" s="46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4">
        <v>3</v>
      </c>
      <c r="DT400" s="1">
        <v>1.625</v>
      </c>
      <c r="DU400" s="1">
        <v>0.5</v>
      </c>
      <c r="DV400" s="54">
        <v>3</v>
      </c>
      <c r="DW400" s="1">
        <v>5.2</v>
      </c>
      <c r="DX400" s="1">
        <v>4.7</v>
      </c>
      <c r="DY400" s="54">
        <v>5.7</v>
      </c>
      <c r="DZ400" s="1">
        <v>6.6</v>
      </c>
      <c r="EA400" s="1">
        <v>4.8999999999999995</v>
      </c>
      <c r="EB400" s="54">
        <v>8.2999999999999989</v>
      </c>
      <c r="EC400" s="1">
        <v>11.2</v>
      </c>
      <c r="ED400" s="1">
        <v>11.2</v>
      </c>
      <c r="EE400" s="54">
        <v>11.2</v>
      </c>
      <c r="EF400" s="1">
        <v>6.6</v>
      </c>
      <c r="EG400" s="1">
        <v>4.8999999999999995</v>
      </c>
      <c r="EH400" s="54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39">
        <v>0.83</v>
      </c>
      <c r="DC401" s="39">
        <v>0.86</v>
      </c>
      <c r="DD401" s="39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6">
        <f>Tabelle5897112140[[#This Row],[Durchschnittsauslastung max]]*Tabelle5897112140[[#This Row],[installierte Leistung MW max]]</f>
        <v>2041.4553000000001</v>
      </c>
      <c r="DH401" s="46">
        <f>Tabelle5897112140[[#This Row],[Maximalauslastung min]]*Tabelle5897112140[[#This Row],[installierte Leistung MW min]]</f>
        <v>2026.2734</v>
      </c>
      <c r="DI401" s="46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4">
        <v>3</v>
      </c>
      <c r="DT401" s="1">
        <v>1.625</v>
      </c>
      <c r="DU401" s="1">
        <v>0.5</v>
      </c>
      <c r="DV401" s="54">
        <v>3</v>
      </c>
      <c r="DW401" s="1">
        <v>5.2</v>
      </c>
      <c r="DX401" s="1">
        <v>4.7</v>
      </c>
      <c r="DY401" s="54">
        <v>5.7</v>
      </c>
      <c r="DZ401" s="1">
        <v>6.6</v>
      </c>
      <c r="EA401" s="1">
        <v>4.8999999999999995</v>
      </c>
      <c r="EB401" s="54">
        <v>8.2999999999999989</v>
      </c>
      <c r="EC401" s="1">
        <v>11.2</v>
      </c>
      <c r="ED401" s="1">
        <v>11.2</v>
      </c>
      <c r="EE401" s="54">
        <v>11.2</v>
      </c>
      <c r="EF401" s="1">
        <v>6.6</v>
      </c>
      <c r="EG401" s="1">
        <v>4.8999999999999995</v>
      </c>
      <c r="EH401" s="54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39">
        <v>0.72</v>
      </c>
      <c r="DC402" s="39">
        <v>0.8</v>
      </c>
      <c r="DD402" s="39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6">
        <f>Tabelle5897112140[[#This Row],[Durchschnittsauslastung max]]*Tabelle5897112140[[#This Row],[installierte Leistung MW max]]</f>
        <v>180.4</v>
      </c>
      <c r="DH402" s="46">
        <f>Tabelle5897112140[[#This Row],[Maximalauslastung min]]*Tabelle5897112140[[#This Row],[installierte Leistung MW min]]</f>
        <v>151.34</v>
      </c>
      <c r="DI402" s="46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4">
        <v>1</v>
      </c>
      <c r="DT402" s="1">
        <v>0.24374999999999999</v>
      </c>
      <c r="DU402" s="1">
        <v>2.7777777777777778E-4</v>
      </c>
      <c r="DV402" s="54">
        <v>1</v>
      </c>
      <c r="DW402" s="1">
        <v>2.8</v>
      </c>
      <c r="DX402" s="1">
        <v>2.5</v>
      </c>
      <c r="DY402" s="54">
        <v>3.0999999999999996</v>
      </c>
      <c r="DZ402" s="1">
        <v>3.6</v>
      </c>
      <c r="EA402" s="1">
        <v>2.9000000000000004</v>
      </c>
      <c r="EB402" s="54">
        <v>4.3</v>
      </c>
      <c r="EC402" s="1">
        <v>5.8</v>
      </c>
      <c r="ED402" s="1">
        <v>5.8</v>
      </c>
      <c r="EE402" s="54">
        <v>5.8</v>
      </c>
      <c r="EF402" s="1">
        <v>3.6</v>
      </c>
      <c r="EG402" s="1">
        <v>2.9000000000000004</v>
      </c>
      <c r="EH402" s="54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39">
        <v>0.72</v>
      </c>
      <c r="DC403" s="39">
        <v>0.8</v>
      </c>
      <c r="DD403" s="39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6">
        <f>Tabelle5897112140[[#This Row],[Durchschnittsauslastung max]]*Tabelle5897112140[[#This Row],[installierte Leistung MW max]]</f>
        <v>182.20400000000001</v>
      </c>
      <c r="DH403" s="46">
        <f>Tabelle5897112140[[#This Row],[Maximalauslastung min]]*Tabelle5897112140[[#This Row],[installierte Leistung MW min]]</f>
        <v>152.85339999999999</v>
      </c>
      <c r="DI403" s="46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4">
        <v>1</v>
      </c>
      <c r="DT403" s="1">
        <v>0.24374999999999999</v>
      </c>
      <c r="DU403" s="1">
        <v>2.7777777777777778E-4</v>
      </c>
      <c r="DV403" s="54">
        <v>1</v>
      </c>
      <c r="DW403" s="1">
        <v>2.8</v>
      </c>
      <c r="DX403" s="1">
        <v>2.5</v>
      </c>
      <c r="DY403" s="54">
        <v>3.0999999999999996</v>
      </c>
      <c r="DZ403" s="1">
        <v>3.6</v>
      </c>
      <c r="EA403" s="1">
        <v>2.9000000000000004</v>
      </c>
      <c r="EB403" s="54">
        <v>4.3</v>
      </c>
      <c r="EC403" s="1">
        <v>5.8</v>
      </c>
      <c r="ED403" s="1">
        <v>5.8</v>
      </c>
      <c r="EE403" s="54">
        <v>5.8</v>
      </c>
      <c r="EF403" s="1">
        <v>3.6</v>
      </c>
      <c r="EG403" s="1">
        <v>2.9000000000000004</v>
      </c>
      <c r="EH403" s="54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39">
        <v>0.72</v>
      </c>
      <c r="DC404" s="39">
        <v>0.8</v>
      </c>
      <c r="DD404" s="39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6">
        <f>Tabelle5897112140[[#This Row],[Durchschnittsauslastung max]]*Tabelle5897112140[[#This Row],[installierte Leistung MW max]]</f>
        <v>184.00800000000001</v>
      </c>
      <c r="DH404" s="46">
        <f>Tabelle5897112140[[#This Row],[Maximalauslastung min]]*Tabelle5897112140[[#This Row],[installierte Leistung MW min]]</f>
        <v>154.36679999999998</v>
      </c>
      <c r="DI404" s="46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4">
        <v>1</v>
      </c>
      <c r="DT404" s="1">
        <v>0.24374999999999999</v>
      </c>
      <c r="DU404" s="1">
        <v>2.7777777777777778E-4</v>
      </c>
      <c r="DV404" s="54">
        <v>1</v>
      </c>
      <c r="DW404" s="1">
        <v>2.8</v>
      </c>
      <c r="DX404" s="1">
        <v>2.5</v>
      </c>
      <c r="DY404" s="54">
        <v>3.0999999999999996</v>
      </c>
      <c r="DZ404" s="1">
        <v>3.6</v>
      </c>
      <c r="EA404" s="1">
        <v>2.9000000000000004</v>
      </c>
      <c r="EB404" s="54">
        <v>4.3</v>
      </c>
      <c r="EC404" s="1">
        <v>5.8</v>
      </c>
      <c r="ED404" s="1">
        <v>5.8</v>
      </c>
      <c r="EE404" s="54">
        <v>5.8</v>
      </c>
      <c r="EF404" s="1">
        <v>3.6</v>
      </c>
      <c r="EG404" s="1">
        <v>2.9000000000000004</v>
      </c>
      <c r="EH404" s="54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39">
        <v>0.72</v>
      </c>
      <c r="DC405" s="39">
        <v>0.8</v>
      </c>
      <c r="DD405" s="39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6">
        <f>Tabelle5897112140[[#This Row],[Durchschnittsauslastung max]]*Tabelle5897112140[[#This Row],[installierte Leistung MW max]]</f>
        <v>185.81200000000001</v>
      </c>
      <c r="DH405" s="46">
        <f>Tabelle5897112140[[#This Row],[Maximalauslastung min]]*Tabelle5897112140[[#This Row],[installierte Leistung MW min]]</f>
        <v>155.8802</v>
      </c>
      <c r="DI405" s="46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4">
        <v>1</v>
      </c>
      <c r="DT405" s="1">
        <v>0.24374999999999999</v>
      </c>
      <c r="DU405" s="1">
        <v>2.7777777777777778E-4</v>
      </c>
      <c r="DV405" s="54">
        <v>1</v>
      </c>
      <c r="DW405" s="1">
        <v>2.8</v>
      </c>
      <c r="DX405" s="1">
        <v>2.5</v>
      </c>
      <c r="DY405" s="54">
        <v>3.0999999999999996</v>
      </c>
      <c r="DZ405" s="1">
        <v>3.6</v>
      </c>
      <c r="EA405" s="1">
        <v>2.9000000000000004</v>
      </c>
      <c r="EB405" s="54">
        <v>4.3</v>
      </c>
      <c r="EC405" s="1">
        <v>5.8</v>
      </c>
      <c r="ED405" s="1">
        <v>5.8</v>
      </c>
      <c r="EE405" s="54">
        <v>5.8</v>
      </c>
      <c r="EF405" s="1">
        <v>3.6</v>
      </c>
      <c r="EG405" s="1">
        <v>2.9000000000000004</v>
      </c>
      <c r="EH405" s="54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39">
        <v>0.72</v>
      </c>
      <c r="DC406" s="39">
        <v>0.8</v>
      </c>
      <c r="DD406" s="39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6">
        <f>Tabelle5897112140[[#This Row],[Durchschnittsauslastung max]]*Tabelle5897112140[[#This Row],[installierte Leistung MW max]]</f>
        <v>187.61600000000001</v>
      </c>
      <c r="DH406" s="46">
        <f>Tabelle5897112140[[#This Row],[Maximalauslastung min]]*Tabelle5897112140[[#This Row],[installierte Leistung MW min]]</f>
        <v>157.39359999999999</v>
      </c>
      <c r="DI406" s="46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4">
        <v>1</v>
      </c>
      <c r="DT406" s="1">
        <v>0.24374999999999999</v>
      </c>
      <c r="DU406" s="1">
        <v>2.7777777777777778E-4</v>
      </c>
      <c r="DV406" s="54">
        <v>1</v>
      </c>
      <c r="DW406" s="1">
        <v>2.8</v>
      </c>
      <c r="DX406" s="1">
        <v>2.5</v>
      </c>
      <c r="DY406" s="54">
        <v>3.0999999999999996</v>
      </c>
      <c r="DZ406" s="1">
        <v>3.6</v>
      </c>
      <c r="EA406" s="1">
        <v>2.9000000000000004</v>
      </c>
      <c r="EB406" s="54">
        <v>4.3</v>
      </c>
      <c r="EC406" s="1">
        <v>5.8</v>
      </c>
      <c r="ED406" s="1">
        <v>5.8</v>
      </c>
      <c r="EE406" s="54">
        <v>5.8</v>
      </c>
      <c r="EF406" s="1">
        <v>3.6</v>
      </c>
      <c r="EG406" s="1">
        <v>2.9000000000000004</v>
      </c>
      <c r="EH406" s="54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39">
        <v>0.72</v>
      </c>
      <c r="DC407" s="39">
        <v>0.8</v>
      </c>
      <c r="DD407" s="39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6">
        <f>Tabelle5897112140[[#This Row],[Durchschnittsauslastung max]]*Tabelle5897112140[[#This Row],[installierte Leistung MW max]]</f>
        <v>189.42</v>
      </c>
      <c r="DH407" s="46">
        <f>Tabelle5897112140[[#This Row],[Maximalauslastung min]]*Tabelle5897112140[[#This Row],[installierte Leistung MW min]]</f>
        <v>158.90700000000001</v>
      </c>
      <c r="DI407" s="46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4">
        <v>1</v>
      </c>
      <c r="DT407" s="1">
        <v>0.24374999999999999</v>
      </c>
      <c r="DU407" s="1">
        <v>2.7777777777777778E-4</v>
      </c>
      <c r="DV407" s="54">
        <v>1</v>
      </c>
      <c r="DW407" s="1">
        <v>2.8</v>
      </c>
      <c r="DX407" s="1">
        <v>2.5</v>
      </c>
      <c r="DY407" s="54">
        <v>3.0999999999999996</v>
      </c>
      <c r="DZ407" s="1">
        <v>3.6</v>
      </c>
      <c r="EA407" s="1">
        <v>2.9000000000000004</v>
      </c>
      <c r="EB407" s="54">
        <v>4.3</v>
      </c>
      <c r="EC407" s="1">
        <v>5.8</v>
      </c>
      <c r="ED407" s="1">
        <v>5.8</v>
      </c>
      <c r="EE407" s="54">
        <v>5.8</v>
      </c>
      <c r="EF407" s="1">
        <v>3.6</v>
      </c>
      <c r="EG407" s="1">
        <v>2.9000000000000004</v>
      </c>
      <c r="EH407" s="54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39">
        <v>0.72</v>
      </c>
      <c r="DC408" s="39">
        <v>0.8</v>
      </c>
      <c r="DD408" s="39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6">
        <f>Tabelle5897112140[[#This Row],[Durchschnittsauslastung max]]*Tabelle5897112140[[#This Row],[installierte Leistung MW max]]</f>
        <v>191.22400000000002</v>
      </c>
      <c r="DH408" s="46">
        <f>Tabelle5897112140[[#This Row],[Maximalauslastung min]]*Tabelle5897112140[[#This Row],[installierte Leistung MW min]]</f>
        <v>160.4204</v>
      </c>
      <c r="DI408" s="46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4">
        <v>1</v>
      </c>
      <c r="DT408" s="1">
        <v>0.24374999999999999</v>
      </c>
      <c r="DU408" s="1">
        <v>2.7777777777777778E-4</v>
      </c>
      <c r="DV408" s="54">
        <v>1</v>
      </c>
      <c r="DW408" s="1">
        <v>2.8</v>
      </c>
      <c r="DX408" s="1">
        <v>2.5</v>
      </c>
      <c r="DY408" s="54">
        <v>3.0999999999999996</v>
      </c>
      <c r="DZ408" s="1">
        <v>3.6</v>
      </c>
      <c r="EA408" s="1">
        <v>2.9000000000000004</v>
      </c>
      <c r="EB408" s="54">
        <v>4.3</v>
      </c>
      <c r="EC408" s="1">
        <v>5.8</v>
      </c>
      <c r="ED408" s="1">
        <v>5.8</v>
      </c>
      <c r="EE408" s="54">
        <v>5.8</v>
      </c>
      <c r="EF408" s="1">
        <v>3.6</v>
      </c>
      <c r="EG408" s="1">
        <v>2.9000000000000004</v>
      </c>
      <c r="EH408" s="54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39">
        <v>0.72</v>
      </c>
      <c r="DC409" s="39">
        <v>0.8</v>
      </c>
      <c r="DD409" s="39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6">
        <f>Tabelle5897112140[[#This Row],[Durchschnittsauslastung max]]*Tabelle5897112140[[#This Row],[installierte Leistung MW max]]</f>
        <v>193.02800000000002</v>
      </c>
      <c r="DH409" s="46">
        <f>Tabelle5897112140[[#This Row],[Maximalauslastung min]]*Tabelle5897112140[[#This Row],[installierte Leistung MW min]]</f>
        <v>161.93379999999999</v>
      </c>
      <c r="DI409" s="46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4">
        <v>1</v>
      </c>
      <c r="DT409" s="1">
        <v>0.24374999999999999</v>
      </c>
      <c r="DU409" s="1">
        <v>2.7777777777777778E-4</v>
      </c>
      <c r="DV409" s="54">
        <v>1</v>
      </c>
      <c r="DW409" s="1">
        <v>2.8</v>
      </c>
      <c r="DX409" s="1">
        <v>2.5</v>
      </c>
      <c r="DY409" s="54">
        <v>3.0999999999999996</v>
      </c>
      <c r="DZ409" s="1">
        <v>3.6</v>
      </c>
      <c r="EA409" s="1">
        <v>2.9000000000000004</v>
      </c>
      <c r="EB409" s="54">
        <v>4.3</v>
      </c>
      <c r="EC409" s="1">
        <v>5.8</v>
      </c>
      <c r="ED409" s="1">
        <v>5.8</v>
      </c>
      <c r="EE409" s="54">
        <v>5.8</v>
      </c>
      <c r="EF409" s="1">
        <v>3.6</v>
      </c>
      <c r="EG409" s="1">
        <v>2.9000000000000004</v>
      </c>
      <c r="EH409" s="54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39">
        <v>0.80401221995926675</v>
      </c>
      <c r="DC410" s="39">
        <v>0.84730659025787969</v>
      </c>
      <c r="DD410" s="39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6">
        <f>Tabelle5897112140[[#This Row],[Durchschnittsauslastung max]]*Tabelle5897112140[[#This Row],[installierte Leistung MW max]]</f>
        <v>677.84151381215474</v>
      </c>
      <c r="DH410" s="46">
        <f>Tabelle5897112140[[#This Row],[Maximalauslastung min]]*Tabelle5897112140[[#This Row],[installierte Leistung MW min]]</f>
        <v>598.78</v>
      </c>
      <c r="DI410" s="46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4">
        <v>0.5</v>
      </c>
      <c r="DT410" s="1">
        <v>0.77166666666666672</v>
      </c>
      <c r="DU410" s="1">
        <v>8.3333333333333329E-2</v>
      </c>
      <c r="DV410" s="54">
        <v>3</v>
      </c>
      <c r="DW410" s="1">
        <v>1.3</v>
      </c>
      <c r="DX410" s="1">
        <v>0.5</v>
      </c>
      <c r="DY410" s="54">
        <v>2.4</v>
      </c>
      <c r="DZ410" s="1">
        <v>3.4</v>
      </c>
      <c r="EA410" s="1">
        <v>1.6</v>
      </c>
      <c r="EB410" s="54">
        <v>5.8999999999999995</v>
      </c>
      <c r="EC410" s="1">
        <v>4.3</v>
      </c>
      <c r="ED410" s="1">
        <v>4.3</v>
      </c>
      <c r="EE410" s="54">
        <v>4.3</v>
      </c>
      <c r="EF410" s="1">
        <v>3.4</v>
      </c>
      <c r="EG410" s="1">
        <v>1.6</v>
      </c>
      <c r="EH410" s="54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39">
        <v>0.80581395348837215</v>
      </c>
      <c r="DC411" s="39">
        <v>0.84754284054603546</v>
      </c>
      <c r="DD411" s="39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6">
        <f>Tabelle5897112140[[#This Row],[Durchschnittsauslastung max]]*Tabelle5897112140[[#This Row],[installierte Leistung MW max]]</f>
        <v>732.20510000000002</v>
      </c>
      <c r="DH411" s="46">
        <f>Tabelle5897112140[[#This Row],[Maximalauslastung min]]*Tabelle5897112140[[#This Row],[installierte Leistung MW min]]</f>
        <v>653.59140000000002</v>
      </c>
      <c r="DI411" s="46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4">
        <v>0.5</v>
      </c>
      <c r="DT411" s="1">
        <v>0.77166666666666683</v>
      </c>
      <c r="DU411" s="1">
        <v>8.3333333333333329E-2</v>
      </c>
      <c r="DV411" s="54">
        <v>3</v>
      </c>
      <c r="DW411" s="1">
        <v>0.77200116177751965</v>
      </c>
      <c r="DX411" s="1">
        <v>0.5</v>
      </c>
      <c r="DY411" s="54">
        <v>2.4</v>
      </c>
      <c r="DZ411" s="1">
        <v>2.4948591344757483</v>
      </c>
      <c r="EA411" s="1">
        <v>1.6</v>
      </c>
      <c r="EB411" s="54">
        <v>5.8999999999999995</v>
      </c>
      <c r="EC411" s="1">
        <v>3.0177171071739766</v>
      </c>
      <c r="ED411" s="1">
        <v>2.3674418604651164</v>
      </c>
      <c r="EE411" s="54">
        <v>2.6029526238088847</v>
      </c>
      <c r="EF411" s="1">
        <v>2.4948591344757483</v>
      </c>
      <c r="EG411" s="1">
        <v>1.6</v>
      </c>
      <c r="EH411" s="54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39">
        <v>0.80624273724983864</v>
      </c>
      <c r="DC412" s="39">
        <v>0.84778156249239689</v>
      </c>
      <c r="DD412" s="39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6">
        <f>Tabelle5897112140[[#This Row],[Durchschnittsauslastung max]]*Tabelle5897112140[[#This Row],[installierte Leistung MW max]]</f>
        <v>790.37329999999986</v>
      </c>
      <c r="DH412" s="46">
        <f>Tabelle5897112140[[#This Row],[Maximalauslastung min]]*Tabelle5897112140[[#This Row],[installierte Leistung MW min]]</f>
        <v>713.46939999999995</v>
      </c>
      <c r="DI412" s="46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4">
        <v>0.5</v>
      </c>
      <c r="DT412" s="1">
        <v>0.77166666666666672</v>
      </c>
      <c r="DU412" s="1">
        <v>8.3333333333333329E-2</v>
      </c>
      <c r="DV412" s="54">
        <v>3</v>
      </c>
      <c r="DW412" s="1">
        <v>0.75529062553222559</v>
      </c>
      <c r="DX412" s="1">
        <v>0.5</v>
      </c>
      <c r="DY412" s="54">
        <v>2.4</v>
      </c>
      <c r="DZ412" s="1">
        <v>2.4662125009123868</v>
      </c>
      <c r="EA412" s="1">
        <v>1.6</v>
      </c>
      <c r="EB412" s="54">
        <v>5.8999999999999995</v>
      </c>
      <c r="EC412" s="1">
        <v>2.9771343762925482</v>
      </c>
      <c r="ED412" s="1">
        <v>2.3502905100064559</v>
      </c>
      <c r="EE412" s="54">
        <v>2.5656282837869906</v>
      </c>
      <c r="EF412" s="1">
        <v>2.4662125009123868</v>
      </c>
      <c r="EG412" s="1">
        <v>1.6</v>
      </c>
      <c r="EH412" s="54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39">
        <v>0.8063909774436091</v>
      </c>
      <c r="DC413" s="39">
        <v>0.84786474847380633</v>
      </c>
      <c r="DD413" s="39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6">
        <f>Tabelle5897112140[[#This Row],[Durchschnittsauslastung max]]*Tabelle5897112140[[#This Row],[installierte Leistung MW max]]</f>
        <v>811.18040000000008</v>
      </c>
      <c r="DH413" s="46">
        <f>Tabelle5897112140[[#This Row],[Maximalauslastung min]]*Tabelle5897112140[[#This Row],[installierte Leistung MW min]]</f>
        <v>735.11759999999992</v>
      </c>
      <c r="DI413" s="46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4">
        <v>0.5</v>
      </c>
      <c r="DT413" s="1">
        <v>0.77166666666666661</v>
      </c>
      <c r="DU413" s="1">
        <v>8.3333333333333329E-2</v>
      </c>
      <c r="DV413" s="54">
        <v>3</v>
      </c>
      <c r="DW413" s="1">
        <v>0.74946760683356195</v>
      </c>
      <c r="DX413" s="1">
        <v>0.5</v>
      </c>
      <c r="DY413" s="54">
        <v>2.4</v>
      </c>
      <c r="DZ413" s="1">
        <v>2.4562301831432491</v>
      </c>
      <c r="EA413" s="1">
        <v>1.6</v>
      </c>
      <c r="EB413" s="54">
        <v>5.8999999999999995</v>
      </c>
      <c r="EC413" s="1">
        <v>2.9629927594529364</v>
      </c>
      <c r="ED413" s="1">
        <v>2.3443609022556395</v>
      </c>
      <c r="EE413" s="54">
        <v>2.5525340143542774</v>
      </c>
      <c r="EF413" s="1">
        <v>2.4562301831432491</v>
      </c>
      <c r="EG413" s="1">
        <v>1.6</v>
      </c>
      <c r="EH413" s="54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39">
        <v>0.80655589123867055</v>
      </c>
      <c r="DC414" s="39">
        <v>0.84795769010863353</v>
      </c>
      <c r="DD414" s="39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6">
        <f>Tabelle5897112140[[#This Row],[Durchschnittsauslastung max]]*Tabelle5897112140[[#This Row],[installierte Leistung MW max]]</f>
        <v>837.5055000000001</v>
      </c>
      <c r="DH414" s="46">
        <f>Tabelle5897112140[[#This Row],[Maximalauslastung min]]*Tabelle5897112140[[#This Row],[installierte Leistung MW min]]</f>
        <v>762.29299999999989</v>
      </c>
      <c r="DI414" s="46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4">
        <v>0.5</v>
      </c>
      <c r="DT414" s="1">
        <v>0.77166666666666683</v>
      </c>
      <c r="DU414" s="1">
        <v>8.3333333333333329E-2</v>
      </c>
      <c r="DV414" s="54">
        <v>3</v>
      </c>
      <c r="DW414" s="1">
        <v>0.74296169239565468</v>
      </c>
      <c r="DX414" s="1">
        <v>0.5</v>
      </c>
      <c r="DY414" s="54">
        <v>2.4</v>
      </c>
      <c r="DZ414" s="1">
        <v>2.4450771869639798</v>
      </c>
      <c r="EA414" s="1">
        <v>1.6</v>
      </c>
      <c r="EB414" s="54">
        <v>5.8999999999999995</v>
      </c>
      <c r="EC414" s="1">
        <v>2.9471926815323046</v>
      </c>
      <c r="ED414" s="1">
        <v>2.3377643504531727</v>
      </c>
      <c r="EE414" s="54">
        <v>2.5378497947870589</v>
      </c>
      <c r="EF414" s="1">
        <v>2.4450771869639798</v>
      </c>
      <c r="EG414" s="1">
        <v>1.6</v>
      </c>
      <c r="EH414" s="54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39">
        <v>0.80674255691768837</v>
      </c>
      <c r="DC415" s="39">
        <v>0.84806340134246028</v>
      </c>
      <c r="DD415" s="39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6">
        <f>Tabelle5897112140[[#This Row],[Durchschnittsauslastung max]]*Tabelle5897112140[[#This Row],[installierte Leistung MW max]]</f>
        <v>862.56569999999999</v>
      </c>
      <c r="DH415" s="46">
        <f>Tabelle5897112140[[#This Row],[Maximalauslastung min]]*Tabelle5897112140[[#This Row],[installierte Leistung MW min]]</f>
        <v>789.00780000000009</v>
      </c>
      <c r="DI415" s="46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4">
        <v>0.5</v>
      </c>
      <c r="DT415" s="1">
        <v>0.77166666666666683</v>
      </c>
      <c r="DU415" s="1">
        <v>8.3333333333333329E-2</v>
      </c>
      <c r="DV415" s="54">
        <v>3</v>
      </c>
      <c r="DW415" s="1">
        <v>0.7355619060277796</v>
      </c>
      <c r="DX415" s="1">
        <v>0.5</v>
      </c>
      <c r="DY415" s="54">
        <v>2.4</v>
      </c>
      <c r="DZ415" s="1">
        <v>2.4323918389047652</v>
      </c>
      <c r="EA415" s="1">
        <v>1.6</v>
      </c>
      <c r="EB415" s="54">
        <v>5.8999999999999995</v>
      </c>
      <c r="EC415" s="1">
        <v>2.9292217717817506</v>
      </c>
      <c r="ED415" s="1">
        <v>2.3302977232924693</v>
      </c>
      <c r="EE415" s="54">
        <v>2.521077959576516</v>
      </c>
      <c r="EF415" s="1">
        <v>2.4323918389047652</v>
      </c>
      <c r="EG415" s="1">
        <v>1.6</v>
      </c>
      <c r="EH415" s="54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39">
        <v>0.80688487584650104</v>
      </c>
      <c r="DC416" s="39">
        <v>0.84814436529053294</v>
      </c>
      <c r="DD416" s="39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6">
        <f>Tabelle5897112140[[#This Row],[Durchschnittsauslastung max]]*Tabelle5897112140[[#This Row],[installierte Leistung MW max]]</f>
        <v>888.89080000000013</v>
      </c>
      <c r="DH416" s="46">
        <f>Tabelle5897112140[[#This Row],[Maximalauslastung min]]*Tabelle5897112140[[#This Row],[installierte Leistung MW min]]</f>
        <v>816.18319999999994</v>
      </c>
      <c r="DI416" s="46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4">
        <v>0.5</v>
      </c>
      <c r="DT416" s="1">
        <v>0.77166666666666672</v>
      </c>
      <c r="DU416" s="1">
        <v>8.3333333333333329E-2</v>
      </c>
      <c r="DV416" s="54">
        <v>3</v>
      </c>
      <c r="DW416" s="1">
        <v>0.72989442966268991</v>
      </c>
      <c r="DX416" s="1">
        <v>0.5</v>
      </c>
      <c r="DY416" s="54">
        <v>2.4</v>
      </c>
      <c r="DZ416" s="1">
        <v>2.42267616513604</v>
      </c>
      <c r="EA416" s="1">
        <v>1.6</v>
      </c>
      <c r="EB416" s="54">
        <v>5.8999999999999995</v>
      </c>
      <c r="EC416" s="1">
        <v>2.9154579006093897</v>
      </c>
      <c r="ED416" s="1">
        <v>2.324604966139955</v>
      </c>
      <c r="EE416" s="54">
        <v>2.5081817086395954</v>
      </c>
      <c r="EF416" s="1">
        <v>2.42267616513604</v>
      </c>
      <c r="EG416" s="1">
        <v>1.6</v>
      </c>
      <c r="EH416" s="54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39">
        <v>0.80701802293828495</v>
      </c>
      <c r="DC417" s="39">
        <v>0.84822040069070259</v>
      </c>
      <c r="DD417" s="39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6">
        <f>Tabelle5897112140[[#This Row],[Durchschnittsauslastung max]]*Tabelle5897112140[[#This Row],[installierte Leistung MW max]]</f>
        <v>915.21589999999992</v>
      </c>
      <c r="DH417" s="46">
        <f>Tabelle5897112140[[#This Row],[Maximalauslastung min]]*Tabelle5897112140[[#This Row],[installierte Leistung MW min]]</f>
        <v>843.35860000000002</v>
      </c>
      <c r="DI417" s="46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4">
        <v>0.5</v>
      </c>
      <c r="DT417" s="1">
        <v>0.77166666666666672</v>
      </c>
      <c r="DU417" s="1">
        <v>8.3333333333333329E-2</v>
      </c>
      <c r="DV417" s="54">
        <v>3</v>
      </c>
      <c r="DW417" s="1">
        <v>0.72457195165082078</v>
      </c>
      <c r="DX417" s="1">
        <v>0.5</v>
      </c>
      <c r="DY417" s="54">
        <v>2.4</v>
      </c>
      <c r="DZ417" s="1">
        <v>2.4135519171156927</v>
      </c>
      <c r="EA417" s="1">
        <v>1.6</v>
      </c>
      <c r="EB417" s="54">
        <v>5.8999999999999995</v>
      </c>
      <c r="EC417" s="1">
        <v>2.9025318825805648</v>
      </c>
      <c r="ED417" s="1">
        <v>2.3192790824685967</v>
      </c>
      <c r="EE417" s="54">
        <v>2.4960301904455431</v>
      </c>
      <c r="EF417" s="1">
        <v>2.4135519171156927</v>
      </c>
      <c r="EG417" s="1">
        <v>1.6</v>
      </c>
      <c r="EH417" s="54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946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39">
        <v>0.66094594594594591</v>
      </c>
      <c r="DC418" s="39">
        <v>0.70128691983122371</v>
      </c>
      <c r="DD418" s="39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6">
        <f>Tabelle5897112140[[#This Row],[Durchschnittsauslastung max]]*Tabelle5897112140[[#This Row],[installierte Leistung MW max]]</f>
        <v>428.59000000000003</v>
      </c>
      <c r="DH418" s="46">
        <f>Tabelle5897112140[[#This Row],[Maximalauslastung min]]*Tabelle5897112140[[#This Row],[installierte Leistung MW min]]</f>
        <v>296.34999999999997</v>
      </c>
      <c r="DI418" s="46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4">
        <v>0.25</v>
      </c>
      <c r="DT418" s="1">
        <v>0.27083333333333331</v>
      </c>
      <c r="DU418" s="1">
        <v>8.3333333333333329E-2</v>
      </c>
      <c r="DV418" s="54">
        <v>0.5</v>
      </c>
      <c r="DW418" s="1">
        <v>9.9499999999999993</v>
      </c>
      <c r="DX418" s="1">
        <v>4</v>
      </c>
      <c r="DY418" s="54">
        <v>16.399999999999999</v>
      </c>
      <c r="DZ418" s="1">
        <v>13.600000000000001</v>
      </c>
      <c r="EA418" s="1">
        <v>4.8</v>
      </c>
      <c r="EB418" s="54">
        <v>24.900000000000002</v>
      </c>
      <c r="EC418" s="1">
        <v>21.4</v>
      </c>
      <c r="ED418" s="1">
        <v>21.4</v>
      </c>
      <c r="EE418" s="54">
        <v>21.4</v>
      </c>
      <c r="EF418" s="1">
        <v>13.600000000000001</v>
      </c>
      <c r="EG418" s="1">
        <v>4.8</v>
      </c>
      <c r="EH418" s="54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946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39">
        <v>0.66094594594594591</v>
      </c>
      <c r="DC419" s="39">
        <v>0.70128691983122371</v>
      </c>
      <c r="DD419" s="39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6">
        <f>Tabelle5897112140[[#This Row],[Durchschnittsauslastung max]]*Tabelle5897112140[[#This Row],[installierte Leistung MW max]]</f>
        <v>420.01819999999998</v>
      </c>
      <c r="DH419" s="46">
        <f>Tabelle5897112140[[#This Row],[Maximalauslastung min]]*Tabelle5897112140[[#This Row],[installierte Leistung MW min]]</f>
        <v>290.42299999999994</v>
      </c>
      <c r="DI419" s="46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4">
        <v>0.25</v>
      </c>
      <c r="DT419" s="1">
        <v>0.27083333333333337</v>
      </c>
      <c r="DU419" s="1">
        <v>8.3333333333333329E-2</v>
      </c>
      <c r="DV419" s="54">
        <v>0.5</v>
      </c>
      <c r="DW419" s="1">
        <v>10.994303797468355</v>
      </c>
      <c r="DX419" s="1">
        <v>4</v>
      </c>
      <c r="DY419" s="54">
        <v>16.399999999999999</v>
      </c>
      <c r="DZ419" s="1">
        <v>15.076793248945149</v>
      </c>
      <c r="EA419" s="1">
        <v>4.8</v>
      </c>
      <c r="EB419" s="54">
        <v>24.900000000000002</v>
      </c>
      <c r="EC419" s="1">
        <v>23.657383966244726</v>
      </c>
      <c r="ED419" s="1">
        <v>15.113513513513514</v>
      </c>
      <c r="EE419" s="54">
        <v>15.053287197231835</v>
      </c>
      <c r="EF419" s="1">
        <v>15.076793248945149</v>
      </c>
      <c r="EG419" s="1">
        <v>4.8</v>
      </c>
      <c r="EH419" s="54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946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39">
        <v>0.66094594594594591</v>
      </c>
      <c r="DC420" s="39">
        <v>0.70128691983122371</v>
      </c>
      <c r="DD420" s="39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6">
        <f>Tabelle5897112140[[#This Row],[Durchschnittsauslastung max]]*Tabelle5897112140[[#This Row],[installierte Leistung MW max]]</f>
        <v>407.16050000000001</v>
      </c>
      <c r="DH420" s="46">
        <f>Tabelle5897112140[[#This Row],[Maximalauslastung min]]*Tabelle5897112140[[#This Row],[installierte Leistung MW min]]</f>
        <v>281.53249999999997</v>
      </c>
      <c r="DI420" s="46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4">
        <v>0.25</v>
      </c>
      <c r="DT420" s="1">
        <v>0.27083333333333337</v>
      </c>
      <c r="DU420" s="1">
        <v>8.3333333333333329E-2</v>
      </c>
      <c r="DV420" s="54">
        <v>0.5</v>
      </c>
      <c r="DW420" s="1">
        <v>10.994303797468355</v>
      </c>
      <c r="DX420" s="1">
        <v>4</v>
      </c>
      <c r="DY420" s="54">
        <v>16.399999999999999</v>
      </c>
      <c r="DZ420" s="1">
        <v>15.076793248945149</v>
      </c>
      <c r="EA420" s="1">
        <v>4.8</v>
      </c>
      <c r="EB420" s="54">
        <v>24.900000000000002</v>
      </c>
      <c r="EC420" s="1">
        <v>23.65738396624473</v>
      </c>
      <c r="ED420" s="1">
        <v>15.113513513513514</v>
      </c>
      <c r="EE420" s="54">
        <v>15.053287197231835</v>
      </c>
      <c r="EF420" s="1">
        <v>15.076793248945149</v>
      </c>
      <c r="EG420" s="1">
        <v>4.8</v>
      </c>
      <c r="EH420" s="54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946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39">
        <v>0.66094594594594591</v>
      </c>
      <c r="DC421" s="39">
        <v>0.70128691983122349</v>
      </c>
      <c r="DD421" s="39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6">
        <f>Tabelle5897112140[[#This Row],[Durchschnittsauslastung max]]*Tabelle5897112140[[#This Row],[installierte Leistung MW max]]</f>
        <v>398.58869999999996</v>
      </c>
      <c r="DH421" s="46">
        <f>Tabelle5897112140[[#This Row],[Maximalauslastung min]]*Tabelle5897112140[[#This Row],[installierte Leistung MW min]]</f>
        <v>275.60549999999995</v>
      </c>
      <c r="DI421" s="46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4">
        <v>0.25</v>
      </c>
      <c r="DT421" s="1">
        <v>0.27083333333333326</v>
      </c>
      <c r="DU421" s="1">
        <v>8.3333333333333329E-2</v>
      </c>
      <c r="DV421" s="54">
        <v>0.5</v>
      </c>
      <c r="DW421" s="1">
        <v>10.994303797468353</v>
      </c>
      <c r="DX421" s="1">
        <v>4</v>
      </c>
      <c r="DY421" s="54">
        <v>16.399999999999999</v>
      </c>
      <c r="DZ421" s="1">
        <v>15.076793248945147</v>
      </c>
      <c r="EA421" s="1">
        <v>4.8</v>
      </c>
      <c r="EB421" s="54">
        <v>24.900000000000002</v>
      </c>
      <c r="EC421" s="1">
        <v>23.657383966244723</v>
      </c>
      <c r="ED421" s="1">
        <v>15.113513513513514</v>
      </c>
      <c r="EE421" s="54">
        <v>15.053287197231835</v>
      </c>
      <c r="EF421" s="1">
        <v>15.076793248945147</v>
      </c>
      <c r="EG421" s="1">
        <v>4.8</v>
      </c>
      <c r="EH421" s="54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946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39">
        <v>0.66094594594594591</v>
      </c>
      <c r="DC422" s="39">
        <v>0.70128691983122371</v>
      </c>
      <c r="DD422" s="39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6">
        <f>Tabelle5897112140[[#This Row],[Durchschnittsauslastung max]]*Tabelle5897112140[[#This Row],[installierte Leistung MW max]]</f>
        <v>385.73100000000005</v>
      </c>
      <c r="DH422" s="46">
        <f>Tabelle5897112140[[#This Row],[Maximalauslastung min]]*Tabelle5897112140[[#This Row],[installierte Leistung MW min]]</f>
        <v>266.71499999999997</v>
      </c>
      <c r="DI422" s="46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4">
        <v>0.25</v>
      </c>
      <c r="DT422" s="1">
        <v>0.27083333333333337</v>
      </c>
      <c r="DU422" s="1">
        <v>8.3333333333333329E-2</v>
      </c>
      <c r="DV422" s="54">
        <v>0.5</v>
      </c>
      <c r="DW422" s="1">
        <v>10.994303797468355</v>
      </c>
      <c r="DX422" s="1">
        <v>4</v>
      </c>
      <c r="DY422" s="54">
        <v>16.399999999999999</v>
      </c>
      <c r="DZ422" s="1">
        <v>15.076793248945149</v>
      </c>
      <c r="EA422" s="1">
        <v>4.8</v>
      </c>
      <c r="EB422" s="54">
        <v>24.900000000000002</v>
      </c>
      <c r="EC422" s="1">
        <v>23.657383966244726</v>
      </c>
      <c r="ED422" s="1">
        <v>15.113513513513514</v>
      </c>
      <c r="EE422" s="54">
        <v>15.053287197231835</v>
      </c>
      <c r="EF422" s="1">
        <v>15.076793248945149</v>
      </c>
      <c r="EG422" s="1">
        <v>4.8</v>
      </c>
      <c r="EH422" s="54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946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39">
        <v>0.66094594594594591</v>
      </c>
      <c r="DC423" s="39">
        <v>0.70128691983122371</v>
      </c>
      <c r="DD423" s="39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6">
        <f>Tabelle5897112140[[#This Row],[Durchschnittsauslastung max]]*Tabelle5897112140[[#This Row],[installierte Leistung MW max]]</f>
        <v>377.1592</v>
      </c>
      <c r="DH423" s="46">
        <f>Tabelle5897112140[[#This Row],[Maximalauslastung min]]*Tabelle5897112140[[#This Row],[installierte Leistung MW min]]</f>
        <v>260.78799999999995</v>
      </c>
      <c r="DI423" s="46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4">
        <v>0.25</v>
      </c>
      <c r="DT423" s="1">
        <v>0.27083333333333337</v>
      </c>
      <c r="DU423" s="1">
        <v>8.3333333333333329E-2</v>
      </c>
      <c r="DV423" s="54">
        <v>0.5</v>
      </c>
      <c r="DW423" s="1">
        <v>10.994303797468355</v>
      </c>
      <c r="DX423" s="1">
        <v>4</v>
      </c>
      <c r="DY423" s="54">
        <v>16.399999999999999</v>
      </c>
      <c r="DZ423" s="1">
        <v>15.076793248945149</v>
      </c>
      <c r="EA423" s="1">
        <v>4.8</v>
      </c>
      <c r="EB423" s="54">
        <v>24.900000000000002</v>
      </c>
      <c r="EC423" s="1">
        <v>23.657383966244726</v>
      </c>
      <c r="ED423" s="1">
        <v>15.113513513513514</v>
      </c>
      <c r="EE423" s="54">
        <v>15.053287197231835</v>
      </c>
      <c r="EF423" s="1">
        <v>15.076793248945149</v>
      </c>
      <c r="EG423" s="1">
        <v>4.8</v>
      </c>
      <c r="EH423" s="54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946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39">
        <v>0.66094594594594591</v>
      </c>
      <c r="DC424" s="39">
        <v>0.70128691983122371</v>
      </c>
      <c r="DD424" s="39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6">
        <f>Tabelle5897112140[[#This Row],[Durchschnittsauslastung max]]*Tabelle5897112140[[#This Row],[installierte Leistung MW max]]</f>
        <v>368.5874</v>
      </c>
      <c r="DH424" s="46">
        <f>Tabelle5897112140[[#This Row],[Maximalauslastung min]]*Tabelle5897112140[[#This Row],[installierte Leistung MW min]]</f>
        <v>254.86099999999999</v>
      </c>
      <c r="DI424" s="46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4">
        <v>0.25</v>
      </c>
      <c r="DT424" s="1">
        <v>0.27083333333333337</v>
      </c>
      <c r="DU424" s="1">
        <v>8.3333333333333329E-2</v>
      </c>
      <c r="DV424" s="54">
        <v>0.5</v>
      </c>
      <c r="DW424" s="1">
        <v>10.994303797468355</v>
      </c>
      <c r="DX424" s="1">
        <v>4</v>
      </c>
      <c r="DY424" s="54">
        <v>16.399999999999999</v>
      </c>
      <c r="DZ424" s="1">
        <v>15.076793248945149</v>
      </c>
      <c r="EA424" s="1">
        <v>4.8</v>
      </c>
      <c r="EB424" s="54">
        <v>24.900000000000002</v>
      </c>
      <c r="EC424" s="1">
        <v>23.657383966244726</v>
      </c>
      <c r="ED424" s="1">
        <v>15.113513513513514</v>
      </c>
      <c r="EE424" s="54">
        <v>15.053287197231835</v>
      </c>
      <c r="EF424" s="1">
        <v>15.076793248945149</v>
      </c>
      <c r="EG424" s="1">
        <v>4.8</v>
      </c>
      <c r="EH424" s="54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946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39">
        <v>0.66094594594594591</v>
      </c>
      <c r="DC425" s="39">
        <v>0.70128691983122371</v>
      </c>
      <c r="DD425" s="39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6">
        <f>Tabelle5897112140[[#This Row],[Durchschnittsauslastung max]]*Tabelle5897112140[[#This Row],[installierte Leistung MW max]]</f>
        <v>360.01560000000001</v>
      </c>
      <c r="DH425" s="46">
        <f>Tabelle5897112140[[#This Row],[Maximalauslastung min]]*Tabelle5897112140[[#This Row],[installierte Leistung MW min]]</f>
        <v>248.93399999999997</v>
      </c>
      <c r="DI425" s="46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4">
        <v>0.25</v>
      </c>
      <c r="DT425" s="1">
        <v>0.27083333333333337</v>
      </c>
      <c r="DU425" s="1">
        <v>8.3333333333333329E-2</v>
      </c>
      <c r="DV425" s="54">
        <v>0.5</v>
      </c>
      <c r="DW425" s="1">
        <v>10.994303797468355</v>
      </c>
      <c r="DX425" s="1">
        <v>4</v>
      </c>
      <c r="DY425" s="54">
        <v>16.399999999999999</v>
      </c>
      <c r="DZ425" s="1">
        <v>15.076793248945149</v>
      </c>
      <c r="EA425" s="1">
        <v>4.8</v>
      </c>
      <c r="EB425" s="54">
        <v>24.900000000000002</v>
      </c>
      <c r="EC425" s="1">
        <v>23.657383966244726</v>
      </c>
      <c r="ED425" s="1">
        <v>15.113513513513514</v>
      </c>
      <c r="EE425" s="54">
        <v>15.053287197231832</v>
      </c>
      <c r="EF425" s="1">
        <v>15.076793248945149</v>
      </c>
      <c r="EG425" s="1">
        <v>4.8</v>
      </c>
      <c r="EH425" s="54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39">
        <v>0.84802816901408451</v>
      </c>
      <c r="DC426" s="39">
        <v>0.88100558659217887</v>
      </c>
      <c r="DD426" s="39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6">
        <f>Tabelle5897112140[[#This Row],[Durchschnittsauslastung max]]*Tabelle5897112140[[#This Row],[installierte Leistung MW max]]</f>
        <v>197.72</v>
      </c>
      <c r="DH426" s="46">
        <f>Tabelle5897112140[[#This Row],[Maximalauslastung min]]*Tabelle5897112140[[#This Row],[installierte Leistung MW min]]</f>
        <v>135.64000000000001</v>
      </c>
      <c r="DI426" s="46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4">
        <v>0.25</v>
      </c>
      <c r="DT426" s="1">
        <v>0.10624999999999998</v>
      </c>
      <c r="DU426" s="1">
        <v>8.3333333333333332E-3</v>
      </c>
      <c r="DV426" s="54">
        <v>0.25</v>
      </c>
      <c r="DW426" s="1">
        <v>3</v>
      </c>
      <c r="DX426" s="1">
        <v>1.6</v>
      </c>
      <c r="DY426" s="54">
        <v>7.2</v>
      </c>
      <c r="DZ426" s="1">
        <v>4.5500000000000007</v>
      </c>
      <c r="EA426" s="1">
        <v>3.1999999999999997</v>
      </c>
      <c r="EB426" s="54">
        <v>6.8000000000000007</v>
      </c>
      <c r="EC426" s="1">
        <v>7</v>
      </c>
      <c r="ED426" s="1">
        <v>7</v>
      </c>
      <c r="EE426" s="54">
        <v>7</v>
      </c>
      <c r="EF426" s="1">
        <v>4.5500000000000007</v>
      </c>
      <c r="EG426" s="1">
        <v>3.1999999999999997</v>
      </c>
      <c r="EH426" s="54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39">
        <v>0.84802816901408451</v>
      </c>
      <c r="DC427" s="39">
        <v>0.88100558659217887</v>
      </c>
      <c r="DD427" s="39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6">
        <f>Tabelle5897112140[[#This Row],[Durchschnittsauslastung max]]*Tabelle5897112140[[#This Row],[installierte Leistung MW max]]</f>
        <v>197.72</v>
      </c>
      <c r="DH427" s="46">
        <f>Tabelle5897112140[[#This Row],[Maximalauslastung min]]*Tabelle5897112140[[#This Row],[installierte Leistung MW min]]</f>
        <v>135.64000000000001</v>
      </c>
      <c r="DI427" s="46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4">
        <v>0.25</v>
      </c>
      <c r="DT427" s="1">
        <v>8.8466014897579132E-2</v>
      </c>
      <c r="DU427" s="1">
        <v>8.3333333333333332E-3</v>
      </c>
      <c r="DV427" s="54">
        <v>0.25</v>
      </c>
      <c r="DW427" s="1">
        <v>3.58659217877095</v>
      </c>
      <c r="DX427" s="1">
        <v>1.6</v>
      </c>
      <c r="DY427" s="54">
        <v>7.2</v>
      </c>
      <c r="DZ427" s="1">
        <v>4.3932960893854744</v>
      </c>
      <c r="EA427" s="1">
        <v>3.1999999999999997</v>
      </c>
      <c r="EB427" s="54">
        <v>6.8000000000000007</v>
      </c>
      <c r="EC427" s="1">
        <v>7.5865921787709496</v>
      </c>
      <c r="ED427" s="1">
        <v>4.3774647887323948</v>
      </c>
      <c r="EE427" s="54">
        <v>4.4037037037037035</v>
      </c>
      <c r="EF427" s="1">
        <v>4.3932960893854744</v>
      </c>
      <c r="EG427" s="1">
        <v>3.1999999999999997</v>
      </c>
      <c r="EH427" s="54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39">
        <v>0.84802816901408451</v>
      </c>
      <c r="DC428" s="39">
        <v>0.88100558659217887</v>
      </c>
      <c r="DD428" s="39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6">
        <f>Tabelle5897112140[[#This Row],[Durchschnittsauslastung max]]*Tabelle5897112140[[#This Row],[installierte Leistung MW max]]</f>
        <v>197.72</v>
      </c>
      <c r="DH428" s="46">
        <f>Tabelle5897112140[[#This Row],[Maximalauslastung min]]*Tabelle5897112140[[#This Row],[installierte Leistung MW min]]</f>
        <v>135.64000000000001</v>
      </c>
      <c r="DI428" s="46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4">
        <v>0.25</v>
      </c>
      <c r="DT428" s="1">
        <v>8.8466014897579132E-2</v>
      </c>
      <c r="DU428" s="1">
        <v>8.3333333333333332E-3</v>
      </c>
      <c r="DV428" s="54">
        <v>0.25</v>
      </c>
      <c r="DW428" s="1">
        <v>3.58659217877095</v>
      </c>
      <c r="DX428" s="1">
        <v>1.6</v>
      </c>
      <c r="DY428" s="54">
        <v>7.2</v>
      </c>
      <c r="DZ428" s="1">
        <v>4.3932960893854744</v>
      </c>
      <c r="EA428" s="1">
        <v>3.1999999999999997</v>
      </c>
      <c r="EB428" s="54">
        <v>6.8000000000000007</v>
      </c>
      <c r="EC428" s="1">
        <v>7.5865921787709496</v>
      </c>
      <c r="ED428" s="1">
        <v>4.3774647887323948</v>
      </c>
      <c r="EE428" s="54">
        <v>4.4037037037037035</v>
      </c>
      <c r="EF428" s="1">
        <v>4.3932960893854744</v>
      </c>
      <c r="EG428" s="1">
        <v>3.1999999999999997</v>
      </c>
      <c r="EH428" s="54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39">
        <v>0.84802816901408451</v>
      </c>
      <c r="DC429" s="39">
        <v>0.88100558659217887</v>
      </c>
      <c r="DD429" s="39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6">
        <f>Tabelle5897112140[[#This Row],[Durchschnittsauslastung max]]*Tabelle5897112140[[#This Row],[installierte Leistung MW max]]</f>
        <v>195.74280000000002</v>
      </c>
      <c r="DH429" s="46">
        <f>Tabelle5897112140[[#This Row],[Maximalauslastung min]]*Tabelle5897112140[[#This Row],[installierte Leistung MW min]]</f>
        <v>134.28360000000001</v>
      </c>
      <c r="DI429" s="46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4">
        <v>0.25</v>
      </c>
      <c r="DT429" s="1">
        <v>8.8466014897579132E-2</v>
      </c>
      <c r="DU429" s="1">
        <v>8.3333333333333332E-3</v>
      </c>
      <c r="DV429" s="54">
        <v>0.25</v>
      </c>
      <c r="DW429" s="1">
        <v>3.5865921787709505</v>
      </c>
      <c r="DX429" s="1">
        <v>1.6</v>
      </c>
      <c r="DY429" s="54">
        <v>7.2</v>
      </c>
      <c r="DZ429" s="1">
        <v>4.3932960893854753</v>
      </c>
      <c r="EA429" s="1">
        <v>3.1999999999999997</v>
      </c>
      <c r="EB429" s="54">
        <v>6.8000000000000007</v>
      </c>
      <c r="EC429" s="1">
        <v>7.5865921787709514</v>
      </c>
      <c r="ED429" s="1">
        <v>4.3774647887323948</v>
      </c>
      <c r="EE429" s="54">
        <v>4.4037037037037035</v>
      </c>
      <c r="EF429" s="1">
        <v>4.3932960893854753</v>
      </c>
      <c r="EG429" s="1">
        <v>3.1999999999999997</v>
      </c>
      <c r="EH429" s="54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39">
        <v>0.84802816901408451</v>
      </c>
      <c r="DC430" s="39">
        <v>0.88100558659217865</v>
      </c>
      <c r="DD430" s="39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6">
        <f>Tabelle5897112140[[#This Row],[Durchschnittsauslastung max]]*Tabelle5897112140[[#This Row],[installierte Leistung MW max]]</f>
        <v>193.76559999999998</v>
      </c>
      <c r="DH430" s="46">
        <f>Tabelle5897112140[[#This Row],[Maximalauslastung min]]*Tabelle5897112140[[#This Row],[installierte Leistung MW min]]</f>
        <v>132.9272</v>
      </c>
      <c r="DI430" s="46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4">
        <v>0.25</v>
      </c>
      <c r="DT430" s="1">
        <v>8.8466014897579132E-2</v>
      </c>
      <c r="DU430" s="1">
        <v>8.3333333333333332E-3</v>
      </c>
      <c r="DV430" s="54">
        <v>0.25</v>
      </c>
      <c r="DW430" s="1">
        <v>3.5865921787709496</v>
      </c>
      <c r="DX430" s="1">
        <v>1.6</v>
      </c>
      <c r="DY430" s="54">
        <v>7.2</v>
      </c>
      <c r="DZ430" s="1">
        <v>4.3932960893854744</v>
      </c>
      <c r="EA430" s="1">
        <v>3.1999999999999997</v>
      </c>
      <c r="EB430" s="54">
        <v>6.8000000000000007</v>
      </c>
      <c r="EC430" s="1">
        <v>7.5865921787709496</v>
      </c>
      <c r="ED430" s="1">
        <v>4.3774647887323948</v>
      </c>
      <c r="EE430" s="54">
        <v>4.4037037037037035</v>
      </c>
      <c r="EF430" s="1">
        <v>4.3932960893854744</v>
      </c>
      <c r="EG430" s="1">
        <v>3.1999999999999997</v>
      </c>
      <c r="EH430" s="54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39">
        <v>0.84802816901408451</v>
      </c>
      <c r="DC431" s="39">
        <v>0.88100558659217887</v>
      </c>
      <c r="DD431" s="39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6">
        <f>Tabelle5897112140[[#This Row],[Durchschnittsauslastung max]]*Tabelle5897112140[[#This Row],[installierte Leistung MW max]]</f>
        <v>189.81119999999999</v>
      </c>
      <c r="DH431" s="46">
        <f>Tabelle5897112140[[#This Row],[Maximalauslastung min]]*Tabelle5897112140[[#This Row],[installierte Leistung MW min]]</f>
        <v>130.21440000000001</v>
      </c>
      <c r="DI431" s="46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4">
        <v>0.25</v>
      </c>
      <c r="DT431" s="1">
        <v>8.8466014897579132E-2</v>
      </c>
      <c r="DU431" s="1">
        <v>8.3333333333333332E-3</v>
      </c>
      <c r="DV431" s="54">
        <v>0.25</v>
      </c>
      <c r="DW431" s="1">
        <v>3.58659217877095</v>
      </c>
      <c r="DX431" s="1">
        <v>1.6</v>
      </c>
      <c r="DY431" s="54">
        <v>7.2</v>
      </c>
      <c r="DZ431" s="1">
        <v>4.3932960893854753</v>
      </c>
      <c r="EA431" s="1">
        <v>3.1999999999999997</v>
      </c>
      <c r="EB431" s="54">
        <v>6.8000000000000007</v>
      </c>
      <c r="EC431" s="1">
        <v>7.5865921787709496</v>
      </c>
      <c r="ED431" s="1">
        <v>4.3774647887323948</v>
      </c>
      <c r="EE431" s="54">
        <v>4.4037037037037035</v>
      </c>
      <c r="EF431" s="1">
        <v>4.3932960893854753</v>
      </c>
      <c r="EG431" s="1">
        <v>3.1999999999999997</v>
      </c>
      <c r="EH431" s="54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39">
        <v>0.84802816901408429</v>
      </c>
      <c r="DC432" s="39">
        <v>0.88100558659217865</v>
      </c>
      <c r="DD432" s="39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6">
        <f>Tabelle5897112140[[#This Row],[Durchschnittsauslastung max]]*Tabelle5897112140[[#This Row],[installierte Leistung MW max]]</f>
        <v>187.83399999999997</v>
      </c>
      <c r="DH432" s="46">
        <f>Tabelle5897112140[[#This Row],[Maximalauslastung min]]*Tabelle5897112140[[#This Row],[installierte Leistung MW min]]</f>
        <v>128.85799999999998</v>
      </c>
      <c r="DI432" s="46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4">
        <v>0.25</v>
      </c>
      <c r="DT432" s="1">
        <v>8.8466014897579132E-2</v>
      </c>
      <c r="DU432" s="1">
        <v>8.3333333333333332E-3</v>
      </c>
      <c r="DV432" s="54">
        <v>0.25</v>
      </c>
      <c r="DW432" s="1">
        <v>3.5865921787709496</v>
      </c>
      <c r="DX432" s="1">
        <v>1.6</v>
      </c>
      <c r="DY432" s="54">
        <v>7.2</v>
      </c>
      <c r="DZ432" s="1">
        <v>4.3932960893854744</v>
      </c>
      <c r="EA432" s="1">
        <v>3.1999999999999997</v>
      </c>
      <c r="EB432" s="54">
        <v>6.8000000000000007</v>
      </c>
      <c r="EC432" s="1">
        <v>7.5865921787709496</v>
      </c>
      <c r="ED432" s="1">
        <v>4.3774647887323939</v>
      </c>
      <c r="EE432" s="54">
        <v>4.4037037037037035</v>
      </c>
      <c r="EF432" s="1">
        <v>4.3932960893854744</v>
      </c>
      <c r="EG432" s="1">
        <v>3.1999999999999997</v>
      </c>
      <c r="EH432" s="54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39">
        <v>0.84802816901408451</v>
      </c>
      <c r="DC433" s="39">
        <v>0.88100558659217865</v>
      </c>
      <c r="DD433" s="39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6">
        <f>Tabelle5897112140[[#This Row],[Durchschnittsauslastung max]]*Tabelle5897112140[[#This Row],[installierte Leistung MW max]]</f>
        <v>185.85679999999999</v>
      </c>
      <c r="DH433" s="46">
        <f>Tabelle5897112140[[#This Row],[Maximalauslastung min]]*Tabelle5897112140[[#This Row],[installierte Leistung MW min]]</f>
        <v>127.50160000000001</v>
      </c>
      <c r="DI433" s="46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4">
        <v>0.25</v>
      </c>
      <c r="DT433" s="1">
        <v>8.8466014897579132E-2</v>
      </c>
      <c r="DU433" s="1">
        <v>8.3333333333333332E-3</v>
      </c>
      <c r="DV433" s="54">
        <v>0.25</v>
      </c>
      <c r="DW433" s="1">
        <v>3.5865921787709496</v>
      </c>
      <c r="DX433" s="1">
        <v>1.6</v>
      </c>
      <c r="DY433" s="54">
        <v>7.2</v>
      </c>
      <c r="DZ433" s="1">
        <v>4.3932960893854744</v>
      </c>
      <c r="EA433" s="1">
        <v>3.1999999999999997</v>
      </c>
      <c r="EB433" s="54">
        <v>6.8000000000000007</v>
      </c>
      <c r="EC433" s="1">
        <v>7.5865921787709496</v>
      </c>
      <c r="ED433" s="1">
        <v>4.3774647887323948</v>
      </c>
      <c r="EE433" s="54">
        <v>4.4037037037037035</v>
      </c>
      <c r="EF433" s="1">
        <v>4.3932960893854744</v>
      </c>
      <c r="EG433" s="1">
        <v>3.1999999999999997</v>
      </c>
      <c r="EH433" s="54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0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0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0" t="s">
        <v>364</v>
      </c>
      <c r="B8" s="30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1134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0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946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0" t="s">
        <v>131</v>
      </c>
      <c r="B21" s="30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0" t="s">
        <v>285</v>
      </c>
      <c r="B23" s="30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0" t="s">
        <v>71</v>
      </c>
      <c r="B25" s="30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0" t="s">
        <v>29</v>
      </c>
      <c r="B27" s="30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0" t="s">
        <v>139</v>
      </c>
      <c r="B29" s="30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0" t="s">
        <v>140</v>
      </c>
      <c r="B31" s="30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8"/>
  <sheetViews>
    <sheetView workbookViewId="0">
      <selection activeCell="C24" sqref="C24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110" t="s">
        <v>247</v>
      </c>
      <c r="B2" s="110" t="s">
        <v>248</v>
      </c>
      <c r="C2" s="111" t="s">
        <v>252</v>
      </c>
      <c r="D2" s="110" t="s">
        <v>275</v>
      </c>
    </row>
    <row r="3" spans="1:4" ht="25.5" x14ac:dyDescent="0.2">
      <c r="A3" s="110" t="s">
        <v>933</v>
      </c>
      <c r="B3" s="110" t="s">
        <v>931</v>
      </c>
      <c r="C3" s="111" t="s">
        <v>932</v>
      </c>
      <c r="D3" s="110" t="s">
        <v>275</v>
      </c>
    </row>
    <row r="4" spans="1:4" ht="25.5" x14ac:dyDescent="0.2">
      <c r="A4" s="110" t="s">
        <v>348</v>
      </c>
      <c r="B4" s="110" t="s">
        <v>351</v>
      </c>
      <c r="C4" s="111" t="s">
        <v>356</v>
      </c>
      <c r="D4" s="110" t="s">
        <v>275</v>
      </c>
    </row>
    <row r="5" spans="1:4" ht="25.5" x14ac:dyDescent="0.2">
      <c r="A5" s="110" t="s">
        <v>849</v>
      </c>
      <c r="B5" s="110" t="s">
        <v>850</v>
      </c>
      <c r="C5" s="111" t="s">
        <v>851</v>
      </c>
      <c r="D5" s="110" t="s">
        <v>275</v>
      </c>
    </row>
    <row r="6" spans="1:4" ht="25.5" x14ac:dyDescent="0.2">
      <c r="A6" s="110" t="s">
        <v>349</v>
      </c>
      <c r="B6" s="110" t="s">
        <v>352</v>
      </c>
      <c r="C6" s="111" t="s">
        <v>357</v>
      </c>
      <c r="D6" s="110" t="s">
        <v>275</v>
      </c>
    </row>
    <row r="7" spans="1:4" ht="76.5" x14ac:dyDescent="0.2">
      <c r="A7" s="110" t="s">
        <v>267</v>
      </c>
      <c r="B7" s="110" t="s">
        <v>495</v>
      </c>
      <c r="C7" s="111" t="s">
        <v>496</v>
      </c>
      <c r="D7" s="110" t="s">
        <v>275</v>
      </c>
    </row>
    <row r="8" spans="1:4" x14ac:dyDescent="0.2">
      <c r="A8" s="110" t="s">
        <v>844</v>
      </c>
      <c r="B8" s="110" t="s">
        <v>845</v>
      </c>
      <c r="C8" s="111" t="s">
        <v>846</v>
      </c>
      <c r="D8" s="110" t="s">
        <v>275</v>
      </c>
    </row>
    <row r="9" spans="1:4" x14ac:dyDescent="0.2">
      <c r="A9" s="110" t="s">
        <v>877</v>
      </c>
      <c r="B9" s="110" t="s">
        <v>878</v>
      </c>
      <c r="C9" s="111" t="s">
        <v>876</v>
      </c>
      <c r="D9" s="110" t="s">
        <v>275</v>
      </c>
    </row>
    <row r="10" spans="1:4" ht="25.5" x14ac:dyDescent="0.2">
      <c r="A10" s="110" t="s">
        <v>268</v>
      </c>
      <c r="B10" s="110" t="s">
        <v>263</v>
      </c>
      <c r="C10" s="111" t="s">
        <v>257</v>
      </c>
      <c r="D10" s="110" t="s">
        <v>275</v>
      </c>
    </row>
    <row r="11" spans="1:4" ht="38.25" x14ac:dyDescent="0.2">
      <c r="A11" s="110" t="s">
        <v>863</v>
      </c>
      <c r="B11" s="110" t="s">
        <v>864</v>
      </c>
      <c r="C11" s="111" t="s">
        <v>865</v>
      </c>
      <c r="D11" s="110" t="s">
        <v>275</v>
      </c>
    </row>
    <row r="12" spans="1:4" ht="25.5" x14ac:dyDescent="0.2">
      <c r="A12" s="110" t="s">
        <v>854</v>
      </c>
      <c r="B12" s="110" t="s">
        <v>855</v>
      </c>
      <c r="C12" s="111" t="s">
        <v>856</v>
      </c>
      <c r="D12" s="110" t="s">
        <v>275</v>
      </c>
    </row>
    <row r="13" spans="1:4" ht="38.25" x14ac:dyDescent="0.2">
      <c r="A13" s="110" t="s">
        <v>240</v>
      </c>
      <c r="B13" s="110" t="s">
        <v>266</v>
      </c>
      <c r="C13" s="111" t="s">
        <v>277</v>
      </c>
      <c r="D13" s="110" t="s">
        <v>275</v>
      </c>
    </row>
    <row r="14" spans="1:4" ht="25.5" x14ac:dyDescent="0.2">
      <c r="A14" s="110" t="s">
        <v>848</v>
      </c>
      <c r="B14" s="110" t="s">
        <v>468</v>
      </c>
      <c r="C14" s="111" t="s">
        <v>334</v>
      </c>
      <c r="D14" s="110" t="s">
        <v>275</v>
      </c>
    </row>
    <row r="15" spans="1:4" ht="25.5" x14ac:dyDescent="0.2">
      <c r="A15" s="110" t="s">
        <v>350</v>
      </c>
      <c r="B15" s="110" t="s">
        <v>353</v>
      </c>
      <c r="C15" s="111" t="s">
        <v>358</v>
      </c>
      <c r="D15" s="110" t="s">
        <v>275</v>
      </c>
    </row>
    <row r="16" spans="1:4" ht="25.5" x14ac:dyDescent="0.2">
      <c r="A16" s="110" t="s">
        <v>824</v>
      </c>
      <c r="B16" s="110" t="s">
        <v>825</v>
      </c>
      <c r="C16" s="111" t="s">
        <v>826</v>
      </c>
      <c r="D16" s="110" t="s">
        <v>275</v>
      </c>
    </row>
    <row r="17" spans="1:4" ht="25.5" x14ac:dyDescent="0.2">
      <c r="A17" s="110" t="s">
        <v>270</v>
      </c>
      <c r="B17" s="110" t="s">
        <v>260</v>
      </c>
      <c r="C17" s="111" t="s">
        <v>254</v>
      </c>
      <c r="D17" s="110" t="s">
        <v>275</v>
      </c>
    </row>
    <row r="18" spans="1:4" x14ac:dyDescent="0.2">
      <c r="A18" s="110" t="s">
        <v>847</v>
      </c>
      <c r="B18" s="110" t="s">
        <v>354</v>
      </c>
      <c r="C18" s="111" t="s">
        <v>359</v>
      </c>
      <c r="D18" s="110" t="s">
        <v>275</v>
      </c>
    </row>
    <row r="19" spans="1:4" ht="25.5" x14ac:dyDescent="0.2">
      <c r="A19" s="110" t="s">
        <v>241</v>
      </c>
      <c r="B19" s="110" t="s">
        <v>242</v>
      </c>
      <c r="C19" s="111" t="s">
        <v>249</v>
      </c>
      <c r="D19" s="110" t="s">
        <v>275</v>
      </c>
    </row>
    <row r="20" spans="1:4" ht="25.5" x14ac:dyDescent="0.2">
      <c r="A20" s="110" t="s">
        <v>245</v>
      </c>
      <c r="B20" s="110" t="s">
        <v>246</v>
      </c>
      <c r="C20" s="111" t="s">
        <v>251</v>
      </c>
      <c r="D20" s="110" t="s">
        <v>275</v>
      </c>
    </row>
    <row r="21" spans="1:4" ht="25.5" x14ac:dyDescent="0.2">
      <c r="A21" s="110" t="s">
        <v>271</v>
      </c>
      <c r="B21" s="110" t="s">
        <v>262</v>
      </c>
      <c r="C21" s="111" t="s">
        <v>256</v>
      </c>
      <c r="D21" s="110" t="s">
        <v>275</v>
      </c>
    </row>
    <row r="22" spans="1:4" x14ac:dyDescent="0.2">
      <c r="A22" s="110" t="s">
        <v>265</v>
      </c>
      <c r="B22" s="110" t="s">
        <v>259</v>
      </c>
      <c r="C22" s="111" t="s">
        <v>253</v>
      </c>
      <c r="D22" s="110" t="s">
        <v>275</v>
      </c>
    </row>
    <row r="23" spans="1:4" x14ac:dyDescent="0.2">
      <c r="A23" s="110" t="s">
        <v>243</v>
      </c>
      <c r="B23" s="110" t="s">
        <v>244</v>
      </c>
      <c r="C23" s="111" t="s">
        <v>250</v>
      </c>
      <c r="D23" s="110" t="s">
        <v>275</v>
      </c>
    </row>
    <row r="24" spans="1:4" ht="38.25" x14ac:dyDescent="0.2">
      <c r="A24" s="110" t="s">
        <v>1188</v>
      </c>
      <c r="B24" s="110" t="s">
        <v>1189</v>
      </c>
      <c r="C24" s="111" t="s">
        <v>1190</v>
      </c>
      <c r="D24" s="110" t="s">
        <v>275</v>
      </c>
    </row>
    <row r="25" spans="1:4" ht="25.5" x14ac:dyDescent="0.2">
      <c r="A25" s="110" t="s">
        <v>841</v>
      </c>
      <c r="B25" s="110" t="s">
        <v>842</v>
      </c>
      <c r="C25" s="111" t="s">
        <v>843</v>
      </c>
      <c r="D25" s="110" t="s">
        <v>275</v>
      </c>
    </row>
    <row r="26" spans="1:4" ht="25.5" x14ac:dyDescent="0.2">
      <c r="A26" s="110" t="s">
        <v>269</v>
      </c>
      <c r="B26" s="110" t="s">
        <v>264</v>
      </c>
      <c r="C26" s="111" t="s">
        <v>258</v>
      </c>
      <c r="D26" s="110" t="s">
        <v>275</v>
      </c>
    </row>
    <row r="27" spans="1:4" x14ac:dyDescent="0.2">
      <c r="A27" s="110" t="s">
        <v>814</v>
      </c>
      <c r="B27" s="110" t="s">
        <v>355</v>
      </c>
      <c r="C27" s="111" t="s">
        <v>360</v>
      </c>
      <c r="D27" s="110" t="s">
        <v>275</v>
      </c>
    </row>
    <row r="28" spans="1:4" ht="25.5" x14ac:dyDescent="0.2">
      <c r="A28" s="110" t="s">
        <v>272</v>
      </c>
      <c r="B28" s="110" t="s">
        <v>261</v>
      </c>
      <c r="C28" s="111" t="s">
        <v>255</v>
      </c>
      <c r="D28" s="110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79" t="s">
        <v>29</v>
      </c>
      <c r="B2" s="79" t="s">
        <v>199</v>
      </c>
      <c r="C2" s="79" t="s">
        <v>128</v>
      </c>
      <c r="D2" s="79">
        <v>1</v>
      </c>
      <c r="E2" s="79" t="s">
        <v>275</v>
      </c>
    </row>
    <row r="3" spans="1:5" x14ac:dyDescent="0.2">
      <c r="A3" s="79" t="s">
        <v>41</v>
      </c>
      <c r="B3" s="79" t="s">
        <v>201</v>
      </c>
      <c r="C3" s="79" t="s">
        <v>129</v>
      </c>
      <c r="D3" s="79">
        <v>0</v>
      </c>
      <c r="E3" s="79" t="s">
        <v>276</v>
      </c>
    </row>
    <row r="4" spans="1:5" x14ac:dyDescent="0.2">
      <c r="A4" s="79" t="s">
        <v>53</v>
      </c>
      <c r="B4" s="79" t="s">
        <v>202</v>
      </c>
      <c r="C4" s="79" t="s">
        <v>141</v>
      </c>
      <c r="D4" s="79"/>
      <c r="E4" s="79" t="s">
        <v>278</v>
      </c>
    </row>
    <row r="5" spans="1:5" x14ac:dyDescent="0.2">
      <c r="A5" s="79" t="s">
        <v>71</v>
      </c>
      <c r="B5" s="79" t="s">
        <v>581</v>
      </c>
      <c r="C5" s="79" t="s">
        <v>880</v>
      </c>
      <c r="D5" s="79"/>
      <c r="E5" s="79"/>
    </row>
    <row r="6" spans="1:5" x14ac:dyDescent="0.2">
      <c r="A6" s="79" t="s">
        <v>75</v>
      </c>
      <c r="B6" s="79"/>
      <c r="C6" s="79" t="s">
        <v>884</v>
      </c>
      <c r="D6" s="79"/>
      <c r="E6" s="79"/>
    </row>
    <row r="7" spans="1:5" x14ac:dyDescent="0.2">
      <c r="A7" s="79" t="s">
        <v>76</v>
      </c>
      <c r="B7" s="79"/>
      <c r="C7" s="79" t="s">
        <v>885</v>
      </c>
      <c r="D7" s="79"/>
      <c r="E7" s="79"/>
    </row>
    <row r="8" spans="1:5" x14ac:dyDescent="0.2">
      <c r="A8" s="79" t="s">
        <v>79</v>
      </c>
      <c r="B8" s="79"/>
      <c r="C8" s="79"/>
      <c r="D8" s="79"/>
      <c r="E8" s="79"/>
    </row>
    <row r="9" spans="1:5" x14ac:dyDescent="0.2">
      <c r="A9" s="79" t="s">
        <v>80</v>
      </c>
      <c r="B9" s="79"/>
      <c r="C9" s="79"/>
      <c r="D9" s="79"/>
      <c r="E9" s="79"/>
    </row>
    <row r="10" spans="1:5" x14ac:dyDescent="0.2">
      <c r="A10" s="79" t="s">
        <v>81</v>
      </c>
      <c r="B10" s="79"/>
      <c r="C10" s="79"/>
      <c r="D10" s="79"/>
      <c r="E10" s="79"/>
    </row>
    <row r="11" spans="1:5" x14ac:dyDescent="0.2">
      <c r="A11" s="79" t="s">
        <v>83</v>
      </c>
      <c r="B11" s="79"/>
      <c r="C11" s="79"/>
      <c r="D11" s="79"/>
      <c r="E11" s="79"/>
    </row>
    <row r="12" spans="1:5" x14ac:dyDescent="0.2">
      <c r="A12" s="79" t="s">
        <v>946</v>
      </c>
      <c r="B12" s="79"/>
      <c r="C12" s="79"/>
      <c r="D12" s="79"/>
      <c r="E12" s="79"/>
    </row>
    <row r="13" spans="1:5" x14ac:dyDescent="0.2">
      <c r="A13" s="79" t="s">
        <v>90</v>
      </c>
      <c r="B13" s="79"/>
      <c r="C13" s="79"/>
      <c r="D13" s="79"/>
      <c r="E13" s="79"/>
    </row>
    <row r="14" spans="1:5" x14ac:dyDescent="0.2">
      <c r="A14" s="79" t="s">
        <v>210</v>
      </c>
      <c r="B14" s="79"/>
      <c r="C14" s="79"/>
      <c r="D14" s="79"/>
      <c r="E14" s="79"/>
    </row>
    <row r="15" spans="1:5" x14ac:dyDescent="0.2">
      <c r="A15" s="79" t="s">
        <v>99</v>
      </c>
      <c r="B15" s="79"/>
      <c r="C15" s="79"/>
      <c r="D15" s="79"/>
      <c r="E15" s="79"/>
    </row>
    <row r="16" spans="1:5" x14ac:dyDescent="0.2">
      <c r="A16" s="79" t="s">
        <v>1134</v>
      </c>
      <c r="B16" s="79"/>
      <c r="C16" s="79"/>
      <c r="D16" s="79"/>
      <c r="E16" s="79"/>
    </row>
    <row r="17" spans="1:5" x14ac:dyDescent="0.2">
      <c r="A17" s="79" t="s">
        <v>101</v>
      </c>
      <c r="B17" s="79"/>
      <c r="C17" s="79"/>
      <c r="D17" s="79"/>
      <c r="E17" s="79"/>
    </row>
    <row r="18" spans="1:5" x14ac:dyDescent="0.2">
      <c r="A18" s="79" t="s">
        <v>102</v>
      </c>
      <c r="B18" s="79"/>
      <c r="C18" s="79"/>
      <c r="D18" s="79"/>
      <c r="E18" s="79"/>
    </row>
    <row r="19" spans="1:5" x14ac:dyDescent="0.2">
      <c r="A19" s="79" t="s">
        <v>103</v>
      </c>
      <c r="B19" s="79"/>
      <c r="C19" s="79"/>
      <c r="D19" s="79"/>
      <c r="E19" s="79"/>
    </row>
    <row r="20" spans="1:5" x14ac:dyDescent="0.2">
      <c r="A20" s="79" t="s">
        <v>104</v>
      </c>
      <c r="B20" s="79"/>
      <c r="C20" s="79"/>
      <c r="D20" s="79"/>
      <c r="E20" s="79"/>
    </row>
    <row r="21" spans="1:5" x14ac:dyDescent="0.2">
      <c r="A21" s="79" t="s">
        <v>105</v>
      </c>
      <c r="B21" s="79"/>
      <c r="C21" s="79"/>
      <c r="D21" s="79"/>
      <c r="E21" s="79"/>
    </row>
    <row r="22" spans="1:5" x14ac:dyDescent="0.2">
      <c r="A22" s="79" t="s">
        <v>138</v>
      </c>
      <c r="B22" s="79"/>
      <c r="C22" s="79"/>
      <c r="D22" s="79"/>
      <c r="E22" s="79"/>
    </row>
    <row r="23" spans="1:5" x14ac:dyDescent="0.2">
      <c r="A23" s="79" t="s">
        <v>139</v>
      </c>
      <c r="B23" s="79"/>
      <c r="C23" s="79"/>
      <c r="D23" s="79"/>
      <c r="E23" s="79"/>
    </row>
    <row r="24" spans="1:5" x14ac:dyDescent="0.2">
      <c r="A24" s="79" t="s">
        <v>126</v>
      </c>
      <c r="B24" s="79"/>
      <c r="C24" s="79"/>
      <c r="D24" s="79"/>
      <c r="E24" s="79"/>
    </row>
    <row r="25" spans="1:5" x14ac:dyDescent="0.2">
      <c r="A25" s="79" t="s">
        <v>131</v>
      </c>
      <c r="B25" s="79"/>
      <c r="C25" s="79"/>
      <c r="D25" s="79"/>
      <c r="E25" s="79"/>
    </row>
    <row r="26" spans="1:5" x14ac:dyDescent="0.2">
      <c r="A26" s="79" t="s">
        <v>132</v>
      </c>
      <c r="B26" s="79"/>
      <c r="C26" s="79"/>
      <c r="D26" s="79"/>
      <c r="E26" s="79"/>
    </row>
    <row r="27" spans="1:5" x14ac:dyDescent="0.2">
      <c r="A27" s="79" t="s">
        <v>285</v>
      </c>
      <c r="B27" s="79"/>
      <c r="C27" s="79"/>
      <c r="D27" s="79"/>
      <c r="E27" s="79"/>
    </row>
    <row r="28" spans="1:5" x14ac:dyDescent="0.2">
      <c r="A28" s="79" t="s">
        <v>134</v>
      </c>
      <c r="B28" s="79"/>
      <c r="C28" s="79"/>
      <c r="D28" s="79"/>
      <c r="E28" s="79"/>
    </row>
    <row r="29" spans="1:5" x14ac:dyDescent="0.2">
      <c r="A29" s="79" t="s">
        <v>135</v>
      </c>
      <c r="B29" s="79"/>
      <c r="C29" s="79"/>
      <c r="D29" s="79"/>
      <c r="E29" s="79"/>
    </row>
    <row r="30" spans="1:5" x14ac:dyDescent="0.2">
      <c r="A30" s="79" t="s">
        <v>136</v>
      </c>
      <c r="B30" s="79"/>
      <c r="C30" s="79"/>
      <c r="D30" s="79"/>
      <c r="E30" s="79"/>
    </row>
    <row r="31" spans="1:5" x14ac:dyDescent="0.2">
      <c r="A31" s="79" t="s">
        <v>137</v>
      </c>
      <c r="B31" s="79"/>
      <c r="C31" s="79"/>
      <c r="D31" s="79"/>
      <c r="E31" s="79"/>
    </row>
    <row r="32" spans="1:5" x14ac:dyDescent="0.2">
      <c r="A32" s="79" t="s">
        <v>140</v>
      </c>
      <c r="B32" s="79"/>
      <c r="C32" s="79"/>
      <c r="D32" s="79"/>
      <c r="E32" s="79"/>
    </row>
    <row r="33" spans="1:5" x14ac:dyDescent="0.2">
      <c r="A33" s="79" t="s">
        <v>152</v>
      </c>
      <c r="B33" s="79"/>
      <c r="C33" s="79"/>
      <c r="D33" s="79"/>
      <c r="E33" s="79"/>
    </row>
    <row r="34" spans="1:5" x14ac:dyDescent="0.2">
      <c r="A34" s="79" t="s">
        <v>166</v>
      </c>
      <c r="B34" s="79"/>
      <c r="C34" s="79"/>
      <c r="D34" s="79"/>
      <c r="E34" s="79"/>
    </row>
    <row r="35" spans="1:5" x14ac:dyDescent="0.2">
      <c r="A35" s="79" t="s">
        <v>185</v>
      </c>
      <c r="B35" s="79"/>
      <c r="C35" s="79"/>
      <c r="D35" s="79"/>
      <c r="E35" s="79"/>
    </row>
    <row r="36" spans="1:5" x14ac:dyDescent="0.2">
      <c r="A36" s="79" t="s">
        <v>186</v>
      </c>
      <c r="B36" s="79"/>
      <c r="C36" s="79"/>
      <c r="D36" s="79"/>
      <c r="E36" s="79"/>
    </row>
    <row r="37" spans="1:5" x14ac:dyDescent="0.2">
      <c r="A37" s="79" t="s">
        <v>187</v>
      </c>
      <c r="B37" s="79"/>
      <c r="C37" s="79"/>
      <c r="D37" s="79"/>
      <c r="E37" s="79"/>
    </row>
    <row r="38" spans="1:5" x14ac:dyDescent="0.2">
      <c r="A38" s="79" t="s">
        <v>188</v>
      </c>
      <c r="B38" s="79"/>
      <c r="C38" s="79"/>
      <c r="D38" s="79"/>
      <c r="E38" s="79"/>
    </row>
    <row r="39" spans="1:5" x14ac:dyDescent="0.2">
      <c r="A39" s="79" t="s">
        <v>189</v>
      </c>
      <c r="B39" s="79"/>
      <c r="C39" s="79"/>
      <c r="D39" s="79"/>
      <c r="E39" s="79"/>
    </row>
    <row r="40" spans="1:5" x14ac:dyDescent="0.2">
      <c r="A40" s="79" t="s">
        <v>190</v>
      </c>
      <c r="B40" s="79"/>
      <c r="C40" s="79"/>
      <c r="D40" s="79"/>
      <c r="E40" s="79"/>
    </row>
    <row r="41" spans="1:5" x14ac:dyDescent="0.2">
      <c r="A41" s="79" t="s">
        <v>191</v>
      </c>
      <c r="B41" s="79"/>
      <c r="C41" s="79"/>
      <c r="D41" s="79"/>
      <c r="E41" s="79"/>
    </row>
    <row r="42" spans="1:5" x14ac:dyDescent="0.2">
      <c r="A42" s="79" t="s">
        <v>192</v>
      </c>
      <c r="B42" s="79"/>
      <c r="C42" s="79"/>
      <c r="D42" s="79"/>
      <c r="E42" s="79"/>
    </row>
    <row r="43" spans="1:5" x14ac:dyDescent="0.2">
      <c r="A43" s="79" t="s">
        <v>208</v>
      </c>
      <c r="B43" s="79"/>
      <c r="C43" s="79"/>
      <c r="D43" s="79"/>
      <c r="E43" s="79"/>
    </row>
    <row r="44" spans="1:5" x14ac:dyDescent="0.2">
      <c r="A44" s="79" t="s">
        <v>209</v>
      </c>
      <c r="B44" s="79"/>
      <c r="C44" s="79"/>
      <c r="D44" s="79"/>
      <c r="E44" s="79"/>
    </row>
    <row r="45" spans="1:5" x14ac:dyDescent="0.2">
      <c r="A45" s="79" t="s">
        <v>211</v>
      </c>
      <c r="B45" s="79"/>
      <c r="C45" s="79"/>
      <c r="D45" s="79"/>
      <c r="E45" s="79"/>
    </row>
    <row r="46" spans="1:5" x14ac:dyDescent="0.2">
      <c r="A46" s="79" t="s">
        <v>212</v>
      </c>
      <c r="B46" s="79"/>
      <c r="C46" s="79"/>
      <c r="D46" s="79"/>
      <c r="E46" s="79"/>
    </row>
    <row r="47" spans="1:5" x14ac:dyDescent="0.2">
      <c r="A47" s="79" t="s">
        <v>221</v>
      </c>
      <c r="B47" s="79"/>
      <c r="C47" s="79"/>
      <c r="D47" s="79"/>
      <c r="E47" s="79"/>
    </row>
    <row r="48" spans="1:5" x14ac:dyDescent="0.2">
      <c r="A48" s="79" t="s">
        <v>223</v>
      </c>
      <c r="B48" s="79"/>
      <c r="C48" s="79"/>
      <c r="D48" s="79"/>
      <c r="E48" s="79"/>
    </row>
    <row r="49" spans="1:5" x14ac:dyDescent="0.2">
      <c r="A49" s="79" t="s">
        <v>279</v>
      </c>
      <c r="B49" s="79"/>
      <c r="C49" s="79"/>
      <c r="D49" s="79"/>
      <c r="E49" s="79"/>
    </row>
    <row r="50" spans="1:5" x14ac:dyDescent="0.2">
      <c r="A50" s="79" t="s">
        <v>311</v>
      </c>
      <c r="B50" s="79"/>
      <c r="C50" s="79"/>
      <c r="D50" s="79"/>
      <c r="E50" s="79"/>
    </row>
    <row r="51" spans="1:5" x14ac:dyDescent="0.2">
      <c r="A51" s="79" t="s">
        <v>286</v>
      </c>
      <c r="B51" s="79"/>
      <c r="C51" s="79"/>
      <c r="D51" s="79"/>
      <c r="E51" s="79"/>
    </row>
    <row r="52" spans="1:5" x14ac:dyDescent="0.2">
      <c r="A52" s="79" t="s">
        <v>291</v>
      </c>
      <c r="B52" s="79"/>
      <c r="C52" s="79"/>
      <c r="D52" s="79"/>
      <c r="E52" s="79"/>
    </row>
    <row r="53" spans="1:5" x14ac:dyDescent="0.2">
      <c r="A53" s="79" t="s">
        <v>292</v>
      </c>
      <c r="B53" s="79"/>
      <c r="C53" s="79"/>
      <c r="D53" s="79"/>
      <c r="E53" s="79"/>
    </row>
    <row r="54" spans="1:5" x14ac:dyDescent="0.2">
      <c r="A54" s="79" t="s">
        <v>293</v>
      </c>
      <c r="B54" s="79"/>
      <c r="C54" s="79"/>
      <c r="D54" s="79"/>
      <c r="E54" s="79"/>
    </row>
    <row r="55" spans="1:5" x14ac:dyDescent="0.2">
      <c r="A55" s="79" t="s">
        <v>294</v>
      </c>
      <c r="B55" s="79"/>
      <c r="C55" s="79"/>
      <c r="D55" s="79"/>
      <c r="E55" s="79"/>
    </row>
    <row r="56" spans="1:5" x14ac:dyDescent="0.2">
      <c r="A56" s="79" t="s">
        <v>295</v>
      </c>
      <c r="B56" s="79"/>
      <c r="C56" s="79"/>
      <c r="D56" s="79"/>
      <c r="E56" s="79"/>
    </row>
    <row r="57" spans="1:5" x14ac:dyDescent="0.2">
      <c r="A57" s="79" t="s">
        <v>296</v>
      </c>
      <c r="B57" s="79"/>
      <c r="C57" s="79"/>
      <c r="D57" s="79"/>
      <c r="E57" s="79"/>
    </row>
    <row r="58" spans="1:5" x14ac:dyDescent="0.2">
      <c r="A58" s="79" t="s">
        <v>297</v>
      </c>
      <c r="B58" s="79"/>
      <c r="C58" s="79"/>
      <c r="D58" s="79"/>
      <c r="E58" s="79"/>
    </row>
    <row r="59" spans="1:5" x14ac:dyDescent="0.2">
      <c r="A59" s="79" t="s">
        <v>298</v>
      </c>
      <c r="B59" s="79"/>
      <c r="C59" s="79"/>
      <c r="D59" s="79"/>
      <c r="E59" s="79"/>
    </row>
    <row r="60" spans="1:5" x14ac:dyDescent="0.2">
      <c r="A60" s="79" t="s">
        <v>299</v>
      </c>
      <c r="B60" s="79"/>
      <c r="C60" s="79"/>
      <c r="D60" s="79"/>
      <c r="E60" s="79"/>
    </row>
    <row r="61" spans="1:5" x14ac:dyDescent="0.2">
      <c r="A61" s="79" t="s">
        <v>327</v>
      </c>
      <c r="B61" s="79"/>
      <c r="C61" s="79"/>
      <c r="D61" s="79"/>
      <c r="E61" s="79"/>
    </row>
    <row r="62" spans="1:5" x14ac:dyDescent="0.2">
      <c r="A62" s="79" t="s">
        <v>364</v>
      </c>
      <c r="B62" s="79"/>
      <c r="C62" s="79"/>
      <c r="D62" s="79"/>
      <c r="E62" s="79"/>
    </row>
    <row r="63" spans="1:5" x14ac:dyDescent="0.2">
      <c r="A63" s="79" t="s">
        <v>372</v>
      </c>
      <c r="B63" s="79"/>
      <c r="C63" s="79"/>
      <c r="D63" s="79"/>
      <c r="E63" s="79"/>
    </row>
    <row r="64" spans="1:5" x14ac:dyDescent="0.2">
      <c r="A64" s="79" t="s">
        <v>375</v>
      </c>
      <c r="B64" s="79"/>
      <c r="C64" s="79"/>
      <c r="D64" s="79"/>
      <c r="E64" s="79"/>
    </row>
    <row r="65" spans="1:5" x14ac:dyDescent="0.2">
      <c r="A65" s="79" t="s">
        <v>376</v>
      </c>
      <c r="B65" s="79"/>
      <c r="C65" s="79"/>
      <c r="D65" s="79"/>
      <c r="E65" s="79"/>
    </row>
    <row r="66" spans="1:5" x14ac:dyDescent="0.2">
      <c r="A66" s="79" t="s">
        <v>391</v>
      </c>
      <c r="B66" s="79"/>
      <c r="C66" s="79"/>
      <c r="D66" s="79"/>
      <c r="E66" s="79"/>
    </row>
    <row r="67" spans="1:5" x14ac:dyDescent="0.2">
      <c r="A67" s="79" t="s">
        <v>400</v>
      </c>
      <c r="B67" s="79"/>
      <c r="C67" s="79"/>
      <c r="D67" s="79"/>
      <c r="E67" s="79"/>
    </row>
    <row r="68" spans="1:5" x14ac:dyDescent="0.2">
      <c r="A68" s="79" t="s">
        <v>405</v>
      </c>
      <c r="B68" s="79"/>
      <c r="C68" s="79"/>
      <c r="D68" s="79"/>
      <c r="E68" s="79"/>
    </row>
    <row r="69" spans="1:5" x14ac:dyDescent="0.2">
      <c r="A69" s="79" t="s">
        <v>417</v>
      </c>
      <c r="B69" s="79"/>
      <c r="C69" s="79"/>
      <c r="D69" s="79"/>
      <c r="E69" s="79"/>
    </row>
    <row r="70" spans="1:5" x14ac:dyDescent="0.2">
      <c r="A70" s="79" t="s">
        <v>416</v>
      </c>
      <c r="B70" s="79"/>
      <c r="C70" s="79"/>
      <c r="D70" s="79"/>
      <c r="E70" s="79"/>
    </row>
    <row r="71" spans="1:5" x14ac:dyDescent="0.2">
      <c r="A71" s="79" t="s">
        <v>1073</v>
      </c>
      <c r="B71" s="79"/>
      <c r="C71" s="79"/>
      <c r="D71" s="79"/>
      <c r="E71" s="79"/>
    </row>
    <row r="72" spans="1:5" x14ac:dyDescent="0.2">
      <c r="A72" s="79" t="s">
        <v>539</v>
      </c>
      <c r="B72" s="79"/>
      <c r="C72" s="79"/>
      <c r="D72" s="79"/>
      <c r="E72" s="79"/>
    </row>
    <row r="73" spans="1:5" x14ac:dyDescent="0.2">
      <c r="A73" s="79" t="s">
        <v>540</v>
      </c>
      <c r="B73" s="79"/>
      <c r="C73" s="79"/>
      <c r="D73" s="79"/>
      <c r="E73" s="79"/>
    </row>
    <row r="74" spans="1:5" x14ac:dyDescent="0.2">
      <c r="A74" s="79" t="s">
        <v>541</v>
      </c>
      <c r="B74" s="79"/>
      <c r="C74" s="79"/>
      <c r="D74" s="79"/>
      <c r="E74" s="79"/>
    </row>
    <row r="75" spans="1:5" x14ac:dyDescent="0.2">
      <c r="A75" s="79" t="s">
        <v>546</v>
      </c>
      <c r="B75" s="79"/>
      <c r="C75" s="79"/>
      <c r="D75" s="79"/>
      <c r="E75" s="79"/>
    </row>
    <row r="76" spans="1:5" x14ac:dyDescent="0.2">
      <c r="A76" s="79" t="s">
        <v>578</v>
      </c>
      <c r="B76" s="79"/>
      <c r="C76" s="79"/>
      <c r="D76" s="79"/>
      <c r="E76" s="79"/>
    </row>
    <row r="77" spans="1:5" x14ac:dyDescent="0.2">
      <c r="A77" s="79" t="s">
        <v>579</v>
      </c>
      <c r="B77" s="79"/>
      <c r="C77" s="79"/>
      <c r="D77" s="79"/>
      <c r="E77" s="79"/>
    </row>
    <row r="78" spans="1:5" x14ac:dyDescent="0.2">
      <c r="A78" s="79" t="s">
        <v>718</v>
      </c>
      <c r="B78" s="79"/>
      <c r="C78" s="79"/>
      <c r="D78" s="79"/>
      <c r="E78" s="79"/>
    </row>
    <row r="79" spans="1:5" x14ac:dyDescent="0.2">
      <c r="A79" s="79" t="s">
        <v>661</v>
      </c>
      <c r="B79" s="79"/>
      <c r="C79" s="79"/>
      <c r="D79" s="79"/>
      <c r="E79" s="79"/>
    </row>
    <row r="80" spans="1:5" x14ac:dyDescent="0.2">
      <c r="A80" s="79" t="s">
        <v>816</v>
      </c>
      <c r="B80" s="79"/>
      <c r="C80" s="79"/>
      <c r="D80" s="79"/>
      <c r="E80" s="79"/>
    </row>
    <row r="81" spans="1:5" x14ac:dyDescent="0.2">
      <c r="A81" s="86" t="s">
        <v>817</v>
      </c>
      <c r="B81" s="86"/>
      <c r="C81" s="86"/>
      <c r="D81" s="86"/>
      <c r="E81" s="86"/>
    </row>
    <row r="82" spans="1:5" x14ac:dyDescent="0.2">
      <c r="A82" s="79" t="s">
        <v>827</v>
      </c>
      <c r="B82" s="79"/>
      <c r="C82" s="79"/>
      <c r="D82" s="79"/>
      <c r="E82" s="79"/>
    </row>
    <row r="83" spans="1:5" x14ac:dyDescent="0.2">
      <c r="A83" s="86" t="s">
        <v>830</v>
      </c>
      <c r="B83" s="86"/>
      <c r="C83" s="86"/>
      <c r="D83" s="86"/>
      <c r="E83" s="86"/>
    </row>
    <row r="84" spans="1:5" x14ac:dyDescent="0.2">
      <c r="A84" s="79" t="s">
        <v>834</v>
      </c>
      <c r="B84" s="79"/>
      <c r="C84" s="79"/>
      <c r="D84" s="79"/>
      <c r="E84" s="79"/>
    </row>
    <row r="85" spans="1:5" x14ac:dyDescent="0.2">
      <c r="A85" s="86" t="s">
        <v>836</v>
      </c>
      <c r="B85" s="86"/>
      <c r="C85" s="86"/>
      <c r="D85" s="86"/>
      <c r="E85" s="86"/>
    </row>
    <row r="86" spans="1:5" x14ac:dyDescent="0.2">
      <c r="A86" s="79" t="s">
        <v>857</v>
      </c>
      <c r="B86" s="79"/>
      <c r="C86" s="79"/>
      <c r="D86" s="79"/>
      <c r="E86" s="79"/>
    </row>
    <row r="87" spans="1:5" x14ac:dyDescent="0.2">
      <c r="A87" s="86" t="s">
        <v>858</v>
      </c>
      <c r="B87" s="86"/>
      <c r="C87" s="86"/>
      <c r="D87" s="86"/>
      <c r="E87" s="86"/>
    </row>
    <row r="88" spans="1:5" x14ac:dyDescent="0.2">
      <c r="A88" s="79" t="s">
        <v>879</v>
      </c>
      <c r="B88" s="79"/>
      <c r="C88" s="79"/>
      <c r="D88" s="79"/>
      <c r="E88" s="79"/>
    </row>
    <row r="89" spans="1:5" x14ac:dyDescent="0.2">
      <c r="A89" s="86" t="s">
        <v>881</v>
      </c>
      <c r="B89" s="86"/>
      <c r="C89" s="86"/>
      <c r="D89" s="86"/>
      <c r="E89" s="86"/>
    </row>
    <row r="90" spans="1:5" x14ac:dyDescent="0.2">
      <c r="A90" s="79" t="s">
        <v>886</v>
      </c>
      <c r="B90" s="79"/>
      <c r="C90" s="79"/>
      <c r="D90" s="79"/>
      <c r="E90" s="79"/>
    </row>
    <row r="91" spans="1:5" x14ac:dyDescent="0.2">
      <c r="A91" s="86" t="s">
        <v>887</v>
      </c>
      <c r="B91" s="86"/>
      <c r="C91" s="86"/>
      <c r="D91" s="86"/>
      <c r="E91" s="86"/>
    </row>
    <row r="92" spans="1:5" x14ac:dyDescent="0.2">
      <c r="A92" s="79" t="s">
        <v>929</v>
      </c>
      <c r="B92" s="79"/>
      <c r="C92" s="79"/>
      <c r="D92" s="79"/>
      <c r="E92" s="79"/>
    </row>
    <row r="93" spans="1:5" x14ac:dyDescent="0.2">
      <c r="A93" s="79" t="s">
        <v>934</v>
      </c>
      <c r="B93" s="79"/>
      <c r="C93" s="79"/>
      <c r="D93" s="79"/>
      <c r="E93" s="79"/>
    </row>
    <row r="94" spans="1:5" x14ac:dyDescent="0.2">
      <c r="A94" s="79" t="s">
        <v>935</v>
      </c>
      <c r="B94" s="79"/>
      <c r="C94" s="79"/>
      <c r="D94" s="79"/>
      <c r="E94" s="79"/>
    </row>
    <row r="95" spans="1:5" x14ac:dyDescent="0.2">
      <c r="A95" s="79" t="s">
        <v>936</v>
      </c>
      <c r="B95" s="79"/>
      <c r="C95" s="79"/>
      <c r="D95" s="79"/>
      <c r="E95" s="79"/>
    </row>
    <row r="96" spans="1:5" x14ac:dyDescent="0.2">
      <c r="A96" s="79" t="s">
        <v>999</v>
      </c>
      <c r="B96" s="79"/>
      <c r="C96" s="79"/>
      <c r="D96" s="79"/>
      <c r="E96" s="79"/>
    </row>
    <row r="97" spans="1:5" x14ac:dyDescent="0.2">
      <c r="A97" s="79" t="s">
        <v>1000</v>
      </c>
      <c r="B97" s="79"/>
      <c r="C97" s="79"/>
      <c r="D97" s="79"/>
      <c r="E97" s="79"/>
    </row>
    <row r="98" spans="1:5" x14ac:dyDescent="0.2">
      <c r="A98" s="79" t="s">
        <v>1025</v>
      </c>
      <c r="B98" s="79"/>
      <c r="C98" s="79"/>
      <c r="D98" s="79"/>
      <c r="E98" s="79"/>
    </row>
    <row r="99" spans="1:5" x14ac:dyDescent="0.2">
      <c r="A99" s="79" t="s">
        <v>1026</v>
      </c>
      <c r="B99" s="79"/>
      <c r="C99" s="79"/>
      <c r="D99" s="79"/>
      <c r="E99" s="79"/>
    </row>
    <row r="100" spans="1:5" x14ac:dyDescent="0.2">
      <c r="A100" s="102" t="s">
        <v>363</v>
      </c>
      <c r="B100" s="102"/>
      <c r="C100" s="102"/>
      <c r="D100" s="102"/>
      <c r="E100" s="10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D169"/>
  <sheetViews>
    <sheetView workbookViewId="0">
      <pane xSplit="1" ySplit="1" topLeftCell="B37" activePane="bottomRight" state="frozen"/>
      <selection pane="topRight" activeCell="B1" sqref="B1"/>
      <selection pane="bottomLeft" activeCell="A2" sqref="A2"/>
      <selection pane="bottomRight" activeCell="B62" sqref="B62"/>
    </sheetView>
  </sheetViews>
  <sheetFormatPr baseColWidth="10" defaultColWidth="11.42578125" defaultRowHeight="12.75" x14ac:dyDescent="0.2"/>
  <cols>
    <col min="1" max="1" width="51.7109375" style="104" bestFit="1" customWidth="1"/>
    <col min="2" max="2" width="85.5703125" style="104" bestFit="1" customWidth="1"/>
    <col min="3" max="3" width="18.28515625" style="104" bestFit="1" customWidth="1"/>
    <col min="4" max="4" width="26.5703125" style="104" customWidth="1"/>
    <col min="5" max="16384" width="11.42578125" style="104"/>
  </cols>
  <sheetData>
    <row r="1" spans="1:4" x14ac:dyDescent="0.2">
      <c r="A1" s="106" t="s">
        <v>940</v>
      </c>
      <c r="B1" s="106" t="s">
        <v>1184</v>
      </c>
      <c r="C1" s="106" t="s">
        <v>1086</v>
      </c>
      <c r="D1" s="104" t="s">
        <v>1185</v>
      </c>
    </row>
    <row r="2" spans="1:4" x14ac:dyDescent="0.2">
      <c r="A2" s="103" t="s">
        <v>29</v>
      </c>
      <c r="B2" s="103" t="s">
        <v>29</v>
      </c>
      <c r="C2" s="107" t="s">
        <v>0</v>
      </c>
      <c r="D2" s="104">
        <v>1</v>
      </c>
    </row>
    <row r="3" spans="1:4" x14ac:dyDescent="0.2">
      <c r="A3" s="104" t="s">
        <v>41</v>
      </c>
      <c r="B3" s="104" t="s">
        <v>41</v>
      </c>
      <c r="C3" s="108" t="s">
        <v>0</v>
      </c>
      <c r="D3" s="104">
        <v>1</v>
      </c>
    </row>
    <row r="4" spans="1:4" x14ac:dyDescent="0.2">
      <c r="A4" s="103" t="s">
        <v>53</v>
      </c>
      <c r="B4" s="103" t="s">
        <v>53</v>
      </c>
      <c r="C4" s="107" t="s">
        <v>0</v>
      </c>
      <c r="D4" s="104">
        <v>1</v>
      </c>
    </row>
    <row r="5" spans="1:4" x14ac:dyDescent="0.2">
      <c r="A5" s="104" t="s">
        <v>71</v>
      </c>
      <c r="B5" s="104" t="s">
        <v>941</v>
      </c>
      <c r="C5" s="108" t="s">
        <v>0</v>
      </c>
      <c r="D5" s="104">
        <v>1</v>
      </c>
    </row>
    <row r="6" spans="1:4" x14ac:dyDescent="0.2">
      <c r="A6" s="103" t="s">
        <v>75</v>
      </c>
      <c r="B6" s="103" t="s">
        <v>941</v>
      </c>
      <c r="C6" s="107" t="s">
        <v>0</v>
      </c>
      <c r="D6" s="104">
        <v>1</v>
      </c>
    </row>
    <row r="7" spans="1:4" x14ac:dyDescent="0.2">
      <c r="A7" s="104" t="s">
        <v>76</v>
      </c>
      <c r="B7" s="104" t="s">
        <v>942</v>
      </c>
      <c r="C7" s="108" t="s">
        <v>0</v>
      </c>
      <c r="D7" s="104">
        <v>1</v>
      </c>
    </row>
    <row r="8" spans="1:4" x14ac:dyDescent="0.2">
      <c r="A8" s="103" t="s">
        <v>79</v>
      </c>
      <c r="B8" s="103" t="s">
        <v>943</v>
      </c>
      <c r="C8" s="107" t="s">
        <v>0</v>
      </c>
      <c r="D8" s="104">
        <v>1</v>
      </c>
    </row>
    <row r="9" spans="1:4" x14ac:dyDescent="0.2">
      <c r="A9" s="104" t="s">
        <v>80</v>
      </c>
      <c r="B9" s="104" t="s">
        <v>80</v>
      </c>
      <c r="C9" s="108" t="s">
        <v>0</v>
      </c>
      <c r="D9" s="104">
        <v>1</v>
      </c>
    </row>
    <row r="10" spans="1:4" x14ac:dyDescent="0.2">
      <c r="A10" s="103" t="s">
        <v>81</v>
      </c>
      <c r="B10" s="103" t="s">
        <v>944</v>
      </c>
      <c r="C10" s="107" t="s">
        <v>0</v>
      </c>
      <c r="D10" s="104">
        <v>1</v>
      </c>
    </row>
    <row r="11" spans="1:4" x14ac:dyDescent="0.2">
      <c r="A11" s="104" t="s">
        <v>83</v>
      </c>
      <c r="B11" s="104" t="s">
        <v>945</v>
      </c>
      <c r="C11" s="108" t="s">
        <v>0</v>
      </c>
      <c r="D11" s="104">
        <v>1</v>
      </c>
    </row>
    <row r="12" spans="1:4" x14ac:dyDescent="0.2">
      <c r="A12" s="103" t="s">
        <v>946</v>
      </c>
      <c r="B12" s="103" t="s">
        <v>946</v>
      </c>
      <c r="C12" s="107" t="s">
        <v>0</v>
      </c>
      <c r="D12" s="104">
        <v>1</v>
      </c>
    </row>
    <row r="13" spans="1:4" x14ac:dyDescent="0.2">
      <c r="A13" s="104" t="s">
        <v>90</v>
      </c>
      <c r="B13" s="104" t="s">
        <v>947</v>
      </c>
      <c r="C13" s="108" t="s">
        <v>1085</v>
      </c>
      <c r="D13" s="104">
        <v>1</v>
      </c>
    </row>
    <row r="14" spans="1:4" x14ac:dyDescent="0.2">
      <c r="A14" s="103" t="s">
        <v>210</v>
      </c>
      <c r="B14" s="103" t="s">
        <v>948</v>
      </c>
      <c r="C14" s="107" t="s">
        <v>1085</v>
      </c>
      <c r="D14" s="104">
        <v>1</v>
      </c>
    </row>
    <row r="15" spans="1:4" x14ac:dyDescent="0.2">
      <c r="A15" s="104" t="s">
        <v>99</v>
      </c>
      <c r="B15" s="104" t="s">
        <v>947</v>
      </c>
      <c r="C15" s="108" t="s">
        <v>1085</v>
      </c>
      <c r="D15" s="104">
        <v>1</v>
      </c>
    </row>
    <row r="16" spans="1:4" x14ac:dyDescent="0.2">
      <c r="A16" s="103" t="s">
        <v>1134</v>
      </c>
      <c r="B16" s="103" t="s">
        <v>1139</v>
      </c>
      <c r="C16" s="107" t="s">
        <v>1085</v>
      </c>
      <c r="D16" s="104">
        <v>1</v>
      </c>
    </row>
    <row r="17" spans="1:4" x14ac:dyDescent="0.2">
      <c r="A17" s="104" t="s">
        <v>101</v>
      </c>
      <c r="B17" s="104" t="s">
        <v>949</v>
      </c>
      <c r="C17" s="108" t="s">
        <v>1085</v>
      </c>
      <c r="D17" s="104">
        <v>1</v>
      </c>
    </row>
    <row r="18" spans="1:4" x14ac:dyDescent="0.2">
      <c r="A18" s="103" t="s">
        <v>102</v>
      </c>
      <c r="B18" s="103" t="s">
        <v>950</v>
      </c>
      <c r="C18" s="107" t="s">
        <v>1085</v>
      </c>
      <c r="D18" s="104">
        <v>1</v>
      </c>
    </row>
    <row r="19" spans="1:4" x14ac:dyDescent="0.2">
      <c r="A19" s="104" t="s">
        <v>103</v>
      </c>
      <c r="B19" s="104" t="s">
        <v>950</v>
      </c>
      <c r="C19" s="108" t="s">
        <v>1085</v>
      </c>
      <c r="D19" s="104">
        <v>1</v>
      </c>
    </row>
    <row r="20" spans="1:4" x14ac:dyDescent="0.2">
      <c r="A20" s="103" t="s">
        <v>104</v>
      </c>
      <c r="B20" s="103" t="s">
        <v>950</v>
      </c>
      <c r="C20" s="107" t="s">
        <v>1085</v>
      </c>
      <c r="D20" s="104">
        <v>1</v>
      </c>
    </row>
    <row r="21" spans="1:4" x14ac:dyDescent="0.2">
      <c r="A21" s="104" t="s">
        <v>105</v>
      </c>
      <c r="B21" s="104" t="s">
        <v>950</v>
      </c>
      <c r="C21" s="108" t="s">
        <v>1085</v>
      </c>
      <c r="D21" s="104">
        <v>1</v>
      </c>
    </row>
    <row r="22" spans="1:4" x14ac:dyDescent="0.2">
      <c r="A22" s="103" t="s">
        <v>138</v>
      </c>
      <c r="B22" s="103" t="s">
        <v>951</v>
      </c>
      <c r="C22" s="107" t="s">
        <v>1085</v>
      </c>
      <c r="D22" s="104">
        <v>1</v>
      </c>
    </row>
    <row r="23" spans="1:4" x14ac:dyDescent="0.2">
      <c r="A23" s="104" t="s">
        <v>139</v>
      </c>
      <c r="B23" s="104" t="s">
        <v>952</v>
      </c>
      <c r="C23" s="108" t="s">
        <v>1085</v>
      </c>
      <c r="D23" s="104">
        <v>1</v>
      </c>
    </row>
    <row r="24" spans="1:4" x14ac:dyDescent="0.2">
      <c r="A24" s="103" t="s">
        <v>126</v>
      </c>
      <c r="B24" s="103" t="s">
        <v>953</v>
      </c>
      <c r="C24" s="107" t="s">
        <v>1085</v>
      </c>
      <c r="D24" s="104">
        <v>1</v>
      </c>
    </row>
    <row r="25" spans="1:4" x14ac:dyDescent="0.2">
      <c r="A25" s="104" t="s">
        <v>131</v>
      </c>
      <c r="B25" s="104" t="s">
        <v>131</v>
      </c>
      <c r="C25" s="108" t="s">
        <v>1087</v>
      </c>
      <c r="D25" s="104">
        <v>1</v>
      </c>
    </row>
    <row r="26" spans="1:4" x14ac:dyDescent="0.2">
      <c r="A26" s="103" t="s">
        <v>132</v>
      </c>
      <c r="B26" s="103" t="s">
        <v>954</v>
      </c>
      <c r="C26" s="107" t="s">
        <v>1087</v>
      </c>
      <c r="D26" s="104">
        <v>1</v>
      </c>
    </row>
    <row r="27" spans="1:4" x14ac:dyDescent="0.2">
      <c r="A27" s="104" t="s">
        <v>285</v>
      </c>
      <c r="B27" s="104" t="s">
        <v>285</v>
      </c>
      <c r="C27" s="108" t="s">
        <v>1087</v>
      </c>
      <c r="D27" s="104">
        <v>1</v>
      </c>
    </row>
    <row r="28" spans="1:4" x14ac:dyDescent="0.2">
      <c r="A28" s="103" t="s">
        <v>134</v>
      </c>
      <c r="B28" s="103" t="s">
        <v>955</v>
      </c>
      <c r="C28" s="107" t="s">
        <v>1087</v>
      </c>
      <c r="D28" s="104">
        <v>1</v>
      </c>
    </row>
    <row r="29" spans="1:4" x14ac:dyDescent="0.2">
      <c r="A29" s="104" t="s">
        <v>135</v>
      </c>
      <c r="B29" s="104" t="s">
        <v>956</v>
      </c>
      <c r="C29" s="108" t="s">
        <v>1087</v>
      </c>
      <c r="D29" s="104">
        <v>1</v>
      </c>
    </row>
    <row r="30" spans="1:4" x14ac:dyDescent="0.2">
      <c r="A30" s="103" t="s">
        <v>136</v>
      </c>
      <c r="B30" s="103" t="s">
        <v>136</v>
      </c>
      <c r="C30" s="107" t="s">
        <v>1085</v>
      </c>
      <c r="D30" s="104">
        <v>1</v>
      </c>
    </row>
    <row r="31" spans="1:4" x14ac:dyDescent="0.2">
      <c r="A31" s="104" t="s">
        <v>137</v>
      </c>
      <c r="B31" s="104" t="s">
        <v>951</v>
      </c>
      <c r="C31" s="108" t="s">
        <v>1085</v>
      </c>
      <c r="D31" s="104">
        <v>1</v>
      </c>
    </row>
    <row r="32" spans="1:4" x14ac:dyDescent="0.2">
      <c r="A32" s="103" t="s">
        <v>140</v>
      </c>
      <c r="B32" s="103" t="s">
        <v>952</v>
      </c>
      <c r="C32" s="107" t="s">
        <v>1085</v>
      </c>
      <c r="D32" s="104">
        <v>1</v>
      </c>
    </row>
    <row r="33" spans="1:4" x14ac:dyDescent="0.2">
      <c r="A33" s="104" t="s">
        <v>152</v>
      </c>
      <c r="B33" s="104" t="s">
        <v>957</v>
      </c>
      <c r="C33" s="108" t="s">
        <v>1085</v>
      </c>
      <c r="D33" s="104">
        <v>1</v>
      </c>
    </row>
    <row r="34" spans="1:4" x14ac:dyDescent="0.2">
      <c r="A34" s="103" t="s">
        <v>166</v>
      </c>
      <c r="B34" s="103" t="s">
        <v>166</v>
      </c>
      <c r="C34" s="107" t="s">
        <v>1087</v>
      </c>
      <c r="D34" s="104">
        <v>0</v>
      </c>
    </row>
    <row r="35" spans="1:4" x14ac:dyDescent="0.2">
      <c r="A35" s="104" t="s">
        <v>185</v>
      </c>
      <c r="B35" s="104" t="s">
        <v>967</v>
      </c>
      <c r="C35" s="108" t="s">
        <v>656</v>
      </c>
      <c r="D35" s="104">
        <v>1</v>
      </c>
    </row>
    <row r="36" spans="1:4" x14ac:dyDescent="0.2">
      <c r="A36" s="103" t="s">
        <v>186</v>
      </c>
      <c r="B36" s="103" t="s">
        <v>968</v>
      </c>
      <c r="C36" s="107" t="s">
        <v>656</v>
      </c>
      <c r="D36" s="104">
        <v>1</v>
      </c>
    </row>
    <row r="37" spans="1:4" x14ac:dyDescent="0.2">
      <c r="A37" s="104" t="s">
        <v>187</v>
      </c>
      <c r="B37" s="104" t="s">
        <v>973</v>
      </c>
      <c r="C37" s="108" t="s">
        <v>656</v>
      </c>
      <c r="D37" s="104">
        <v>1</v>
      </c>
    </row>
    <row r="38" spans="1:4" x14ac:dyDescent="0.2">
      <c r="A38" s="103" t="s">
        <v>188</v>
      </c>
      <c r="B38" s="103" t="s">
        <v>974</v>
      </c>
      <c r="C38" s="107" t="s">
        <v>656</v>
      </c>
      <c r="D38" s="104">
        <v>1</v>
      </c>
    </row>
    <row r="39" spans="1:4" x14ac:dyDescent="0.2">
      <c r="A39" s="104" t="s">
        <v>189</v>
      </c>
      <c r="B39" s="104" t="s">
        <v>969</v>
      </c>
      <c r="C39" s="108" t="s">
        <v>656</v>
      </c>
      <c r="D39" s="104">
        <v>1</v>
      </c>
    </row>
    <row r="40" spans="1:4" x14ac:dyDescent="0.2">
      <c r="A40" s="103" t="s">
        <v>190</v>
      </c>
      <c r="B40" s="103" t="s">
        <v>970</v>
      </c>
      <c r="C40" s="107" t="s">
        <v>656</v>
      </c>
      <c r="D40" s="104">
        <v>1</v>
      </c>
    </row>
    <row r="41" spans="1:4" x14ac:dyDescent="0.2">
      <c r="A41" s="104" t="s">
        <v>191</v>
      </c>
      <c r="B41" s="104" t="s">
        <v>971</v>
      </c>
      <c r="C41" s="108" t="s">
        <v>656</v>
      </c>
      <c r="D41" s="104">
        <v>1</v>
      </c>
    </row>
    <row r="42" spans="1:4" x14ac:dyDescent="0.2">
      <c r="A42" s="103" t="s">
        <v>192</v>
      </c>
      <c r="B42" s="103" t="s">
        <v>982</v>
      </c>
      <c r="C42" s="107" t="s">
        <v>656</v>
      </c>
      <c r="D42" s="104">
        <v>1</v>
      </c>
    </row>
    <row r="43" spans="1:4" x14ac:dyDescent="0.2">
      <c r="A43" s="104" t="s">
        <v>208</v>
      </c>
      <c r="B43" s="104" t="s">
        <v>949</v>
      </c>
      <c r="C43" s="108" t="s">
        <v>1085</v>
      </c>
      <c r="D43" s="104">
        <v>1</v>
      </c>
    </row>
    <row r="44" spans="1:4" x14ac:dyDescent="0.2">
      <c r="A44" s="103" t="s">
        <v>209</v>
      </c>
      <c r="B44" s="103" t="s">
        <v>958</v>
      </c>
      <c r="C44" s="107" t="s">
        <v>1085</v>
      </c>
      <c r="D44" s="104">
        <v>1</v>
      </c>
    </row>
    <row r="45" spans="1:4" x14ac:dyDescent="0.2">
      <c r="A45" s="104" t="s">
        <v>211</v>
      </c>
      <c r="B45" s="104" t="s">
        <v>950</v>
      </c>
      <c r="C45" s="108" t="s">
        <v>1085</v>
      </c>
      <c r="D45" s="104">
        <v>1</v>
      </c>
    </row>
    <row r="46" spans="1:4" x14ac:dyDescent="0.2">
      <c r="A46" s="103" t="s">
        <v>212</v>
      </c>
      <c r="B46" s="103" t="s">
        <v>952</v>
      </c>
      <c r="C46" s="107" t="s">
        <v>1085</v>
      </c>
      <c r="D46" s="104">
        <v>1</v>
      </c>
    </row>
    <row r="47" spans="1:4" x14ac:dyDescent="0.2">
      <c r="A47" s="104" t="s">
        <v>221</v>
      </c>
      <c r="B47" s="104" t="s">
        <v>959</v>
      </c>
      <c r="C47" s="108" t="s">
        <v>1085</v>
      </c>
      <c r="D47" s="104">
        <v>1</v>
      </c>
    </row>
    <row r="48" spans="1:4" x14ac:dyDescent="0.2">
      <c r="A48" s="103" t="s">
        <v>223</v>
      </c>
      <c r="B48" s="103" t="s">
        <v>960</v>
      </c>
      <c r="C48" s="107" t="s">
        <v>0</v>
      </c>
      <c r="D48" s="104">
        <v>1</v>
      </c>
    </row>
    <row r="49" spans="1:4" x14ac:dyDescent="0.2">
      <c r="A49" s="104" t="s">
        <v>279</v>
      </c>
      <c r="B49" s="104" t="s">
        <v>941</v>
      </c>
      <c r="C49" s="108" t="s">
        <v>0</v>
      </c>
      <c r="D49" s="104">
        <v>1</v>
      </c>
    </row>
    <row r="50" spans="1:4" x14ac:dyDescent="0.2">
      <c r="A50" s="103" t="s">
        <v>311</v>
      </c>
      <c r="B50" s="103" t="s">
        <v>960</v>
      </c>
      <c r="C50" s="107" t="s">
        <v>0</v>
      </c>
      <c r="D50" s="104">
        <v>1</v>
      </c>
    </row>
    <row r="51" spans="1:4" x14ac:dyDescent="0.2">
      <c r="A51" s="104" t="s">
        <v>286</v>
      </c>
      <c r="B51" s="104" t="s">
        <v>961</v>
      </c>
      <c r="C51" s="108" t="s">
        <v>1087</v>
      </c>
      <c r="D51" s="104">
        <v>1</v>
      </c>
    </row>
    <row r="52" spans="1:4" x14ac:dyDescent="0.2">
      <c r="A52" s="103" t="s">
        <v>291</v>
      </c>
      <c r="B52" s="103" t="s">
        <v>985</v>
      </c>
      <c r="C52" s="107" t="s">
        <v>656</v>
      </c>
      <c r="D52" s="104">
        <v>1</v>
      </c>
    </row>
    <row r="53" spans="1:4" x14ac:dyDescent="0.2">
      <c r="A53" s="104" t="s">
        <v>292</v>
      </c>
      <c r="B53" s="104" t="s">
        <v>292</v>
      </c>
      <c r="C53" s="108" t="s">
        <v>656</v>
      </c>
      <c r="D53" s="104">
        <v>1</v>
      </c>
    </row>
    <row r="54" spans="1:4" x14ac:dyDescent="0.2">
      <c r="A54" s="103" t="s">
        <v>293</v>
      </c>
      <c r="B54" s="103" t="s">
        <v>293</v>
      </c>
      <c r="C54" s="107" t="s">
        <v>656</v>
      </c>
      <c r="D54" s="104">
        <v>1</v>
      </c>
    </row>
    <row r="55" spans="1:4" x14ac:dyDescent="0.2">
      <c r="A55" s="104" t="s">
        <v>294</v>
      </c>
      <c r="B55" s="104" t="s">
        <v>294</v>
      </c>
      <c r="C55" s="108" t="s">
        <v>656</v>
      </c>
      <c r="D55" s="104">
        <v>1</v>
      </c>
    </row>
    <row r="56" spans="1:4" x14ac:dyDescent="0.2">
      <c r="A56" s="103" t="s">
        <v>295</v>
      </c>
      <c r="B56" s="103" t="s">
        <v>295</v>
      </c>
      <c r="C56" s="107" t="s">
        <v>656</v>
      </c>
      <c r="D56" s="104">
        <v>1</v>
      </c>
    </row>
    <row r="57" spans="1:4" x14ac:dyDescent="0.2">
      <c r="A57" s="104" t="s">
        <v>296</v>
      </c>
      <c r="B57" s="104" t="s">
        <v>296</v>
      </c>
      <c r="C57" s="108" t="s">
        <v>656</v>
      </c>
      <c r="D57" s="104">
        <v>1</v>
      </c>
    </row>
    <row r="58" spans="1:4" x14ac:dyDescent="0.2">
      <c r="A58" s="103" t="s">
        <v>297</v>
      </c>
      <c r="B58" s="103" t="s">
        <v>297</v>
      </c>
      <c r="C58" s="107" t="s">
        <v>656</v>
      </c>
      <c r="D58" s="104">
        <v>1</v>
      </c>
    </row>
    <row r="59" spans="1:4" x14ac:dyDescent="0.2">
      <c r="A59" s="104" t="s">
        <v>298</v>
      </c>
      <c r="B59" s="104" t="s">
        <v>986</v>
      </c>
      <c r="C59" s="108" t="s">
        <v>656</v>
      </c>
      <c r="D59" s="104">
        <v>1</v>
      </c>
    </row>
    <row r="60" spans="1:4" x14ac:dyDescent="0.2">
      <c r="A60" s="103" t="s">
        <v>299</v>
      </c>
      <c r="B60" s="103" t="s">
        <v>299</v>
      </c>
      <c r="C60" s="107" t="s">
        <v>656</v>
      </c>
      <c r="D60" s="104">
        <v>1</v>
      </c>
    </row>
    <row r="61" spans="1:4" x14ac:dyDescent="0.2">
      <c r="A61" s="104" t="s">
        <v>327</v>
      </c>
      <c r="B61" s="104" t="s">
        <v>327</v>
      </c>
      <c r="C61" s="108" t="s">
        <v>0</v>
      </c>
      <c r="D61" s="104">
        <v>0</v>
      </c>
    </row>
    <row r="62" spans="1:4" x14ac:dyDescent="0.2">
      <c r="A62" s="103" t="s">
        <v>364</v>
      </c>
      <c r="B62" s="103" t="s">
        <v>950</v>
      </c>
      <c r="C62" s="107" t="s">
        <v>1085</v>
      </c>
      <c r="D62" s="104">
        <v>1</v>
      </c>
    </row>
    <row r="63" spans="1:4" x14ac:dyDescent="0.2">
      <c r="A63" s="104" t="s">
        <v>372</v>
      </c>
      <c r="B63" s="104" t="s">
        <v>962</v>
      </c>
      <c r="C63" s="108" t="s">
        <v>0</v>
      </c>
      <c r="D63" s="104">
        <v>1</v>
      </c>
    </row>
    <row r="64" spans="1:4" x14ac:dyDescent="0.2">
      <c r="A64" s="103" t="s">
        <v>375</v>
      </c>
      <c r="B64" s="103" t="s">
        <v>1139</v>
      </c>
      <c r="C64" s="107" t="s">
        <v>1085</v>
      </c>
      <c r="D64" s="104">
        <v>1</v>
      </c>
    </row>
    <row r="65" spans="1:4" x14ac:dyDescent="0.2">
      <c r="A65" s="104" t="s">
        <v>376</v>
      </c>
      <c r="B65" s="104" t="s">
        <v>963</v>
      </c>
      <c r="C65" s="108" t="s">
        <v>1085</v>
      </c>
      <c r="D65" s="104">
        <v>1</v>
      </c>
    </row>
    <row r="66" spans="1:4" x14ac:dyDescent="0.2">
      <c r="A66" s="103" t="s">
        <v>391</v>
      </c>
      <c r="B66" s="103" t="s">
        <v>949</v>
      </c>
      <c r="C66" s="107" t="s">
        <v>1085</v>
      </c>
      <c r="D66" s="104">
        <v>1</v>
      </c>
    </row>
    <row r="67" spans="1:4" x14ac:dyDescent="0.2">
      <c r="A67" s="104" t="s">
        <v>400</v>
      </c>
      <c r="B67" s="104" t="s">
        <v>400</v>
      </c>
      <c r="C67" s="108" t="s">
        <v>656</v>
      </c>
      <c r="D67" s="104">
        <v>1</v>
      </c>
    </row>
    <row r="68" spans="1:4" x14ac:dyDescent="0.2">
      <c r="A68" s="103" t="s">
        <v>405</v>
      </c>
      <c r="B68" s="103" t="s">
        <v>405</v>
      </c>
      <c r="C68" s="107" t="s">
        <v>1085</v>
      </c>
      <c r="D68" s="104">
        <v>1</v>
      </c>
    </row>
    <row r="69" spans="1:4" x14ac:dyDescent="0.2">
      <c r="A69" s="104" t="s">
        <v>417</v>
      </c>
      <c r="B69" s="104" t="s">
        <v>327</v>
      </c>
      <c r="C69" s="108" t="s">
        <v>0</v>
      </c>
      <c r="D69" s="104">
        <v>0</v>
      </c>
    </row>
    <row r="70" spans="1:4" x14ac:dyDescent="0.2">
      <c r="A70" s="103" t="s">
        <v>416</v>
      </c>
      <c r="B70" s="103" t="s">
        <v>416</v>
      </c>
      <c r="C70" s="107" t="s">
        <v>0</v>
      </c>
      <c r="D70" s="104">
        <v>0</v>
      </c>
    </row>
    <row r="71" spans="1:4" x14ac:dyDescent="0.2">
      <c r="A71" s="104" t="s">
        <v>1073</v>
      </c>
      <c r="B71" s="104" t="s">
        <v>948</v>
      </c>
      <c r="C71" s="108" t="s">
        <v>0</v>
      </c>
      <c r="D71" s="104">
        <v>1</v>
      </c>
    </row>
    <row r="72" spans="1:4" x14ac:dyDescent="0.2">
      <c r="A72" s="103" t="s">
        <v>539</v>
      </c>
      <c r="B72" s="103" t="s">
        <v>539</v>
      </c>
      <c r="C72" s="107" t="s">
        <v>1085</v>
      </c>
      <c r="D72" s="104">
        <v>1</v>
      </c>
    </row>
    <row r="73" spans="1:4" x14ac:dyDescent="0.2">
      <c r="A73" s="104" t="s">
        <v>540</v>
      </c>
      <c r="B73" s="104" t="s">
        <v>540</v>
      </c>
      <c r="C73" s="108" t="s">
        <v>1085</v>
      </c>
      <c r="D73" s="104">
        <v>0</v>
      </c>
    </row>
    <row r="74" spans="1:4" x14ac:dyDescent="0.2">
      <c r="A74" s="103" t="s">
        <v>541</v>
      </c>
      <c r="B74" s="103" t="s">
        <v>975</v>
      </c>
      <c r="C74" s="107" t="s">
        <v>1085</v>
      </c>
      <c r="D74" s="104">
        <v>1</v>
      </c>
    </row>
    <row r="75" spans="1:4" x14ac:dyDescent="0.2">
      <c r="A75" s="104" t="s">
        <v>546</v>
      </c>
      <c r="B75" s="104" t="s">
        <v>546</v>
      </c>
      <c r="C75" s="108" t="s">
        <v>1085</v>
      </c>
      <c r="D75" s="104">
        <v>0</v>
      </c>
    </row>
    <row r="76" spans="1:4" x14ac:dyDescent="0.2">
      <c r="A76" s="103" t="s">
        <v>578</v>
      </c>
      <c r="B76" s="103" t="s">
        <v>979</v>
      </c>
      <c r="C76" s="107" t="s">
        <v>0</v>
      </c>
      <c r="D76" s="104">
        <v>1</v>
      </c>
    </row>
    <row r="77" spans="1:4" x14ac:dyDescent="0.2">
      <c r="A77" s="104" t="s">
        <v>579</v>
      </c>
      <c r="B77" s="104" t="s">
        <v>941</v>
      </c>
      <c r="C77" s="108" t="s">
        <v>0</v>
      </c>
      <c r="D77" s="104">
        <v>1</v>
      </c>
    </row>
    <row r="78" spans="1:4" x14ac:dyDescent="0.2">
      <c r="A78" s="103" t="s">
        <v>718</v>
      </c>
      <c r="B78" s="103" t="s">
        <v>949</v>
      </c>
      <c r="C78" s="107" t="s">
        <v>1085</v>
      </c>
      <c r="D78" s="104">
        <v>1</v>
      </c>
    </row>
    <row r="79" spans="1:4" x14ac:dyDescent="0.2">
      <c r="A79" s="104" t="s">
        <v>661</v>
      </c>
      <c r="B79" s="104" t="s">
        <v>661</v>
      </c>
      <c r="C79" s="108" t="s">
        <v>0</v>
      </c>
      <c r="D79" s="104">
        <v>1</v>
      </c>
    </row>
    <row r="80" spans="1:4" x14ac:dyDescent="0.2">
      <c r="A80" s="103" t="s">
        <v>816</v>
      </c>
      <c r="B80" s="103" t="s">
        <v>978</v>
      </c>
      <c r="C80" s="107" t="s">
        <v>1085</v>
      </c>
      <c r="D80" s="104">
        <v>0</v>
      </c>
    </row>
    <row r="81" spans="1:4" x14ac:dyDescent="0.2">
      <c r="A81" s="104" t="s">
        <v>817</v>
      </c>
      <c r="B81" s="104" t="s">
        <v>979</v>
      </c>
      <c r="C81" s="108" t="s">
        <v>0</v>
      </c>
      <c r="D81" s="104">
        <v>1</v>
      </c>
    </row>
    <row r="82" spans="1:4" x14ac:dyDescent="0.2">
      <c r="A82" s="103" t="s">
        <v>827</v>
      </c>
      <c r="B82" s="103" t="s">
        <v>982</v>
      </c>
      <c r="C82" s="107" t="s">
        <v>656</v>
      </c>
      <c r="D82" s="104">
        <v>1</v>
      </c>
    </row>
    <row r="83" spans="1:4" x14ac:dyDescent="0.2">
      <c r="A83" s="104" t="s">
        <v>830</v>
      </c>
      <c r="B83" s="104" t="s">
        <v>983</v>
      </c>
      <c r="C83" s="108" t="s">
        <v>656</v>
      </c>
      <c r="D83" s="104">
        <v>1</v>
      </c>
    </row>
    <row r="84" spans="1:4" x14ac:dyDescent="0.2">
      <c r="A84" s="103" t="s">
        <v>834</v>
      </c>
      <c r="B84" s="103" t="s">
        <v>857</v>
      </c>
      <c r="C84" s="107" t="s">
        <v>1085</v>
      </c>
      <c r="D84" s="104">
        <v>1</v>
      </c>
    </row>
    <row r="85" spans="1:4" x14ac:dyDescent="0.2">
      <c r="A85" s="104" t="s">
        <v>836</v>
      </c>
      <c r="B85" s="104" t="s">
        <v>981</v>
      </c>
      <c r="C85" s="108" t="s">
        <v>1088</v>
      </c>
      <c r="D85" s="104">
        <v>1</v>
      </c>
    </row>
    <row r="86" spans="1:4" x14ac:dyDescent="0.2">
      <c r="A86" s="103" t="s">
        <v>857</v>
      </c>
      <c r="B86" s="103" t="s">
        <v>857</v>
      </c>
      <c r="C86" s="107" t="s">
        <v>1085</v>
      </c>
      <c r="D86" s="104">
        <v>1</v>
      </c>
    </row>
    <row r="87" spans="1:4" x14ac:dyDescent="0.2">
      <c r="A87" s="104" t="s">
        <v>858</v>
      </c>
      <c r="B87" s="104" t="s">
        <v>978</v>
      </c>
      <c r="C87" s="108" t="s">
        <v>1085</v>
      </c>
      <c r="D87" s="104">
        <v>0</v>
      </c>
    </row>
    <row r="88" spans="1:4" x14ac:dyDescent="0.2">
      <c r="A88" s="103" t="s">
        <v>879</v>
      </c>
      <c r="B88" s="103" t="s">
        <v>1139</v>
      </c>
      <c r="C88" s="107" t="s">
        <v>1085</v>
      </c>
      <c r="D88" s="104">
        <v>1</v>
      </c>
    </row>
    <row r="89" spans="1:4" x14ac:dyDescent="0.2">
      <c r="A89" s="104" t="s">
        <v>881</v>
      </c>
      <c r="B89" s="104" t="s">
        <v>946</v>
      </c>
      <c r="C89" s="108" t="s">
        <v>0</v>
      </c>
      <c r="D89" s="104">
        <v>1</v>
      </c>
    </row>
    <row r="90" spans="1:4" x14ac:dyDescent="0.2">
      <c r="A90" s="103" t="s">
        <v>886</v>
      </c>
      <c r="B90" s="103" t="s">
        <v>886</v>
      </c>
      <c r="C90" s="107" t="s">
        <v>1088</v>
      </c>
      <c r="D90" s="104">
        <v>1</v>
      </c>
    </row>
    <row r="91" spans="1:4" x14ac:dyDescent="0.2">
      <c r="A91" s="104" t="s">
        <v>887</v>
      </c>
      <c r="B91" s="104" t="s">
        <v>887</v>
      </c>
      <c r="C91" s="108" t="s">
        <v>1088</v>
      </c>
      <c r="D91" s="104">
        <v>1</v>
      </c>
    </row>
    <row r="92" spans="1:4" x14ac:dyDescent="0.2">
      <c r="A92" s="103" t="s">
        <v>929</v>
      </c>
      <c r="B92" s="103" t="s">
        <v>951</v>
      </c>
      <c r="C92" s="107" t="s">
        <v>1085</v>
      </c>
      <c r="D92" s="104">
        <v>1</v>
      </c>
    </row>
    <row r="93" spans="1:4" x14ac:dyDescent="0.2">
      <c r="A93" s="104" t="s">
        <v>934</v>
      </c>
      <c r="B93" s="104" t="s">
        <v>980</v>
      </c>
      <c r="C93" s="108" t="s">
        <v>1087</v>
      </c>
      <c r="D93" s="104">
        <v>1</v>
      </c>
    </row>
    <row r="94" spans="1:4" x14ac:dyDescent="0.2">
      <c r="A94" s="103" t="s">
        <v>935</v>
      </c>
      <c r="B94" s="103" t="s">
        <v>984</v>
      </c>
      <c r="C94" s="107" t="s">
        <v>1085</v>
      </c>
      <c r="D94" s="104">
        <v>0</v>
      </c>
    </row>
    <row r="95" spans="1:4" x14ac:dyDescent="0.2">
      <c r="A95" s="104" t="s">
        <v>936</v>
      </c>
      <c r="B95" s="104" t="s">
        <v>936</v>
      </c>
      <c r="C95" s="108" t="s">
        <v>1085</v>
      </c>
      <c r="D95" s="104">
        <v>0</v>
      </c>
    </row>
    <row r="96" spans="1:4" x14ac:dyDescent="0.2">
      <c r="A96" s="103" t="s">
        <v>999</v>
      </c>
      <c r="B96" s="103" t="s">
        <v>982</v>
      </c>
      <c r="C96" s="107" t="s">
        <v>656</v>
      </c>
      <c r="D96" s="104">
        <v>1</v>
      </c>
    </row>
    <row r="97" spans="1:4" x14ac:dyDescent="0.2">
      <c r="A97" s="104" t="s">
        <v>1000</v>
      </c>
      <c r="B97" s="104" t="s">
        <v>982</v>
      </c>
      <c r="C97" s="108" t="s">
        <v>656</v>
      </c>
      <c r="D97" s="104">
        <v>1</v>
      </c>
    </row>
    <row r="98" spans="1:4" x14ac:dyDescent="0.2">
      <c r="A98" s="103" t="s">
        <v>1025</v>
      </c>
      <c r="B98" s="103" t="s">
        <v>29</v>
      </c>
      <c r="C98" s="107" t="s">
        <v>0</v>
      </c>
      <c r="D98" s="104">
        <v>1</v>
      </c>
    </row>
    <row r="99" spans="1:4" x14ac:dyDescent="0.2">
      <c r="A99" s="104" t="s">
        <v>1026</v>
      </c>
      <c r="B99" s="104" t="s">
        <v>29</v>
      </c>
      <c r="C99" s="108" t="s">
        <v>0</v>
      </c>
      <c r="D99" s="104">
        <v>1</v>
      </c>
    </row>
    <row r="100" spans="1:4" x14ac:dyDescent="0.2">
      <c r="A100" s="103" t="s">
        <v>363</v>
      </c>
      <c r="B100" s="103" t="s">
        <v>363</v>
      </c>
      <c r="C100" s="108" t="s">
        <v>1085</v>
      </c>
      <c r="D100" s="104">
        <v>0</v>
      </c>
    </row>
    <row r="160" spans="1:1" ht="15" x14ac:dyDescent="0.25">
      <c r="A160" s="109"/>
    </row>
    <row r="161" spans="1:1" ht="15" x14ac:dyDescent="0.25">
      <c r="A161" s="109"/>
    </row>
    <row r="162" spans="1:1" ht="15" x14ac:dyDescent="0.25">
      <c r="A162" s="109"/>
    </row>
    <row r="163" spans="1:1" ht="15" x14ac:dyDescent="0.25">
      <c r="A163" s="109"/>
    </row>
    <row r="164" spans="1:1" ht="15" x14ac:dyDescent="0.25">
      <c r="A164" s="109"/>
    </row>
    <row r="165" spans="1:1" ht="15" x14ac:dyDescent="0.25">
      <c r="A165" s="109"/>
    </row>
    <row r="166" spans="1:1" ht="15" x14ac:dyDescent="0.25">
      <c r="A166" s="109"/>
    </row>
    <row r="167" spans="1:1" ht="15" x14ac:dyDescent="0.25">
      <c r="A167" s="109"/>
    </row>
    <row r="168" spans="1:1" ht="15" x14ac:dyDescent="0.25">
      <c r="A168" s="109"/>
    </row>
    <row r="169" spans="1:1" ht="15" x14ac:dyDescent="0.25">
      <c r="A169" s="10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48" sqref="A4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79" t="s">
        <v>1184</v>
      </c>
      <c r="B1" s="79" t="s">
        <v>1027</v>
      </c>
    </row>
    <row r="2" spans="1:2" x14ac:dyDescent="0.2">
      <c r="A2" s="105" t="s">
        <v>29</v>
      </c>
      <c r="B2" s="79" t="s">
        <v>1028</v>
      </c>
    </row>
    <row r="3" spans="1:2" x14ac:dyDescent="0.2">
      <c r="A3" s="105" t="s">
        <v>41</v>
      </c>
      <c r="B3" s="79" t="s">
        <v>1029</v>
      </c>
    </row>
    <row r="4" spans="1:2" x14ac:dyDescent="0.2">
      <c r="A4" s="105" t="s">
        <v>53</v>
      </c>
      <c r="B4" s="79" t="s">
        <v>1030</v>
      </c>
    </row>
    <row r="5" spans="1:2" x14ac:dyDescent="0.2">
      <c r="A5" s="105" t="s">
        <v>941</v>
      </c>
      <c r="B5" s="79" t="s">
        <v>1031</v>
      </c>
    </row>
    <row r="6" spans="1:2" x14ac:dyDescent="0.2">
      <c r="A6" s="105" t="s">
        <v>942</v>
      </c>
      <c r="B6" s="79" t="s">
        <v>1032</v>
      </c>
    </row>
    <row r="7" spans="1:2" x14ac:dyDescent="0.2">
      <c r="A7" s="105" t="s">
        <v>943</v>
      </c>
      <c r="B7" s="79" t="s">
        <v>1035</v>
      </c>
    </row>
    <row r="8" spans="1:2" x14ac:dyDescent="0.2">
      <c r="A8" s="105" t="s">
        <v>80</v>
      </c>
      <c r="B8" s="79" t="s">
        <v>1034</v>
      </c>
    </row>
    <row r="9" spans="1:2" x14ac:dyDescent="0.2">
      <c r="A9" s="105" t="s">
        <v>944</v>
      </c>
      <c r="B9" s="79" t="s">
        <v>1033</v>
      </c>
    </row>
    <row r="10" spans="1:2" x14ac:dyDescent="0.2">
      <c r="A10" s="105" t="s">
        <v>945</v>
      </c>
      <c r="B10" s="79" t="s">
        <v>1036</v>
      </c>
    </row>
    <row r="11" spans="1:2" x14ac:dyDescent="0.2">
      <c r="A11" s="105" t="s">
        <v>946</v>
      </c>
      <c r="B11" s="79" t="s">
        <v>1037</v>
      </c>
    </row>
    <row r="12" spans="1:2" x14ac:dyDescent="0.2">
      <c r="A12" s="105" t="s">
        <v>947</v>
      </c>
      <c r="B12" s="79" t="s">
        <v>1038</v>
      </c>
    </row>
    <row r="13" spans="1:2" x14ac:dyDescent="0.2">
      <c r="A13" s="105" t="s">
        <v>948</v>
      </c>
      <c r="B13" s="79" t="s">
        <v>1039</v>
      </c>
    </row>
    <row r="14" spans="1:2" x14ac:dyDescent="0.2">
      <c r="A14" s="105" t="s">
        <v>1139</v>
      </c>
      <c r="B14" s="79" t="s">
        <v>1040</v>
      </c>
    </row>
    <row r="15" spans="1:2" x14ac:dyDescent="0.2">
      <c r="A15" s="105" t="s">
        <v>949</v>
      </c>
      <c r="B15" s="79" t="s">
        <v>1041</v>
      </c>
    </row>
    <row r="16" spans="1:2" x14ac:dyDescent="0.2">
      <c r="A16" s="105" t="s">
        <v>950</v>
      </c>
      <c r="B16" s="79" t="s">
        <v>1042</v>
      </c>
    </row>
    <row r="17" spans="1:2" x14ac:dyDescent="0.2">
      <c r="A17" s="105" t="s">
        <v>951</v>
      </c>
      <c r="B17" s="79" t="s">
        <v>1043</v>
      </c>
    </row>
    <row r="18" spans="1:2" x14ac:dyDescent="0.2">
      <c r="A18" s="105" t="s">
        <v>952</v>
      </c>
      <c r="B18" s="79" t="s">
        <v>1044</v>
      </c>
    </row>
    <row r="19" spans="1:2" x14ac:dyDescent="0.2">
      <c r="A19" s="105" t="s">
        <v>953</v>
      </c>
      <c r="B19" s="79" t="s">
        <v>1045</v>
      </c>
    </row>
    <row r="20" spans="1:2" x14ac:dyDescent="0.2">
      <c r="A20" s="105" t="s">
        <v>131</v>
      </c>
      <c r="B20" s="79" t="s">
        <v>1046</v>
      </c>
    </row>
    <row r="21" spans="1:2" x14ac:dyDescent="0.2">
      <c r="A21" s="105" t="s">
        <v>954</v>
      </c>
      <c r="B21" s="79" t="s">
        <v>1050</v>
      </c>
    </row>
    <row r="22" spans="1:2" x14ac:dyDescent="0.2">
      <c r="A22" s="105" t="s">
        <v>285</v>
      </c>
      <c r="B22" s="79" t="s">
        <v>1040</v>
      </c>
    </row>
    <row r="23" spans="1:2" x14ac:dyDescent="0.2">
      <c r="A23" s="105" t="s">
        <v>955</v>
      </c>
      <c r="B23" s="79" t="s">
        <v>1041</v>
      </c>
    </row>
    <row r="24" spans="1:2" x14ac:dyDescent="0.2">
      <c r="A24" s="105" t="s">
        <v>956</v>
      </c>
      <c r="B24" s="79" t="s">
        <v>1047</v>
      </c>
    </row>
    <row r="25" spans="1:2" x14ac:dyDescent="0.2">
      <c r="A25" s="105" t="s">
        <v>136</v>
      </c>
      <c r="B25" s="79" t="s">
        <v>1043</v>
      </c>
    </row>
    <row r="26" spans="1:2" x14ac:dyDescent="0.2">
      <c r="A26" s="105" t="s">
        <v>957</v>
      </c>
      <c r="B26" s="79" t="s">
        <v>1049</v>
      </c>
    </row>
    <row r="27" spans="1:2" x14ac:dyDescent="0.2">
      <c r="A27" s="105" t="s">
        <v>166</v>
      </c>
      <c r="B27" s="79" t="s">
        <v>1051</v>
      </c>
    </row>
    <row r="28" spans="1:2" x14ac:dyDescent="0.2">
      <c r="A28" s="105" t="s">
        <v>967</v>
      </c>
      <c r="B28" s="79" t="s">
        <v>1052</v>
      </c>
    </row>
    <row r="29" spans="1:2" x14ac:dyDescent="0.2">
      <c r="A29" s="105" t="s">
        <v>968</v>
      </c>
      <c r="B29" s="79" t="s">
        <v>1053</v>
      </c>
    </row>
    <row r="30" spans="1:2" x14ac:dyDescent="0.2">
      <c r="A30" s="105" t="s">
        <v>973</v>
      </c>
      <c r="B30" s="79" t="s">
        <v>1054</v>
      </c>
    </row>
    <row r="31" spans="1:2" x14ac:dyDescent="0.2">
      <c r="A31" s="105" t="s">
        <v>974</v>
      </c>
      <c r="B31" s="79" t="s">
        <v>1055</v>
      </c>
    </row>
    <row r="32" spans="1:2" x14ac:dyDescent="0.2">
      <c r="A32" s="105" t="s">
        <v>969</v>
      </c>
      <c r="B32" s="79" t="s">
        <v>1056</v>
      </c>
    </row>
    <row r="33" spans="1:2" x14ac:dyDescent="0.2">
      <c r="A33" s="105" t="s">
        <v>970</v>
      </c>
      <c r="B33" s="79" t="s">
        <v>1057</v>
      </c>
    </row>
    <row r="34" spans="1:2" x14ac:dyDescent="0.2">
      <c r="A34" s="105" t="s">
        <v>971</v>
      </c>
      <c r="B34" s="79" t="s">
        <v>1058</v>
      </c>
    </row>
    <row r="35" spans="1:2" x14ac:dyDescent="0.2">
      <c r="A35" s="105" t="s">
        <v>982</v>
      </c>
      <c r="B35" s="79" t="s">
        <v>1041</v>
      </c>
    </row>
    <row r="36" spans="1:2" x14ac:dyDescent="0.2">
      <c r="A36" s="105" t="s">
        <v>958</v>
      </c>
      <c r="B36" s="79" t="s">
        <v>1059</v>
      </c>
    </row>
    <row r="37" spans="1:2" x14ac:dyDescent="0.2">
      <c r="A37" s="105" t="s">
        <v>959</v>
      </c>
      <c r="B37" s="79" t="s">
        <v>1062</v>
      </c>
    </row>
    <row r="38" spans="1:2" x14ac:dyDescent="0.2">
      <c r="A38" s="105" t="s">
        <v>960</v>
      </c>
      <c r="B38" s="79" t="s">
        <v>1063</v>
      </c>
    </row>
    <row r="39" spans="1:2" x14ac:dyDescent="0.2">
      <c r="A39" s="105" t="s">
        <v>961</v>
      </c>
      <c r="B39" s="79" t="s">
        <v>1038</v>
      </c>
    </row>
    <row r="40" spans="1:2" x14ac:dyDescent="0.2">
      <c r="A40" s="105" t="s">
        <v>985</v>
      </c>
      <c r="B40" s="79" t="s">
        <v>1064</v>
      </c>
    </row>
    <row r="41" spans="1:2" x14ac:dyDescent="0.2">
      <c r="A41" s="105" t="s">
        <v>292</v>
      </c>
      <c r="B41" s="79" t="s">
        <v>1065</v>
      </c>
    </row>
    <row r="42" spans="1:2" x14ac:dyDescent="0.2">
      <c r="A42" s="105" t="s">
        <v>293</v>
      </c>
      <c r="B42" s="79" t="s">
        <v>1066</v>
      </c>
    </row>
    <row r="43" spans="1:2" x14ac:dyDescent="0.2">
      <c r="A43" s="105" t="s">
        <v>294</v>
      </c>
      <c r="B43" s="79" t="s">
        <v>1067</v>
      </c>
    </row>
    <row r="44" spans="1:2" x14ac:dyDescent="0.2">
      <c r="A44" s="105" t="s">
        <v>295</v>
      </c>
      <c r="B44" s="79" t="s">
        <v>1068</v>
      </c>
    </row>
    <row r="45" spans="1:2" x14ac:dyDescent="0.2">
      <c r="A45" s="105" t="s">
        <v>296</v>
      </c>
      <c r="B45" s="79" t="s">
        <v>1061</v>
      </c>
    </row>
    <row r="46" spans="1:2" x14ac:dyDescent="0.2">
      <c r="A46" s="105" t="s">
        <v>297</v>
      </c>
      <c r="B46" s="79" t="s">
        <v>1069</v>
      </c>
    </row>
    <row r="47" spans="1:2" x14ac:dyDescent="0.2">
      <c r="A47" s="105" t="s">
        <v>986</v>
      </c>
      <c r="B47" s="79" t="s">
        <v>1084</v>
      </c>
    </row>
    <row r="48" spans="1:2" x14ac:dyDescent="0.2">
      <c r="A48" s="105" t="s">
        <v>299</v>
      </c>
      <c r="B48" s="79" t="s">
        <v>1070</v>
      </c>
    </row>
    <row r="49" spans="1:2" x14ac:dyDescent="0.2">
      <c r="A49" s="105" t="s">
        <v>327</v>
      </c>
      <c r="B49" s="79" t="s">
        <v>1071</v>
      </c>
    </row>
    <row r="50" spans="1:2" x14ac:dyDescent="0.2">
      <c r="A50" s="105" t="s">
        <v>962</v>
      </c>
      <c r="B50" s="79" t="s">
        <v>1072</v>
      </c>
    </row>
    <row r="51" spans="1:2" x14ac:dyDescent="0.2">
      <c r="A51" s="105" t="s">
        <v>963</v>
      </c>
      <c r="B51" s="79" t="s">
        <v>1133</v>
      </c>
    </row>
    <row r="52" spans="1:2" x14ac:dyDescent="0.2">
      <c r="A52" s="105" t="s">
        <v>400</v>
      </c>
      <c r="B52" s="79" t="s">
        <v>1062</v>
      </c>
    </row>
    <row r="53" spans="1:2" x14ac:dyDescent="0.2">
      <c r="A53" s="105" t="s">
        <v>405</v>
      </c>
      <c r="B53" s="79" t="s">
        <v>1074</v>
      </c>
    </row>
    <row r="54" spans="1:2" x14ac:dyDescent="0.2">
      <c r="A54" s="105" t="s">
        <v>416</v>
      </c>
      <c r="B54" s="79" t="s">
        <v>1053</v>
      </c>
    </row>
    <row r="55" spans="1:2" x14ac:dyDescent="0.2">
      <c r="A55" s="105" t="s">
        <v>539</v>
      </c>
      <c r="B55" s="79" t="s">
        <v>1075</v>
      </c>
    </row>
    <row r="56" spans="1:2" x14ac:dyDescent="0.2">
      <c r="A56" s="105" t="s">
        <v>540</v>
      </c>
      <c r="B56" s="79" t="s">
        <v>1076</v>
      </c>
    </row>
    <row r="57" spans="1:2" x14ac:dyDescent="0.2">
      <c r="A57" s="105" t="s">
        <v>975</v>
      </c>
      <c r="B57" s="79" t="s">
        <v>1051</v>
      </c>
    </row>
    <row r="58" spans="1:2" x14ac:dyDescent="0.2">
      <c r="A58" s="105" t="s">
        <v>546</v>
      </c>
      <c r="B58" s="79" t="s">
        <v>1077</v>
      </c>
    </row>
    <row r="59" spans="1:2" x14ac:dyDescent="0.2">
      <c r="A59" s="105" t="s">
        <v>979</v>
      </c>
      <c r="B59" s="79" t="s">
        <v>1060</v>
      </c>
    </row>
    <row r="60" spans="1:2" x14ac:dyDescent="0.2">
      <c r="A60" s="105" t="s">
        <v>661</v>
      </c>
      <c r="B60" s="79" t="s">
        <v>1078</v>
      </c>
    </row>
    <row r="61" spans="1:2" x14ac:dyDescent="0.2">
      <c r="A61" s="105" t="s">
        <v>978</v>
      </c>
      <c r="B61" s="79" t="s">
        <v>1079</v>
      </c>
    </row>
    <row r="62" spans="1:2" x14ac:dyDescent="0.2">
      <c r="A62" s="105" t="s">
        <v>983</v>
      </c>
      <c r="B62" s="79" t="s">
        <v>1062</v>
      </c>
    </row>
    <row r="63" spans="1:2" x14ac:dyDescent="0.2">
      <c r="A63" s="105" t="s">
        <v>857</v>
      </c>
      <c r="B63" s="79" t="s">
        <v>1080</v>
      </c>
    </row>
    <row r="64" spans="1:2" x14ac:dyDescent="0.2">
      <c r="A64" s="105" t="s">
        <v>981</v>
      </c>
      <c r="B64" s="79" t="s">
        <v>1081</v>
      </c>
    </row>
    <row r="65" spans="1:2" x14ac:dyDescent="0.2">
      <c r="A65" s="105" t="s">
        <v>886</v>
      </c>
      <c r="B65" s="79" t="s">
        <v>1082</v>
      </c>
    </row>
    <row r="66" spans="1:2" x14ac:dyDescent="0.2">
      <c r="A66" s="105" t="s">
        <v>887</v>
      </c>
      <c r="B66" s="79" t="s">
        <v>1050</v>
      </c>
    </row>
    <row r="67" spans="1:2" x14ac:dyDescent="0.2">
      <c r="A67" s="105" t="s">
        <v>980</v>
      </c>
      <c r="B67" s="79" t="s">
        <v>1070</v>
      </c>
    </row>
    <row r="68" spans="1:2" x14ac:dyDescent="0.2">
      <c r="A68" s="105" t="s">
        <v>984</v>
      </c>
      <c r="B68" s="79" t="s">
        <v>1048</v>
      </c>
    </row>
    <row r="69" spans="1:2" x14ac:dyDescent="0.2">
      <c r="A69" s="105" t="s">
        <v>936</v>
      </c>
      <c r="B69" s="79" t="s">
        <v>1083</v>
      </c>
    </row>
    <row r="70" spans="1:2" x14ac:dyDescent="0.2">
      <c r="A70" s="105" t="s">
        <v>363</v>
      </c>
      <c r="B70" s="79" t="s">
        <v>1070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B52" workbookViewId="0">
      <selection activeCell="E1" sqref="E1:F1048576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0" t="s">
        <v>940</v>
      </c>
      <c r="B1" s="90" t="s">
        <v>964</v>
      </c>
      <c r="C1" s="90" t="s">
        <v>965</v>
      </c>
      <c r="D1" s="90" t="s">
        <v>966</v>
      </c>
      <c r="E1" s="90" t="s">
        <v>1086</v>
      </c>
      <c r="F1" s="1" t="s">
        <v>1138</v>
      </c>
    </row>
    <row r="2" spans="1:6" x14ac:dyDescent="0.2">
      <c r="A2" s="91" t="s">
        <v>29</v>
      </c>
      <c r="B2" s="91" t="s">
        <v>29</v>
      </c>
      <c r="C2" s="91" t="s">
        <v>1137</v>
      </c>
      <c r="D2" s="91" t="s">
        <v>1137</v>
      </c>
      <c r="E2" s="92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1137</v>
      </c>
      <c r="D3" s="1" t="s">
        <v>1137</v>
      </c>
      <c r="E3" s="93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1137</v>
      </c>
      <c r="D4" s="6" t="s">
        <v>1137</v>
      </c>
      <c r="E4" s="94" t="s">
        <v>0</v>
      </c>
      <c r="F4" s="1">
        <v>1</v>
      </c>
    </row>
    <row r="5" spans="1:6" x14ac:dyDescent="0.2">
      <c r="A5" s="1" t="s">
        <v>71</v>
      </c>
      <c r="B5" s="1" t="s">
        <v>941</v>
      </c>
      <c r="C5" s="1" t="s">
        <v>1137</v>
      </c>
      <c r="D5" s="1" t="s">
        <v>1137</v>
      </c>
      <c r="E5" s="93" t="s">
        <v>0</v>
      </c>
      <c r="F5" s="1">
        <v>1</v>
      </c>
    </row>
    <row r="6" spans="1:6" x14ac:dyDescent="0.2">
      <c r="A6" s="6" t="s">
        <v>75</v>
      </c>
      <c r="B6" s="6" t="s">
        <v>941</v>
      </c>
      <c r="C6" s="6" t="s">
        <v>1137</v>
      </c>
      <c r="D6" s="6" t="s">
        <v>1137</v>
      </c>
      <c r="E6" s="94" t="s">
        <v>0</v>
      </c>
      <c r="F6" s="1">
        <v>1</v>
      </c>
    </row>
    <row r="7" spans="1:6" x14ac:dyDescent="0.2">
      <c r="A7" s="1" t="s">
        <v>76</v>
      </c>
      <c r="B7" s="1" t="s">
        <v>942</v>
      </c>
      <c r="C7" s="1" t="s">
        <v>1137</v>
      </c>
      <c r="D7" s="1" t="s">
        <v>1137</v>
      </c>
      <c r="E7" s="93" t="s">
        <v>0</v>
      </c>
      <c r="F7" s="1">
        <v>1</v>
      </c>
    </row>
    <row r="8" spans="1:6" x14ac:dyDescent="0.2">
      <c r="A8" s="6" t="s">
        <v>79</v>
      </c>
      <c r="B8" s="6" t="s">
        <v>943</v>
      </c>
      <c r="C8" s="6" t="s">
        <v>1137</v>
      </c>
      <c r="D8" s="6" t="s">
        <v>1137</v>
      </c>
      <c r="E8" s="94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1137</v>
      </c>
      <c r="D9" s="1" t="s">
        <v>1137</v>
      </c>
      <c r="E9" s="93" t="s">
        <v>0</v>
      </c>
      <c r="F9" s="1">
        <v>1</v>
      </c>
    </row>
    <row r="10" spans="1:6" x14ac:dyDescent="0.2">
      <c r="A10" s="6" t="s">
        <v>81</v>
      </c>
      <c r="B10" s="6" t="s">
        <v>944</v>
      </c>
      <c r="C10" s="6" t="s">
        <v>1137</v>
      </c>
      <c r="D10" s="6" t="s">
        <v>1137</v>
      </c>
      <c r="E10" s="94" t="s">
        <v>0</v>
      </c>
      <c r="F10" s="1">
        <v>1</v>
      </c>
    </row>
    <row r="11" spans="1:6" x14ac:dyDescent="0.2">
      <c r="A11" s="1" t="s">
        <v>83</v>
      </c>
      <c r="B11" s="1" t="s">
        <v>945</v>
      </c>
      <c r="C11" s="1" t="s">
        <v>1137</v>
      </c>
      <c r="D11" s="1" t="s">
        <v>1137</v>
      </c>
      <c r="E11" s="93" t="s">
        <v>0</v>
      </c>
      <c r="F11" s="1">
        <v>1</v>
      </c>
    </row>
    <row r="12" spans="1:6" x14ac:dyDescent="0.2">
      <c r="A12" s="6" t="s">
        <v>946</v>
      </c>
      <c r="B12" s="6" t="s">
        <v>946</v>
      </c>
      <c r="C12" s="6" t="s">
        <v>1137</v>
      </c>
      <c r="D12" s="6" t="s">
        <v>1137</v>
      </c>
      <c r="E12" s="94" t="s">
        <v>0</v>
      </c>
      <c r="F12" s="1">
        <v>1</v>
      </c>
    </row>
    <row r="13" spans="1:6" x14ac:dyDescent="0.2">
      <c r="A13" s="1" t="s">
        <v>90</v>
      </c>
      <c r="B13" s="1" t="s">
        <v>947</v>
      </c>
      <c r="C13" s="1" t="s">
        <v>1137</v>
      </c>
      <c r="D13" s="1" t="s">
        <v>1137</v>
      </c>
      <c r="E13" s="93" t="s">
        <v>1085</v>
      </c>
      <c r="F13" s="1">
        <v>1</v>
      </c>
    </row>
    <row r="14" spans="1:6" x14ac:dyDescent="0.2">
      <c r="A14" s="6" t="s">
        <v>210</v>
      </c>
      <c r="B14" s="6" t="s">
        <v>948</v>
      </c>
      <c r="C14" s="6" t="s">
        <v>1137</v>
      </c>
      <c r="D14" s="6" t="s">
        <v>1137</v>
      </c>
      <c r="E14" s="94" t="s">
        <v>1085</v>
      </c>
      <c r="F14" s="1">
        <v>1</v>
      </c>
    </row>
    <row r="15" spans="1:6" x14ac:dyDescent="0.2">
      <c r="A15" s="1" t="s">
        <v>99</v>
      </c>
      <c r="B15" s="1" t="s">
        <v>947</v>
      </c>
      <c r="C15" s="1" t="s">
        <v>1137</v>
      </c>
      <c r="D15" s="1" t="s">
        <v>1137</v>
      </c>
      <c r="E15" s="93" t="s">
        <v>1085</v>
      </c>
      <c r="F15" s="1">
        <v>1</v>
      </c>
    </row>
    <row r="16" spans="1:6" x14ac:dyDescent="0.2">
      <c r="A16" s="6" t="s">
        <v>1134</v>
      </c>
      <c r="B16" s="6" t="s">
        <v>1139</v>
      </c>
      <c r="C16" s="6" t="s">
        <v>1137</v>
      </c>
      <c r="D16" s="6" t="s">
        <v>1137</v>
      </c>
      <c r="E16" s="94" t="s">
        <v>1085</v>
      </c>
      <c r="F16" s="1">
        <v>1</v>
      </c>
    </row>
    <row r="17" spans="1:6" x14ac:dyDescent="0.2">
      <c r="A17" s="1" t="s">
        <v>101</v>
      </c>
      <c r="B17" s="1" t="s">
        <v>949</v>
      </c>
      <c r="C17" s="1" t="s">
        <v>1137</v>
      </c>
      <c r="D17" s="1" t="s">
        <v>1137</v>
      </c>
      <c r="E17" s="93" t="s">
        <v>1085</v>
      </c>
      <c r="F17" s="1">
        <v>1</v>
      </c>
    </row>
    <row r="18" spans="1:6" x14ac:dyDescent="0.2">
      <c r="A18" s="6" t="s">
        <v>102</v>
      </c>
      <c r="B18" s="6" t="s">
        <v>950</v>
      </c>
      <c r="C18" s="6" t="s">
        <v>1137</v>
      </c>
      <c r="D18" s="6" t="s">
        <v>1137</v>
      </c>
      <c r="E18" s="94" t="s">
        <v>1085</v>
      </c>
      <c r="F18" s="1">
        <v>1</v>
      </c>
    </row>
    <row r="19" spans="1:6" x14ac:dyDescent="0.2">
      <c r="A19" s="1" t="s">
        <v>103</v>
      </c>
      <c r="B19" s="1" t="s">
        <v>950</v>
      </c>
      <c r="C19" s="1" t="s">
        <v>1137</v>
      </c>
      <c r="D19" s="1" t="s">
        <v>1137</v>
      </c>
      <c r="E19" s="93" t="s">
        <v>1085</v>
      </c>
      <c r="F19" s="1">
        <v>1</v>
      </c>
    </row>
    <row r="20" spans="1:6" x14ac:dyDescent="0.2">
      <c r="A20" s="6" t="s">
        <v>104</v>
      </c>
      <c r="B20" s="6" t="s">
        <v>950</v>
      </c>
      <c r="C20" s="6" t="s">
        <v>1137</v>
      </c>
      <c r="D20" s="6" t="s">
        <v>1137</v>
      </c>
      <c r="E20" s="94" t="s">
        <v>1085</v>
      </c>
      <c r="F20" s="1">
        <v>1</v>
      </c>
    </row>
    <row r="21" spans="1:6" x14ac:dyDescent="0.2">
      <c r="A21" s="1" t="s">
        <v>105</v>
      </c>
      <c r="B21" s="1" t="s">
        <v>950</v>
      </c>
      <c r="C21" s="1" t="s">
        <v>1137</v>
      </c>
      <c r="D21" s="1" t="s">
        <v>1137</v>
      </c>
      <c r="E21" s="93" t="s">
        <v>1085</v>
      </c>
      <c r="F21" s="1">
        <v>1</v>
      </c>
    </row>
    <row r="22" spans="1:6" x14ac:dyDescent="0.2">
      <c r="A22" s="6" t="s">
        <v>138</v>
      </c>
      <c r="B22" s="6" t="s">
        <v>951</v>
      </c>
      <c r="C22" s="6" t="s">
        <v>1137</v>
      </c>
      <c r="D22" s="6" t="s">
        <v>1137</v>
      </c>
      <c r="E22" s="94" t="s">
        <v>1085</v>
      </c>
      <c r="F22" s="1">
        <v>1</v>
      </c>
    </row>
    <row r="23" spans="1:6" x14ac:dyDescent="0.2">
      <c r="A23" s="1" t="s">
        <v>139</v>
      </c>
      <c r="B23" s="1" t="s">
        <v>952</v>
      </c>
      <c r="C23" s="1" t="s">
        <v>1137</v>
      </c>
      <c r="D23" s="1" t="s">
        <v>1137</v>
      </c>
      <c r="E23" s="93" t="s">
        <v>1085</v>
      </c>
      <c r="F23" s="1">
        <v>1</v>
      </c>
    </row>
    <row r="24" spans="1:6" x14ac:dyDescent="0.2">
      <c r="A24" s="6" t="s">
        <v>126</v>
      </c>
      <c r="B24" s="6" t="s">
        <v>953</v>
      </c>
      <c r="C24" s="6" t="s">
        <v>1137</v>
      </c>
      <c r="D24" s="6" t="s">
        <v>1137</v>
      </c>
      <c r="E24" s="94" t="s">
        <v>1085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1137</v>
      </c>
      <c r="D25" s="1" t="s">
        <v>1137</v>
      </c>
      <c r="E25" s="93" t="s">
        <v>1087</v>
      </c>
      <c r="F25" s="1">
        <v>1</v>
      </c>
    </row>
    <row r="26" spans="1:6" x14ac:dyDescent="0.2">
      <c r="A26" s="6" t="s">
        <v>132</v>
      </c>
      <c r="B26" s="6" t="s">
        <v>954</v>
      </c>
      <c r="C26" s="6" t="s">
        <v>1137</v>
      </c>
      <c r="D26" s="6" t="s">
        <v>1137</v>
      </c>
      <c r="E26" s="94" t="s">
        <v>1087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1137</v>
      </c>
      <c r="D27" s="1" t="s">
        <v>1137</v>
      </c>
      <c r="E27" s="93" t="s">
        <v>1087</v>
      </c>
      <c r="F27" s="1">
        <v>1</v>
      </c>
    </row>
    <row r="28" spans="1:6" x14ac:dyDescent="0.2">
      <c r="A28" s="6" t="s">
        <v>134</v>
      </c>
      <c r="B28" s="6" t="s">
        <v>955</v>
      </c>
      <c r="C28" s="6" t="s">
        <v>1137</v>
      </c>
      <c r="D28" s="6" t="s">
        <v>1137</v>
      </c>
      <c r="E28" s="94" t="s">
        <v>1087</v>
      </c>
      <c r="F28" s="1">
        <v>1</v>
      </c>
    </row>
    <row r="29" spans="1:6" x14ac:dyDescent="0.2">
      <c r="A29" s="1" t="s">
        <v>135</v>
      </c>
      <c r="B29" s="1" t="s">
        <v>956</v>
      </c>
      <c r="C29" s="1" t="s">
        <v>1137</v>
      </c>
      <c r="D29" s="1" t="s">
        <v>1137</v>
      </c>
      <c r="E29" s="93" t="s">
        <v>1087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1137</v>
      </c>
      <c r="D30" s="6" t="s">
        <v>1137</v>
      </c>
      <c r="E30" s="94" t="s">
        <v>1085</v>
      </c>
      <c r="F30" s="1">
        <v>1</v>
      </c>
    </row>
    <row r="31" spans="1:6" x14ac:dyDescent="0.2">
      <c r="A31" s="1" t="s">
        <v>137</v>
      </c>
      <c r="B31" s="1" t="s">
        <v>951</v>
      </c>
      <c r="C31" s="1" t="s">
        <v>1137</v>
      </c>
      <c r="D31" s="1" t="s">
        <v>1137</v>
      </c>
      <c r="E31" s="93" t="s">
        <v>1085</v>
      </c>
      <c r="F31" s="1">
        <v>1</v>
      </c>
    </row>
    <row r="32" spans="1:6" x14ac:dyDescent="0.2">
      <c r="A32" s="6" t="s">
        <v>140</v>
      </c>
      <c r="B32" s="6" t="s">
        <v>952</v>
      </c>
      <c r="C32" s="6" t="s">
        <v>1137</v>
      </c>
      <c r="D32" s="6" t="s">
        <v>1137</v>
      </c>
      <c r="E32" s="94" t="s">
        <v>1085</v>
      </c>
      <c r="F32" s="1">
        <v>1</v>
      </c>
    </row>
    <row r="33" spans="1:6" x14ac:dyDescent="0.2">
      <c r="A33" s="1" t="s">
        <v>152</v>
      </c>
      <c r="B33" s="1" t="s">
        <v>957</v>
      </c>
      <c r="C33" s="1" t="s">
        <v>1137</v>
      </c>
      <c r="D33" s="1" t="s">
        <v>1137</v>
      </c>
      <c r="E33" s="93" t="s">
        <v>1085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954</v>
      </c>
      <c r="D34" s="94" t="s">
        <v>285</v>
      </c>
      <c r="E34" s="94" t="s">
        <v>1087</v>
      </c>
      <c r="F34" s="1">
        <v>0</v>
      </c>
    </row>
    <row r="35" spans="1:6" x14ac:dyDescent="0.2">
      <c r="A35" s="1" t="s">
        <v>185</v>
      </c>
      <c r="B35" s="1" t="s">
        <v>967</v>
      </c>
      <c r="C35" s="1" t="s">
        <v>1137</v>
      </c>
      <c r="D35" s="1" t="s">
        <v>1137</v>
      </c>
      <c r="E35" s="93" t="s">
        <v>656</v>
      </c>
      <c r="F35" s="1">
        <v>1</v>
      </c>
    </row>
    <row r="36" spans="1:6" x14ac:dyDescent="0.2">
      <c r="A36" s="6" t="s">
        <v>186</v>
      </c>
      <c r="B36" s="6" t="s">
        <v>968</v>
      </c>
      <c r="C36" s="6" t="s">
        <v>1137</v>
      </c>
      <c r="D36" s="6" t="s">
        <v>1137</v>
      </c>
      <c r="E36" s="94" t="s">
        <v>656</v>
      </c>
      <c r="F36" s="1">
        <v>1</v>
      </c>
    </row>
    <row r="37" spans="1:6" x14ac:dyDescent="0.2">
      <c r="A37" s="1" t="s">
        <v>187</v>
      </c>
      <c r="B37" s="1" t="s">
        <v>973</v>
      </c>
      <c r="C37" s="1" t="s">
        <v>1137</v>
      </c>
      <c r="D37" s="1" t="s">
        <v>1137</v>
      </c>
      <c r="E37" s="93" t="s">
        <v>656</v>
      </c>
      <c r="F37" s="1">
        <v>1</v>
      </c>
    </row>
    <row r="38" spans="1:6" x14ac:dyDescent="0.2">
      <c r="A38" s="6" t="s">
        <v>188</v>
      </c>
      <c r="B38" s="6" t="s">
        <v>974</v>
      </c>
      <c r="C38" s="6" t="s">
        <v>1137</v>
      </c>
      <c r="D38" s="6" t="s">
        <v>1137</v>
      </c>
      <c r="E38" s="94" t="s">
        <v>656</v>
      </c>
      <c r="F38" s="1">
        <v>1</v>
      </c>
    </row>
    <row r="39" spans="1:6" x14ac:dyDescent="0.2">
      <c r="A39" s="1" t="s">
        <v>189</v>
      </c>
      <c r="B39" s="1" t="s">
        <v>969</v>
      </c>
      <c r="C39" s="1" t="s">
        <v>1137</v>
      </c>
      <c r="D39" s="1" t="s">
        <v>1137</v>
      </c>
      <c r="E39" s="93" t="s">
        <v>656</v>
      </c>
      <c r="F39" s="1">
        <v>1</v>
      </c>
    </row>
    <row r="40" spans="1:6" x14ac:dyDescent="0.2">
      <c r="A40" s="6" t="s">
        <v>190</v>
      </c>
      <c r="B40" s="6" t="s">
        <v>970</v>
      </c>
      <c r="C40" s="6" t="s">
        <v>1137</v>
      </c>
      <c r="D40" s="6" t="s">
        <v>1137</v>
      </c>
      <c r="E40" s="94" t="s">
        <v>656</v>
      </c>
      <c r="F40" s="1">
        <v>1</v>
      </c>
    </row>
    <row r="41" spans="1:6" x14ac:dyDescent="0.2">
      <c r="A41" s="1" t="s">
        <v>191</v>
      </c>
      <c r="B41" s="1" t="s">
        <v>971</v>
      </c>
      <c r="C41" s="1" t="s">
        <v>1137</v>
      </c>
      <c r="D41" s="1" t="s">
        <v>1137</v>
      </c>
      <c r="E41" s="93" t="s">
        <v>656</v>
      </c>
      <c r="F41" s="1">
        <v>1</v>
      </c>
    </row>
    <row r="42" spans="1:6" x14ac:dyDescent="0.2">
      <c r="A42" s="6" t="s">
        <v>192</v>
      </c>
      <c r="B42" s="6" t="s">
        <v>982</v>
      </c>
      <c r="C42" s="6" t="s">
        <v>1137</v>
      </c>
      <c r="D42" s="6" t="s">
        <v>1137</v>
      </c>
      <c r="E42" s="94" t="s">
        <v>656</v>
      </c>
      <c r="F42" s="1">
        <v>1</v>
      </c>
    </row>
    <row r="43" spans="1:6" x14ac:dyDescent="0.2">
      <c r="A43" s="1" t="s">
        <v>208</v>
      </c>
      <c r="B43" s="1" t="s">
        <v>949</v>
      </c>
      <c r="C43" s="1" t="s">
        <v>1137</v>
      </c>
      <c r="D43" s="1" t="s">
        <v>1137</v>
      </c>
      <c r="E43" s="93" t="s">
        <v>1085</v>
      </c>
      <c r="F43" s="1">
        <v>1</v>
      </c>
    </row>
    <row r="44" spans="1:6" x14ac:dyDescent="0.2">
      <c r="A44" s="6" t="s">
        <v>209</v>
      </c>
      <c r="B44" s="6" t="s">
        <v>958</v>
      </c>
      <c r="C44" s="6" t="s">
        <v>1137</v>
      </c>
      <c r="D44" s="6" t="s">
        <v>1137</v>
      </c>
      <c r="E44" s="94" t="s">
        <v>1085</v>
      </c>
      <c r="F44" s="1">
        <v>1</v>
      </c>
    </row>
    <row r="45" spans="1:6" x14ac:dyDescent="0.2">
      <c r="A45" s="1" t="s">
        <v>211</v>
      </c>
      <c r="B45" s="1" t="s">
        <v>950</v>
      </c>
      <c r="C45" s="1" t="s">
        <v>1137</v>
      </c>
      <c r="D45" s="1" t="s">
        <v>1137</v>
      </c>
      <c r="E45" s="93" t="s">
        <v>1085</v>
      </c>
      <c r="F45" s="1">
        <v>1</v>
      </c>
    </row>
    <row r="46" spans="1:6" x14ac:dyDescent="0.2">
      <c r="A46" s="6" t="s">
        <v>212</v>
      </c>
      <c r="B46" s="6" t="s">
        <v>952</v>
      </c>
      <c r="C46" s="6" t="s">
        <v>136</v>
      </c>
      <c r="D46" s="6" t="s">
        <v>1137</v>
      </c>
      <c r="E46" s="94" t="s">
        <v>1085</v>
      </c>
      <c r="F46" s="1">
        <v>1</v>
      </c>
    </row>
    <row r="47" spans="1:6" x14ac:dyDescent="0.2">
      <c r="A47" s="1" t="s">
        <v>221</v>
      </c>
      <c r="B47" s="1" t="s">
        <v>959</v>
      </c>
      <c r="C47" s="1" t="s">
        <v>1137</v>
      </c>
      <c r="D47" s="1" t="s">
        <v>1137</v>
      </c>
      <c r="E47" s="93" t="s">
        <v>1085</v>
      </c>
      <c r="F47" s="1">
        <v>1</v>
      </c>
    </row>
    <row r="48" spans="1:6" x14ac:dyDescent="0.2">
      <c r="A48" s="6" t="s">
        <v>223</v>
      </c>
      <c r="B48" s="6" t="s">
        <v>960</v>
      </c>
      <c r="C48" s="6" t="s">
        <v>1137</v>
      </c>
      <c r="D48" s="6" t="s">
        <v>1137</v>
      </c>
      <c r="E48" s="94" t="s">
        <v>0</v>
      </c>
      <c r="F48" s="1">
        <v>1</v>
      </c>
    </row>
    <row r="49" spans="1:8" x14ac:dyDescent="0.2">
      <c r="A49" s="1" t="s">
        <v>279</v>
      </c>
      <c r="B49" s="1" t="s">
        <v>941</v>
      </c>
      <c r="C49" s="1" t="s">
        <v>1137</v>
      </c>
      <c r="D49" s="1" t="s">
        <v>1137</v>
      </c>
      <c r="E49" s="93" t="s">
        <v>0</v>
      </c>
      <c r="F49" s="1">
        <v>1</v>
      </c>
    </row>
    <row r="50" spans="1:8" x14ac:dyDescent="0.2">
      <c r="A50" s="6" t="s">
        <v>311</v>
      </c>
      <c r="B50" s="6" t="s">
        <v>960</v>
      </c>
      <c r="C50" s="6" t="s">
        <v>1137</v>
      </c>
      <c r="D50" s="6" t="s">
        <v>1137</v>
      </c>
      <c r="E50" s="94" t="s">
        <v>0</v>
      </c>
      <c r="F50" s="1">
        <v>1</v>
      </c>
    </row>
    <row r="51" spans="1:8" x14ac:dyDescent="0.2">
      <c r="A51" s="1" t="s">
        <v>286</v>
      </c>
      <c r="B51" s="1" t="s">
        <v>961</v>
      </c>
      <c r="C51" s="1" t="s">
        <v>1137</v>
      </c>
      <c r="D51" s="1" t="s">
        <v>1137</v>
      </c>
      <c r="E51" s="93" t="s">
        <v>1087</v>
      </c>
      <c r="F51" s="1">
        <v>1</v>
      </c>
    </row>
    <row r="52" spans="1:8" x14ac:dyDescent="0.2">
      <c r="A52" s="6" t="s">
        <v>291</v>
      </c>
      <c r="B52" s="6" t="s">
        <v>985</v>
      </c>
      <c r="C52" s="6" t="s">
        <v>1137</v>
      </c>
      <c r="D52" s="6" t="s">
        <v>1137</v>
      </c>
      <c r="E52" s="94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1137</v>
      </c>
      <c r="D53" s="1" t="s">
        <v>1137</v>
      </c>
      <c r="E53" s="93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1137</v>
      </c>
      <c r="D54" s="6" t="s">
        <v>1137</v>
      </c>
      <c r="E54" s="94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1137</v>
      </c>
      <c r="D55" s="1" t="s">
        <v>1137</v>
      </c>
      <c r="E55" s="93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1137</v>
      </c>
      <c r="D56" s="6" t="s">
        <v>1137</v>
      </c>
      <c r="E56" s="94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1137</v>
      </c>
      <c r="D57" s="1" t="s">
        <v>1137</v>
      </c>
      <c r="E57" s="93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1137</v>
      </c>
      <c r="D58" s="6" t="s">
        <v>1137</v>
      </c>
      <c r="E58" s="94" t="s">
        <v>656</v>
      </c>
      <c r="F58" s="1">
        <v>1</v>
      </c>
    </row>
    <row r="59" spans="1:8" x14ac:dyDescent="0.2">
      <c r="A59" s="1" t="s">
        <v>298</v>
      </c>
      <c r="B59" s="1" t="s">
        <v>986</v>
      </c>
      <c r="C59" s="1" t="s">
        <v>1137</v>
      </c>
      <c r="D59" s="1" t="s">
        <v>1137</v>
      </c>
      <c r="E59" s="93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1137</v>
      </c>
      <c r="D60" s="6" t="s">
        <v>1137</v>
      </c>
      <c r="E60" s="94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1137</v>
      </c>
      <c r="E61" s="93" t="s">
        <v>0</v>
      </c>
      <c r="F61" s="1">
        <v>0</v>
      </c>
    </row>
    <row r="62" spans="1:8" x14ac:dyDescent="0.2">
      <c r="A62" s="6" t="s">
        <v>364</v>
      </c>
      <c r="B62" s="6" t="s">
        <v>950</v>
      </c>
      <c r="C62" s="6" t="s">
        <v>1137</v>
      </c>
      <c r="D62" s="6" t="s">
        <v>1137</v>
      </c>
      <c r="E62" s="94" t="s">
        <v>1085</v>
      </c>
      <c r="F62" s="1">
        <v>1</v>
      </c>
    </row>
    <row r="63" spans="1:8" ht="15" x14ac:dyDescent="0.25">
      <c r="A63" s="1" t="s">
        <v>372</v>
      </c>
      <c r="B63" s="1" t="s">
        <v>962</v>
      </c>
      <c r="C63" s="1" t="s">
        <v>1137</v>
      </c>
      <c r="D63" s="1" t="s">
        <v>1137</v>
      </c>
      <c r="E63" s="93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1139</v>
      </c>
      <c r="C64" s="6" t="s">
        <v>1137</v>
      </c>
      <c r="D64" s="6" t="s">
        <v>1137</v>
      </c>
      <c r="E64" s="94" t="s">
        <v>1085</v>
      </c>
      <c r="F64" s="1">
        <v>1</v>
      </c>
      <c r="H64"/>
    </row>
    <row r="65" spans="1:8" ht="15" x14ac:dyDescent="0.25">
      <c r="A65" s="1" t="s">
        <v>376</v>
      </c>
      <c r="B65" s="1" t="s">
        <v>963</v>
      </c>
      <c r="C65" s="1" t="s">
        <v>1137</v>
      </c>
      <c r="D65" s="1" t="s">
        <v>1137</v>
      </c>
      <c r="E65" s="93" t="s">
        <v>1085</v>
      </c>
      <c r="F65" s="1">
        <v>1</v>
      </c>
      <c r="H65"/>
    </row>
    <row r="66" spans="1:8" ht="15" x14ac:dyDescent="0.25">
      <c r="A66" s="6" t="s">
        <v>391</v>
      </c>
      <c r="B66" s="6" t="s">
        <v>949</v>
      </c>
      <c r="C66" s="6" t="s">
        <v>1137</v>
      </c>
      <c r="D66" s="6" t="s">
        <v>1137</v>
      </c>
      <c r="E66" s="94" t="s">
        <v>1085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1137</v>
      </c>
      <c r="D67" s="1" t="s">
        <v>1137</v>
      </c>
      <c r="E67" s="93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1137</v>
      </c>
      <c r="D68" s="6" t="s">
        <v>1137</v>
      </c>
      <c r="E68" s="94" t="s">
        <v>1085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1137</v>
      </c>
      <c r="E69" s="93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946</v>
      </c>
      <c r="C70" s="6" t="s">
        <v>972</v>
      </c>
      <c r="D70" s="6" t="s">
        <v>1137</v>
      </c>
      <c r="E70" s="94" t="s">
        <v>0</v>
      </c>
      <c r="F70" s="1">
        <v>0</v>
      </c>
      <c r="H70"/>
    </row>
    <row r="71" spans="1:8" ht="15" x14ac:dyDescent="0.25">
      <c r="A71" s="1" t="s">
        <v>1073</v>
      </c>
      <c r="B71" s="1" t="s">
        <v>948</v>
      </c>
      <c r="C71" s="1" t="s">
        <v>1137</v>
      </c>
      <c r="D71" s="1" t="s">
        <v>1137</v>
      </c>
      <c r="E71" s="93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1137</v>
      </c>
      <c r="D72" s="6" t="s">
        <v>1137</v>
      </c>
      <c r="E72" s="94" t="s">
        <v>1085</v>
      </c>
      <c r="F72" s="1">
        <v>1</v>
      </c>
      <c r="H72"/>
    </row>
    <row r="73" spans="1:8" ht="15" x14ac:dyDescent="0.25">
      <c r="A73" s="1" t="s">
        <v>540</v>
      </c>
      <c r="B73" s="1" t="s">
        <v>949</v>
      </c>
      <c r="C73" s="1" t="s">
        <v>950</v>
      </c>
      <c r="D73" s="1" t="s">
        <v>1137</v>
      </c>
      <c r="E73" s="93" t="s">
        <v>1085</v>
      </c>
      <c r="F73" s="1">
        <v>0</v>
      </c>
      <c r="H73"/>
    </row>
    <row r="74" spans="1:8" ht="15" x14ac:dyDescent="0.25">
      <c r="A74" s="6" t="s">
        <v>541</v>
      </c>
      <c r="B74" s="6" t="s">
        <v>975</v>
      </c>
      <c r="C74" s="6" t="s">
        <v>1137</v>
      </c>
      <c r="D74" s="6" t="s">
        <v>1137</v>
      </c>
      <c r="E74" s="94" t="s">
        <v>1085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1137</v>
      </c>
      <c r="D75" s="1" t="s">
        <v>1137</v>
      </c>
      <c r="E75" s="93" t="s">
        <v>1085</v>
      </c>
      <c r="F75" s="1">
        <v>1</v>
      </c>
      <c r="H75"/>
    </row>
    <row r="76" spans="1:8" ht="15" x14ac:dyDescent="0.25">
      <c r="A76" s="6" t="s">
        <v>578</v>
      </c>
      <c r="B76" s="6" t="s">
        <v>979</v>
      </c>
      <c r="C76" s="6" t="s">
        <v>1137</v>
      </c>
      <c r="D76" s="6" t="s">
        <v>1137</v>
      </c>
      <c r="E76" s="94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941</v>
      </c>
      <c r="C77" s="1" t="s">
        <v>976</v>
      </c>
      <c r="D77" s="93" t="s">
        <v>977</v>
      </c>
      <c r="E77" s="93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949</v>
      </c>
      <c r="C78" s="6" t="s">
        <v>1137</v>
      </c>
      <c r="D78" s="6" t="s">
        <v>1137</v>
      </c>
      <c r="E78" s="94" t="s">
        <v>1085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1137</v>
      </c>
      <c r="D79" s="1" t="s">
        <v>1137</v>
      </c>
      <c r="E79" s="93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978</v>
      </c>
      <c r="C80" s="6" t="s">
        <v>1137</v>
      </c>
      <c r="D80" s="6" t="s">
        <v>1137</v>
      </c>
      <c r="E80" s="94" t="s">
        <v>1085</v>
      </c>
      <c r="F80" s="1">
        <v>1</v>
      </c>
      <c r="H80"/>
    </row>
    <row r="81" spans="1:8" ht="15" x14ac:dyDescent="0.25">
      <c r="A81" s="1" t="s">
        <v>817</v>
      </c>
      <c r="B81" s="1" t="s">
        <v>979</v>
      </c>
      <c r="C81" s="1" t="s">
        <v>1137</v>
      </c>
      <c r="D81" s="1" t="s">
        <v>1137</v>
      </c>
      <c r="E81" s="93" t="s">
        <v>0</v>
      </c>
      <c r="F81" s="1">
        <v>1</v>
      </c>
      <c r="H81"/>
    </row>
    <row r="82" spans="1:8" ht="15" x14ac:dyDescent="0.25">
      <c r="A82" s="6" t="s">
        <v>827</v>
      </c>
      <c r="B82" s="6" t="s">
        <v>982</v>
      </c>
      <c r="C82" s="6" t="s">
        <v>1137</v>
      </c>
      <c r="D82" s="6" t="s">
        <v>1137</v>
      </c>
      <c r="E82" s="94" t="s">
        <v>656</v>
      </c>
      <c r="F82" s="1">
        <v>1</v>
      </c>
      <c r="H82"/>
    </row>
    <row r="83" spans="1:8" ht="15" x14ac:dyDescent="0.25">
      <c r="A83" s="1" t="s">
        <v>830</v>
      </c>
      <c r="B83" s="1" t="s">
        <v>983</v>
      </c>
      <c r="C83" s="1" t="s">
        <v>1137</v>
      </c>
      <c r="D83" s="1" t="s">
        <v>1137</v>
      </c>
      <c r="E83" s="93" t="s">
        <v>656</v>
      </c>
      <c r="F83" s="1">
        <v>1</v>
      </c>
      <c r="H83"/>
    </row>
    <row r="84" spans="1:8" ht="15" x14ac:dyDescent="0.25">
      <c r="A84" s="6" t="s">
        <v>834</v>
      </c>
      <c r="B84" s="6" t="s">
        <v>857</v>
      </c>
      <c r="C84" s="6" t="s">
        <v>1137</v>
      </c>
      <c r="D84" s="6" t="s">
        <v>1137</v>
      </c>
      <c r="E84" s="94" t="s">
        <v>1085</v>
      </c>
      <c r="F84" s="1">
        <v>1</v>
      </c>
      <c r="H84"/>
    </row>
    <row r="85" spans="1:8" ht="15" x14ac:dyDescent="0.25">
      <c r="A85" s="1" t="s">
        <v>836</v>
      </c>
      <c r="B85" s="1" t="s">
        <v>981</v>
      </c>
      <c r="C85" s="1" t="s">
        <v>1137</v>
      </c>
      <c r="D85" s="1" t="s">
        <v>1137</v>
      </c>
      <c r="E85" s="93" t="s">
        <v>1088</v>
      </c>
      <c r="F85" s="1">
        <v>1</v>
      </c>
      <c r="H85"/>
    </row>
    <row r="86" spans="1:8" ht="15" x14ac:dyDescent="0.25">
      <c r="A86" s="6" t="s">
        <v>857</v>
      </c>
      <c r="B86" s="6" t="s">
        <v>857</v>
      </c>
      <c r="C86" s="6" t="s">
        <v>1137</v>
      </c>
      <c r="D86" s="6" t="s">
        <v>1137</v>
      </c>
      <c r="E86" s="94" t="s">
        <v>1085</v>
      </c>
      <c r="F86" s="1">
        <v>1</v>
      </c>
      <c r="H86"/>
    </row>
    <row r="87" spans="1:8" ht="15" x14ac:dyDescent="0.25">
      <c r="A87" s="1" t="s">
        <v>858</v>
      </c>
      <c r="B87" s="1" t="s">
        <v>978</v>
      </c>
      <c r="C87" s="1" t="s">
        <v>1137</v>
      </c>
      <c r="D87" s="1" t="s">
        <v>1137</v>
      </c>
      <c r="E87" s="93" t="s">
        <v>1085</v>
      </c>
      <c r="F87" s="1">
        <v>1</v>
      </c>
      <c r="H87"/>
    </row>
    <row r="88" spans="1:8" ht="15" x14ac:dyDescent="0.25">
      <c r="A88" s="6" t="s">
        <v>879</v>
      </c>
      <c r="B88" s="6" t="s">
        <v>1139</v>
      </c>
      <c r="C88" s="6" t="s">
        <v>1137</v>
      </c>
      <c r="D88" s="6" t="s">
        <v>1137</v>
      </c>
      <c r="E88" s="94" t="s">
        <v>1085</v>
      </c>
      <c r="F88" s="1">
        <v>1</v>
      </c>
      <c r="H88"/>
    </row>
    <row r="89" spans="1:8" ht="15" x14ac:dyDescent="0.25">
      <c r="A89" s="1" t="s">
        <v>881</v>
      </c>
      <c r="B89" s="1" t="s">
        <v>946</v>
      </c>
      <c r="C89" s="1" t="s">
        <v>1137</v>
      </c>
      <c r="D89" s="1" t="s">
        <v>1137</v>
      </c>
      <c r="E89" s="93" t="s">
        <v>0</v>
      </c>
      <c r="F89" s="1">
        <v>1</v>
      </c>
      <c r="H89"/>
    </row>
    <row r="90" spans="1:8" ht="15" x14ac:dyDescent="0.25">
      <c r="A90" s="6" t="s">
        <v>886</v>
      </c>
      <c r="B90" s="6" t="s">
        <v>886</v>
      </c>
      <c r="C90" s="6" t="s">
        <v>1137</v>
      </c>
      <c r="D90" s="6" t="s">
        <v>1137</v>
      </c>
      <c r="E90" s="94" t="s">
        <v>1088</v>
      </c>
      <c r="F90" s="1">
        <v>1</v>
      </c>
      <c r="H90"/>
    </row>
    <row r="91" spans="1:8" ht="15" x14ac:dyDescent="0.25">
      <c r="A91" s="1" t="s">
        <v>887</v>
      </c>
      <c r="B91" s="1" t="s">
        <v>887</v>
      </c>
      <c r="C91" s="1" t="s">
        <v>1137</v>
      </c>
      <c r="D91" s="1" t="s">
        <v>1137</v>
      </c>
      <c r="E91" s="93" t="s">
        <v>1088</v>
      </c>
      <c r="F91" s="1">
        <v>1</v>
      </c>
      <c r="H91"/>
    </row>
    <row r="92" spans="1:8" ht="15" x14ac:dyDescent="0.25">
      <c r="A92" s="6" t="s">
        <v>929</v>
      </c>
      <c r="B92" s="6" t="s">
        <v>951</v>
      </c>
      <c r="C92" s="6" t="s">
        <v>1137</v>
      </c>
      <c r="D92" s="6" t="s">
        <v>1137</v>
      </c>
      <c r="E92" s="94" t="s">
        <v>1085</v>
      </c>
      <c r="F92" s="1">
        <v>1</v>
      </c>
      <c r="H92"/>
    </row>
    <row r="93" spans="1:8" ht="15" x14ac:dyDescent="0.25">
      <c r="A93" s="1" t="s">
        <v>934</v>
      </c>
      <c r="B93" s="1" t="s">
        <v>980</v>
      </c>
      <c r="C93" s="1" t="s">
        <v>1137</v>
      </c>
      <c r="D93" s="1" t="s">
        <v>1137</v>
      </c>
      <c r="E93" s="93" t="s">
        <v>1087</v>
      </c>
      <c r="F93" s="1">
        <v>1</v>
      </c>
      <c r="H93"/>
    </row>
    <row r="94" spans="1:8" ht="15" x14ac:dyDescent="0.25">
      <c r="A94" s="6" t="s">
        <v>935</v>
      </c>
      <c r="B94" s="6" t="s">
        <v>984</v>
      </c>
      <c r="C94" s="6" t="s">
        <v>1137</v>
      </c>
      <c r="D94" s="6" t="s">
        <v>1137</v>
      </c>
      <c r="E94" s="94" t="s">
        <v>1085</v>
      </c>
      <c r="F94" s="1">
        <v>1</v>
      </c>
      <c r="H94"/>
    </row>
    <row r="95" spans="1:8" ht="15" x14ac:dyDescent="0.25">
      <c r="A95" s="1" t="s">
        <v>936</v>
      </c>
      <c r="B95" s="1" t="s">
        <v>936</v>
      </c>
      <c r="C95" s="1" t="s">
        <v>1137</v>
      </c>
      <c r="D95" s="1" t="s">
        <v>1137</v>
      </c>
      <c r="E95" s="93" t="s">
        <v>1085</v>
      </c>
      <c r="F95" s="1">
        <v>1</v>
      </c>
      <c r="H95"/>
    </row>
    <row r="96" spans="1:8" ht="15" x14ac:dyDescent="0.25">
      <c r="A96" s="6" t="s">
        <v>999</v>
      </c>
      <c r="B96" s="6" t="s">
        <v>982</v>
      </c>
      <c r="C96" s="6" t="s">
        <v>1137</v>
      </c>
      <c r="D96" s="6" t="s">
        <v>1137</v>
      </c>
      <c r="E96" s="94" t="s">
        <v>656</v>
      </c>
      <c r="F96" s="1">
        <v>1</v>
      </c>
      <c r="H96"/>
    </row>
    <row r="97" spans="1:8" ht="15" x14ac:dyDescent="0.25">
      <c r="A97" s="1" t="s">
        <v>1000</v>
      </c>
      <c r="B97" s="1" t="s">
        <v>982</v>
      </c>
      <c r="C97" s="1" t="s">
        <v>1137</v>
      </c>
      <c r="D97" s="1" t="s">
        <v>1137</v>
      </c>
      <c r="E97" s="93" t="s">
        <v>656</v>
      </c>
      <c r="F97" s="1">
        <v>1</v>
      </c>
      <c r="H97"/>
    </row>
    <row r="98" spans="1:8" ht="15" x14ac:dyDescent="0.25">
      <c r="A98" s="6" t="s">
        <v>1025</v>
      </c>
      <c r="B98" s="6" t="s">
        <v>29</v>
      </c>
      <c r="C98" s="6" t="s">
        <v>1137</v>
      </c>
      <c r="D98" s="6" t="s">
        <v>1137</v>
      </c>
      <c r="E98" s="94" t="s">
        <v>0</v>
      </c>
      <c r="F98" s="1">
        <v>1</v>
      </c>
      <c r="H98"/>
    </row>
    <row r="99" spans="1:8" x14ac:dyDescent="0.2">
      <c r="A99" s="95" t="s">
        <v>1026</v>
      </c>
      <c r="B99" s="95" t="s">
        <v>29</v>
      </c>
      <c r="C99" s="95" t="s">
        <v>1137</v>
      </c>
      <c r="D99" s="95" t="s">
        <v>1137</v>
      </c>
      <c r="E99" s="96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1136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48" t="s">
        <v>130</v>
      </c>
      <c r="B2" t="s">
        <v>552</v>
      </c>
    </row>
    <row r="4" spans="1:3" x14ac:dyDescent="0.25">
      <c r="A4" s="48" t="s">
        <v>550</v>
      </c>
      <c r="B4" t="s">
        <v>553</v>
      </c>
      <c r="C4" t="s">
        <v>554</v>
      </c>
    </row>
    <row r="5" spans="1:3" x14ac:dyDescent="0.25">
      <c r="A5" s="49" t="s">
        <v>539</v>
      </c>
    </row>
    <row r="6" spans="1:3" x14ac:dyDescent="0.25">
      <c r="A6" s="50">
        <v>2010</v>
      </c>
    </row>
    <row r="7" spans="1:3" x14ac:dyDescent="0.25">
      <c r="A7" s="49" t="s">
        <v>210</v>
      </c>
      <c r="B7">
        <v>1000</v>
      </c>
    </row>
    <row r="8" spans="1:3" x14ac:dyDescent="0.25">
      <c r="A8" s="50">
        <v>2015</v>
      </c>
      <c r="B8">
        <v>1000</v>
      </c>
    </row>
    <row r="9" spans="1:3" x14ac:dyDescent="0.25">
      <c r="A9" s="50">
        <v>2020</v>
      </c>
    </row>
    <row r="10" spans="1:3" x14ac:dyDescent="0.25">
      <c r="A10" s="50">
        <v>2025</v>
      </c>
    </row>
    <row r="11" spans="1:3" x14ac:dyDescent="0.25">
      <c r="A11" s="50">
        <v>2030</v>
      </c>
    </row>
    <row r="12" spans="1:3" x14ac:dyDescent="0.25">
      <c r="A12" s="49" t="s">
        <v>29</v>
      </c>
      <c r="B12">
        <v>2538.1973466003319</v>
      </c>
      <c r="C12">
        <v>2581</v>
      </c>
    </row>
    <row r="13" spans="1:3" x14ac:dyDescent="0.25">
      <c r="A13" s="50">
        <v>2015</v>
      </c>
      <c r="B13">
        <v>593</v>
      </c>
      <c r="C13">
        <v>603</v>
      </c>
    </row>
    <row r="14" spans="1:3" x14ac:dyDescent="0.25">
      <c r="A14" s="50">
        <v>2020</v>
      </c>
      <c r="B14">
        <v>539.8955223880597</v>
      </c>
      <c r="C14">
        <v>549</v>
      </c>
    </row>
    <row r="15" spans="1:3" x14ac:dyDescent="0.25">
      <c r="A15" s="50">
        <v>2025</v>
      </c>
      <c r="B15">
        <v>706.09286898839139</v>
      </c>
      <c r="C15">
        <v>718</v>
      </c>
    </row>
    <row r="16" spans="1:3" x14ac:dyDescent="0.25">
      <c r="A16" s="50">
        <v>2030</v>
      </c>
      <c r="B16">
        <v>699.20895522388059</v>
      </c>
      <c r="C16">
        <v>711</v>
      </c>
    </row>
    <row r="17" spans="1:3" x14ac:dyDescent="0.25">
      <c r="A17" s="49" t="s">
        <v>221</v>
      </c>
      <c r="B17">
        <v>2000</v>
      </c>
      <c r="C17">
        <v>2000</v>
      </c>
    </row>
    <row r="18" spans="1:3" x14ac:dyDescent="0.25">
      <c r="A18" s="50">
        <v>2015</v>
      </c>
      <c r="B18">
        <v>2000</v>
      </c>
      <c r="C18">
        <v>2000</v>
      </c>
    </row>
    <row r="19" spans="1:3" x14ac:dyDescent="0.25">
      <c r="A19" s="50">
        <v>2020</v>
      </c>
    </row>
    <row r="20" spans="1:3" x14ac:dyDescent="0.25">
      <c r="A20" s="50">
        <v>2025</v>
      </c>
    </row>
    <row r="21" spans="1:3" x14ac:dyDescent="0.25">
      <c r="A21" s="50">
        <v>2030</v>
      </c>
    </row>
    <row r="22" spans="1:3" x14ac:dyDescent="0.25">
      <c r="A22" s="49" t="s">
        <v>83</v>
      </c>
      <c r="B22">
        <v>2869.990703851262</v>
      </c>
      <c r="C22">
        <v>3031</v>
      </c>
    </row>
    <row r="23" spans="1:3" x14ac:dyDescent="0.25">
      <c r="A23" s="50">
        <v>2015</v>
      </c>
      <c r="B23">
        <v>713</v>
      </c>
      <c r="C23">
        <v>753</v>
      </c>
    </row>
    <row r="24" spans="1:3" x14ac:dyDescent="0.25">
      <c r="A24" s="50">
        <v>2020</v>
      </c>
      <c r="B24">
        <v>710.15936254980079</v>
      </c>
      <c r="C24">
        <v>750</v>
      </c>
    </row>
    <row r="25" spans="1:3" x14ac:dyDescent="0.25">
      <c r="A25" s="50">
        <v>2025</v>
      </c>
      <c r="B25">
        <v>731.93758300132811</v>
      </c>
      <c r="C25">
        <v>773</v>
      </c>
    </row>
    <row r="26" spans="1:3" x14ac:dyDescent="0.25">
      <c r="A26" s="50">
        <v>2030</v>
      </c>
      <c r="B26">
        <v>714.89375830013284</v>
      </c>
      <c r="C26">
        <v>755</v>
      </c>
    </row>
    <row r="27" spans="1:3" x14ac:dyDescent="0.25">
      <c r="A27" s="49" t="s">
        <v>76</v>
      </c>
      <c r="B27">
        <v>1082.2209026128266</v>
      </c>
      <c r="C27">
        <v>1465</v>
      </c>
    </row>
    <row r="28" spans="1:3" x14ac:dyDescent="0.25">
      <c r="A28" s="50">
        <v>2015</v>
      </c>
      <c r="B28">
        <v>311</v>
      </c>
      <c r="C28">
        <v>421</v>
      </c>
    </row>
    <row r="29" spans="1:3" x14ac:dyDescent="0.25">
      <c r="A29" s="50">
        <v>2020</v>
      </c>
      <c r="B29">
        <v>288.83847980997626</v>
      </c>
      <c r="C29">
        <v>391</v>
      </c>
    </row>
    <row r="30" spans="1:3" x14ac:dyDescent="0.25">
      <c r="A30" s="50">
        <v>2025</v>
      </c>
      <c r="B30">
        <v>255.59619952494063</v>
      </c>
      <c r="C30">
        <v>346</v>
      </c>
    </row>
    <row r="31" spans="1:3" x14ac:dyDescent="0.25">
      <c r="A31" s="50">
        <v>2030</v>
      </c>
      <c r="B31">
        <v>226.78622327790976</v>
      </c>
      <c r="C31">
        <v>307</v>
      </c>
    </row>
    <row r="32" spans="1:3" x14ac:dyDescent="0.25">
      <c r="A32" s="49" t="s">
        <v>540</v>
      </c>
    </row>
    <row r="33" spans="1:3" x14ac:dyDescent="0.25">
      <c r="A33" s="50">
        <v>2010</v>
      </c>
    </row>
    <row r="34" spans="1:3" x14ac:dyDescent="0.25">
      <c r="A34" s="49" t="s">
        <v>391</v>
      </c>
      <c r="B34">
        <v>2200</v>
      </c>
      <c r="C34">
        <v>2200</v>
      </c>
    </row>
    <row r="35" spans="1:3" x14ac:dyDescent="0.25">
      <c r="A35" s="50">
        <v>2015</v>
      </c>
      <c r="B35">
        <v>0</v>
      </c>
      <c r="C35">
        <v>0</v>
      </c>
    </row>
    <row r="36" spans="1:3" x14ac:dyDescent="0.25">
      <c r="A36" s="50">
        <v>2020</v>
      </c>
      <c r="B36">
        <v>300</v>
      </c>
      <c r="C36">
        <v>300</v>
      </c>
    </row>
    <row r="37" spans="1:3" x14ac:dyDescent="0.25">
      <c r="A37" s="50">
        <v>2025</v>
      </c>
      <c r="B37">
        <v>700</v>
      </c>
      <c r="C37">
        <v>700</v>
      </c>
    </row>
    <row r="38" spans="1:3" x14ac:dyDescent="0.25">
      <c r="A38" s="50">
        <v>2030</v>
      </c>
      <c r="B38">
        <v>1200</v>
      </c>
      <c r="C38">
        <v>1200</v>
      </c>
    </row>
    <row r="39" spans="1:3" x14ac:dyDescent="0.25">
      <c r="A39" s="49" t="s">
        <v>140</v>
      </c>
      <c r="B39">
        <v>35200</v>
      </c>
      <c r="C39">
        <v>35200</v>
      </c>
    </row>
    <row r="40" spans="1:3" x14ac:dyDescent="0.25">
      <c r="A40" s="50">
        <v>2010</v>
      </c>
      <c r="B40">
        <v>9400</v>
      </c>
      <c r="C40">
        <v>9400</v>
      </c>
    </row>
    <row r="41" spans="1:3" x14ac:dyDescent="0.25">
      <c r="A41" s="50">
        <v>2015</v>
      </c>
      <c r="B41">
        <v>9000</v>
      </c>
      <c r="C41">
        <v>9000</v>
      </c>
    </row>
    <row r="42" spans="1:3" x14ac:dyDescent="0.25">
      <c r="A42" s="50">
        <v>2020</v>
      </c>
      <c r="B42">
        <v>7300</v>
      </c>
      <c r="C42">
        <v>7300</v>
      </c>
    </row>
    <row r="43" spans="1:3" x14ac:dyDescent="0.25">
      <c r="A43" s="50">
        <v>2025</v>
      </c>
      <c r="B43">
        <v>5600</v>
      </c>
      <c r="C43">
        <v>5600</v>
      </c>
    </row>
    <row r="44" spans="1:3" x14ac:dyDescent="0.25">
      <c r="A44" s="50">
        <v>2030</v>
      </c>
      <c r="B44">
        <v>3900</v>
      </c>
      <c r="C44">
        <v>3900</v>
      </c>
    </row>
    <row r="45" spans="1:3" x14ac:dyDescent="0.25">
      <c r="A45" s="49" t="s">
        <v>80</v>
      </c>
      <c r="B45">
        <v>0</v>
      </c>
    </row>
    <row r="46" spans="1:3" x14ac:dyDescent="0.25">
      <c r="A46" s="50">
        <v>2015</v>
      </c>
      <c r="B46">
        <v>0</v>
      </c>
    </row>
    <row r="47" spans="1:3" x14ac:dyDescent="0.25">
      <c r="A47" s="50">
        <v>2020</v>
      </c>
      <c r="B47">
        <v>0</v>
      </c>
    </row>
    <row r="48" spans="1:3" x14ac:dyDescent="0.25">
      <c r="A48" s="50">
        <v>2025</v>
      </c>
      <c r="B48">
        <v>0</v>
      </c>
    </row>
    <row r="49" spans="1:3" x14ac:dyDescent="0.25">
      <c r="A49" s="50">
        <v>2030</v>
      </c>
      <c r="B49">
        <v>0</v>
      </c>
    </row>
    <row r="50" spans="1:3" x14ac:dyDescent="0.25">
      <c r="A50" s="49" t="s">
        <v>53</v>
      </c>
      <c r="B50">
        <v>1053</v>
      </c>
      <c r="C50">
        <v>1053</v>
      </c>
    </row>
    <row r="51" spans="1:3" x14ac:dyDescent="0.25">
      <c r="A51" s="50">
        <v>2015</v>
      </c>
      <c r="B51">
        <v>281</v>
      </c>
      <c r="C51">
        <v>281</v>
      </c>
    </row>
    <row r="52" spans="1:3" x14ac:dyDescent="0.25">
      <c r="A52" s="50">
        <v>2020</v>
      </c>
      <c r="B52">
        <v>277</v>
      </c>
      <c r="C52">
        <v>277</v>
      </c>
    </row>
    <row r="53" spans="1:3" x14ac:dyDescent="0.25">
      <c r="A53" s="50">
        <v>2025</v>
      </c>
      <c r="B53">
        <v>257</v>
      </c>
      <c r="C53">
        <v>257</v>
      </c>
    </row>
    <row r="54" spans="1:3" x14ac:dyDescent="0.25">
      <c r="A54" s="50">
        <v>2030</v>
      </c>
      <c r="B54">
        <v>238</v>
      </c>
      <c r="C54">
        <v>238</v>
      </c>
    </row>
    <row r="55" spans="1:3" x14ac:dyDescent="0.25">
      <c r="A55" s="49" t="s">
        <v>208</v>
      </c>
      <c r="B55">
        <v>1000</v>
      </c>
      <c r="C55">
        <v>1250</v>
      </c>
    </row>
    <row r="56" spans="1:3" x14ac:dyDescent="0.25">
      <c r="A56" s="50">
        <v>2015</v>
      </c>
      <c r="B56">
        <v>1000</v>
      </c>
      <c r="C56">
        <v>1250</v>
      </c>
    </row>
    <row r="57" spans="1:3" x14ac:dyDescent="0.25">
      <c r="A57" s="50">
        <v>2020</v>
      </c>
    </row>
    <row r="58" spans="1:3" x14ac:dyDescent="0.25">
      <c r="A58" s="50">
        <v>2025</v>
      </c>
    </row>
    <row r="59" spans="1:3" x14ac:dyDescent="0.25">
      <c r="A59" s="50">
        <v>2030</v>
      </c>
    </row>
    <row r="60" spans="1:3" x14ac:dyDescent="0.25">
      <c r="A60" s="49" t="s">
        <v>541</v>
      </c>
    </row>
    <row r="61" spans="1:3" x14ac:dyDescent="0.25">
      <c r="A61" s="50">
        <v>2010</v>
      </c>
    </row>
    <row r="62" spans="1:3" x14ac:dyDescent="0.25">
      <c r="A62" s="49" t="s">
        <v>546</v>
      </c>
      <c r="B62">
        <v>4599</v>
      </c>
      <c r="C62">
        <v>4599</v>
      </c>
    </row>
    <row r="63" spans="1:3" x14ac:dyDescent="0.25">
      <c r="A63" s="50">
        <v>2015</v>
      </c>
      <c r="B63">
        <v>1177</v>
      </c>
      <c r="C63">
        <v>1177</v>
      </c>
    </row>
    <row r="64" spans="1:3" x14ac:dyDescent="0.25">
      <c r="A64" s="50">
        <v>2020</v>
      </c>
      <c r="B64">
        <v>1101</v>
      </c>
      <c r="C64">
        <v>1101</v>
      </c>
    </row>
    <row r="65" spans="1:3" x14ac:dyDescent="0.25">
      <c r="A65" s="50">
        <v>2025</v>
      </c>
      <c r="B65">
        <v>1142</v>
      </c>
      <c r="C65">
        <v>1142</v>
      </c>
    </row>
    <row r="66" spans="1:3" x14ac:dyDescent="0.25">
      <c r="A66" s="50">
        <v>2030</v>
      </c>
      <c r="B66">
        <v>1179</v>
      </c>
      <c r="C66">
        <v>1179</v>
      </c>
    </row>
    <row r="67" spans="1:3" x14ac:dyDescent="0.25">
      <c r="A67" s="49" t="s">
        <v>946</v>
      </c>
      <c r="B67">
        <v>607.14942528735628</v>
      </c>
      <c r="C67">
        <v>686</v>
      </c>
    </row>
    <row r="68" spans="1:3" x14ac:dyDescent="0.25">
      <c r="A68" s="50">
        <v>2015</v>
      </c>
      <c r="B68">
        <v>154</v>
      </c>
      <c r="C68">
        <v>174</v>
      </c>
    </row>
    <row r="69" spans="1:3" x14ac:dyDescent="0.25">
      <c r="A69" s="50">
        <v>2020</v>
      </c>
      <c r="B69">
        <v>152.22988505747128</v>
      </c>
      <c r="C69">
        <v>172</v>
      </c>
    </row>
    <row r="70" spans="1:3" x14ac:dyDescent="0.25">
      <c r="A70" s="50">
        <v>2025</v>
      </c>
      <c r="B70">
        <v>151.34482758620689</v>
      </c>
      <c r="C70">
        <v>171</v>
      </c>
    </row>
    <row r="71" spans="1:3" x14ac:dyDescent="0.25">
      <c r="A71" s="50">
        <v>2030</v>
      </c>
      <c r="B71">
        <v>149.57471264367817</v>
      </c>
      <c r="C71">
        <v>169</v>
      </c>
    </row>
    <row r="72" spans="1:3" x14ac:dyDescent="0.25">
      <c r="A72" s="49" t="s">
        <v>136</v>
      </c>
      <c r="B72">
        <v>7790</v>
      </c>
      <c r="C72">
        <v>2853.3333333333335</v>
      </c>
    </row>
    <row r="73" spans="1:3" x14ac:dyDescent="0.25">
      <c r="A73" s="50">
        <v>2010</v>
      </c>
      <c r="B73">
        <v>990</v>
      </c>
      <c r="C73">
        <v>320</v>
      </c>
    </row>
    <row r="74" spans="1:3" x14ac:dyDescent="0.25">
      <c r="A74" s="50">
        <v>2015</v>
      </c>
      <c r="B74">
        <v>1000</v>
      </c>
      <c r="C74">
        <v>417.77777777777777</v>
      </c>
    </row>
    <row r="75" spans="1:3" x14ac:dyDescent="0.25">
      <c r="A75" s="50">
        <v>2020</v>
      </c>
      <c r="B75">
        <v>1500</v>
      </c>
      <c r="C75">
        <v>560</v>
      </c>
    </row>
    <row r="76" spans="1:3" x14ac:dyDescent="0.25">
      <c r="A76" s="50">
        <v>2025</v>
      </c>
      <c r="B76">
        <v>1900</v>
      </c>
      <c r="C76">
        <v>720</v>
      </c>
    </row>
    <row r="77" spans="1:3" x14ac:dyDescent="0.25">
      <c r="A77" s="50">
        <v>2030</v>
      </c>
      <c r="B77">
        <v>2400</v>
      </c>
      <c r="C77">
        <v>835.55555555555554</v>
      </c>
    </row>
    <row r="78" spans="1:3" x14ac:dyDescent="0.25">
      <c r="A78" s="49" t="s">
        <v>137</v>
      </c>
      <c r="B78">
        <v>2500</v>
      </c>
      <c r="C78">
        <v>37000</v>
      </c>
    </row>
    <row r="79" spans="1:3" x14ac:dyDescent="0.25">
      <c r="A79" s="50">
        <v>2010</v>
      </c>
      <c r="B79">
        <v>500</v>
      </c>
      <c r="C79">
        <v>7400</v>
      </c>
    </row>
    <row r="80" spans="1:3" x14ac:dyDescent="0.25">
      <c r="A80" s="50">
        <v>2015</v>
      </c>
      <c r="B80">
        <v>500</v>
      </c>
      <c r="C80">
        <v>7400</v>
      </c>
    </row>
    <row r="81" spans="1:3" x14ac:dyDescent="0.25">
      <c r="A81" s="50">
        <v>2020</v>
      </c>
      <c r="B81">
        <v>500</v>
      </c>
      <c r="C81">
        <v>7400</v>
      </c>
    </row>
    <row r="82" spans="1:3" x14ac:dyDescent="0.25">
      <c r="A82" s="50">
        <v>2025</v>
      </c>
      <c r="B82">
        <v>500</v>
      </c>
      <c r="C82">
        <v>7400</v>
      </c>
    </row>
    <row r="83" spans="1:3" x14ac:dyDescent="0.25">
      <c r="A83" s="50">
        <v>2030</v>
      </c>
      <c r="B83">
        <v>500</v>
      </c>
      <c r="C83">
        <v>7400</v>
      </c>
    </row>
    <row r="84" spans="1:3" x14ac:dyDescent="0.25">
      <c r="A84" s="49" t="s">
        <v>166</v>
      </c>
      <c r="B84">
        <v>5000</v>
      </c>
      <c r="C84">
        <v>5000</v>
      </c>
    </row>
    <row r="85" spans="1:3" x14ac:dyDescent="0.25">
      <c r="A85" s="50">
        <v>2015</v>
      </c>
      <c r="B85">
        <v>0</v>
      </c>
      <c r="C85">
        <v>0</v>
      </c>
    </row>
    <row r="86" spans="1:3" x14ac:dyDescent="0.25">
      <c r="A86" s="50">
        <v>2020</v>
      </c>
      <c r="B86">
        <v>700</v>
      </c>
      <c r="C86">
        <v>700</v>
      </c>
    </row>
    <row r="87" spans="1:3" x14ac:dyDescent="0.25">
      <c r="A87" s="50">
        <v>2025</v>
      </c>
      <c r="B87">
        <v>1600</v>
      </c>
      <c r="C87">
        <v>1600</v>
      </c>
    </row>
    <row r="88" spans="1:3" x14ac:dyDescent="0.25">
      <c r="A88" s="50">
        <v>2030</v>
      </c>
      <c r="B88">
        <v>2700</v>
      </c>
      <c r="C88">
        <v>2700</v>
      </c>
    </row>
    <row r="89" spans="1:3" x14ac:dyDescent="0.25">
      <c r="A89" s="49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20"/>
  <sheetViews>
    <sheetView workbookViewId="0">
      <selection activeCell="B2" sqref="B2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0.81474480151228734</v>
      </c>
    </row>
    <row r="3" spans="1:2" x14ac:dyDescent="0.2">
      <c r="A3" s="1">
        <v>2006</v>
      </c>
      <c r="B3" s="1">
        <v>0.82797731568998112</v>
      </c>
    </row>
    <row r="4" spans="1:2" x14ac:dyDescent="0.2">
      <c r="A4" s="1">
        <v>2007</v>
      </c>
      <c r="B4" s="1">
        <v>0.84688090737240074</v>
      </c>
    </row>
    <row r="5" spans="1:2" x14ac:dyDescent="0.2">
      <c r="A5" s="1">
        <v>2008</v>
      </c>
      <c r="B5" s="1">
        <v>0.86862003780718344</v>
      </c>
    </row>
    <row r="6" spans="1:2" x14ac:dyDescent="0.2">
      <c r="A6" s="1">
        <v>2009</v>
      </c>
      <c r="B6" s="1">
        <v>0.87145557655954642</v>
      </c>
    </row>
    <row r="7" spans="1:2" x14ac:dyDescent="0.2">
      <c r="A7" s="1">
        <v>2010</v>
      </c>
      <c r="B7" s="1">
        <v>0.88090737240075623</v>
      </c>
    </row>
    <row r="8" spans="1:2" x14ac:dyDescent="0.2">
      <c r="A8" s="1">
        <v>2011</v>
      </c>
      <c r="B8" s="1">
        <v>0.89981096408317585</v>
      </c>
    </row>
    <row r="9" spans="1:2" x14ac:dyDescent="0.2">
      <c r="A9" s="1">
        <v>2012</v>
      </c>
      <c r="B9" s="1">
        <v>0.91776937618147447</v>
      </c>
    </row>
    <row r="10" spans="1:2" x14ac:dyDescent="0.2">
      <c r="A10" s="1">
        <v>2013</v>
      </c>
      <c r="B10" s="1">
        <v>0.93100189035916825</v>
      </c>
    </row>
    <row r="11" spans="1:2" x14ac:dyDescent="0.2">
      <c r="A11" s="1">
        <v>2014</v>
      </c>
      <c r="B11" s="1">
        <v>0.94045368620037806</v>
      </c>
    </row>
    <row r="12" spans="1:2" x14ac:dyDescent="0.2">
      <c r="A12" s="1">
        <v>2015</v>
      </c>
      <c r="B12" s="1">
        <v>0.94517958412098302</v>
      </c>
    </row>
    <row r="13" spans="1:2" x14ac:dyDescent="0.2">
      <c r="A13" s="1">
        <v>2016</v>
      </c>
      <c r="B13" s="1">
        <v>0.94990548204158798</v>
      </c>
    </row>
    <row r="14" spans="1:2" x14ac:dyDescent="0.2">
      <c r="A14" s="1">
        <v>2017</v>
      </c>
      <c r="B14" s="1">
        <v>0.96408317580340264</v>
      </c>
    </row>
    <row r="15" spans="1:2" x14ac:dyDescent="0.2">
      <c r="A15" s="1">
        <v>2018</v>
      </c>
      <c r="B15" s="3">
        <v>0.98109640831758038</v>
      </c>
    </row>
    <row r="16" spans="1:2" x14ac:dyDescent="0.2">
      <c r="A16" s="1">
        <v>2019</v>
      </c>
      <c r="B16" s="1">
        <v>0.99527410207939504</v>
      </c>
    </row>
    <row r="17" spans="1:2" x14ac:dyDescent="0.2">
      <c r="A17" s="1">
        <v>2020</v>
      </c>
      <c r="B17" s="1">
        <v>1</v>
      </c>
    </row>
    <row r="18" spans="1:2" x14ac:dyDescent="0.2">
      <c r="A18" s="1">
        <v>2121</v>
      </c>
      <c r="B18" s="1">
        <v>1.0311909262759924</v>
      </c>
    </row>
    <row r="20" spans="1:2" x14ac:dyDescent="0.2">
      <c r="A20" s="1" t="s">
        <v>823</v>
      </c>
      <c r="B20" s="1" t="s">
        <v>1186</v>
      </c>
    </row>
  </sheetData>
  <pageMargins left="0.7" right="0.7" top="0.78740157499999996" bottom="0.78740157499999996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7" sqref="B7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89" t="s">
        <v>1106</v>
      </c>
    </row>
    <row r="7" spans="1:2" x14ac:dyDescent="0.2">
      <c r="A7" s="1" t="s">
        <v>365</v>
      </c>
      <c r="B7" s="1" t="s">
        <v>1187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1152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89" t="s">
        <v>1107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44</vt:i4>
      </vt:variant>
      <vt:variant>
        <vt:lpstr>Benannte Bereiche</vt:lpstr>
      </vt:variant>
      <vt:variant>
        <vt:i4>5</vt:i4>
      </vt:variant>
    </vt:vector>
  </HeadingPairs>
  <TitlesOfParts>
    <vt:vector size="49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Sau19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</vt:lpstr>
      <vt:lpstr>Kategorien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2023-12-01T09:58:00Z</dcterms:modified>
</cp:coreProperties>
</file>