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ck8\Desktop\수치해석 과제\HW#04\"/>
    </mc:Choice>
  </mc:AlternateContent>
  <xr:revisionPtr revIDLastSave="0" documentId="13_ncr:1_{55B47B72-699E-4FCF-904A-18BB202A7CC9}" xr6:coauthVersionLast="32" xr6:coauthVersionMax="32" xr10:uidLastSave="{00000000-0000-0000-0000-000000000000}"/>
  <bookViews>
    <workbookView xWindow="0" yWindow="0" windowWidth="28800" windowHeight="12180" activeTab="1" xr2:uid="{277C8FA2-6334-440C-8D71-CA11A5967158}"/>
  </bookViews>
  <sheets>
    <sheet name="Sheet1" sheetId="1" r:id="rId1"/>
    <sheet name="Sheet2" sheetId="2" r:id="rId2"/>
    <sheet name="Sheet4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5" i="2"/>
  <c r="D26" i="2"/>
  <c r="D23" i="2"/>
  <c r="M3" i="2"/>
  <c r="N3" i="2"/>
  <c r="L4" i="2"/>
  <c r="M4" i="2"/>
  <c r="N4" i="2"/>
  <c r="L7" i="2"/>
  <c r="M7" i="2"/>
  <c r="N7" i="2"/>
  <c r="Q7" i="2" s="1"/>
  <c r="Q6" i="2" s="1"/>
  <c r="J21" i="2"/>
  <c r="C21" i="2"/>
  <c r="D21" i="2"/>
  <c r="E21" i="2"/>
  <c r="F21" i="2"/>
  <c r="G21" i="2"/>
  <c r="H21" i="2"/>
  <c r="I21" i="2"/>
  <c r="B21" i="2"/>
  <c r="J17" i="2"/>
  <c r="J19" i="2"/>
  <c r="J20" i="2"/>
  <c r="C20" i="2"/>
  <c r="D20" i="2"/>
  <c r="E20" i="2"/>
  <c r="F20" i="2"/>
  <c r="G20" i="2"/>
  <c r="H20" i="2"/>
  <c r="I20" i="2"/>
  <c r="B20" i="2"/>
  <c r="C19" i="2"/>
  <c r="D19" i="2"/>
  <c r="E19" i="2"/>
  <c r="F19" i="2"/>
  <c r="G19" i="2"/>
  <c r="H19" i="2"/>
  <c r="I19" i="2"/>
  <c r="B19" i="2"/>
  <c r="C17" i="2"/>
  <c r="D17" i="2"/>
  <c r="E17" i="2"/>
  <c r="F17" i="2"/>
  <c r="G17" i="2"/>
  <c r="H17" i="2"/>
  <c r="I17" i="2"/>
  <c r="B17" i="2"/>
  <c r="B16" i="2"/>
  <c r="T68" i="2"/>
  <c r="T69" i="2"/>
  <c r="T70" i="2"/>
  <c r="T71" i="2"/>
  <c r="T72" i="2"/>
  <c r="P72" i="2"/>
  <c r="Q72" i="2"/>
  <c r="O72" i="2"/>
  <c r="N66" i="2"/>
  <c r="O66" i="2"/>
  <c r="P66" i="2"/>
  <c r="Q66" i="2"/>
  <c r="O65" i="2"/>
  <c r="P65" i="2"/>
  <c r="Q65" i="2"/>
  <c r="N65" i="2"/>
  <c r="M59" i="2"/>
  <c r="N59" i="2"/>
  <c r="O59" i="2"/>
  <c r="P59" i="2"/>
  <c r="Q59" i="2"/>
  <c r="M60" i="2"/>
  <c r="N60" i="2"/>
  <c r="O60" i="2"/>
  <c r="P60" i="2"/>
  <c r="Q60" i="2"/>
  <c r="N58" i="2"/>
  <c r="O58" i="2"/>
  <c r="P58" i="2"/>
  <c r="Q58" i="2"/>
  <c r="M58" i="2"/>
  <c r="L52" i="2"/>
  <c r="M52" i="2"/>
  <c r="N52" i="2"/>
  <c r="O52" i="2"/>
  <c r="P52" i="2"/>
  <c r="Q52" i="2"/>
  <c r="L53" i="2"/>
  <c r="M53" i="2"/>
  <c r="N53" i="2"/>
  <c r="O53" i="2"/>
  <c r="P53" i="2"/>
  <c r="Q53" i="2"/>
  <c r="L54" i="2"/>
  <c r="M54" i="2"/>
  <c r="N54" i="2"/>
  <c r="O54" i="2"/>
  <c r="P54" i="2"/>
  <c r="Q54" i="2"/>
  <c r="M51" i="2"/>
  <c r="N51" i="2"/>
  <c r="O51" i="2"/>
  <c r="P51" i="2"/>
  <c r="Q51" i="2"/>
  <c r="L51" i="2"/>
  <c r="P47" i="2"/>
  <c r="P48" i="2"/>
  <c r="O48" i="2"/>
  <c r="B9" i="2"/>
  <c r="C9" i="2"/>
  <c r="D9" i="2"/>
  <c r="E9" i="2"/>
  <c r="F9" i="2"/>
  <c r="G9" i="2"/>
  <c r="H9" i="2"/>
  <c r="I9" i="2"/>
  <c r="J9" i="2"/>
  <c r="L48" i="2"/>
  <c r="M48" i="2"/>
  <c r="N48" i="2"/>
  <c r="P46" i="2"/>
  <c r="P45" i="2"/>
  <c r="P44" i="2"/>
  <c r="B8" i="2"/>
  <c r="C8" i="2"/>
  <c r="D8" i="2"/>
  <c r="E8" i="2"/>
  <c r="F8" i="2"/>
  <c r="G8" i="2"/>
  <c r="H8" i="2"/>
  <c r="I8" i="2"/>
  <c r="J8" i="2"/>
  <c r="Q48" i="2"/>
  <c r="P23" i="2"/>
  <c r="P24" i="2"/>
  <c r="P25" i="2"/>
  <c r="P26" i="2"/>
  <c r="S38" i="2"/>
  <c r="S39" i="2"/>
  <c r="S40" i="2"/>
  <c r="S41" i="2"/>
  <c r="O41" i="2"/>
  <c r="P41" i="2"/>
  <c r="N41" i="2"/>
  <c r="M36" i="2"/>
  <c r="N36" i="2"/>
  <c r="O36" i="2"/>
  <c r="P36" i="2"/>
  <c r="N35" i="2"/>
  <c r="O35" i="2"/>
  <c r="P35" i="2"/>
  <c r="M35" i="2"/>
  <c r="L30" i="2"/>
  <c r="M30" i="2"/>
  <c r="N30" i="2"/>
  <c r="O30" i="2"/>
  <c r="P30" i="2"/>
  <c r="L31" i="2"/>
  <c r="M31" i="2"/>
  <c r="N31" i="2"/>
  <c r="O31" i="2"/>
  <c r="P31" i="2"/>
  <c r="M29" i="2"/>
  <c r="N29" i="2"/>
  <c r="O29" i="2"/>
  <c r="P29" i="2"/>
  <c r="L29" i="2"/>
  <c r="O26" i="2"/>
  <c r="N26" i="2"/>
  <c r="M26" i="2"/>
  <c r="L26" i="2"/>
  <c r="O25" i="2"/>
  <c r="O24" i="2"/>
  <c r="O23" i="2"/>
  <c r="R18" i="2"/>
  <c r="R19" i="2"/>
  <c r="R20" i="2"/>
  <c r="N20" i="2"/>
  <c r="O20" i="2"/>
  <c r="M20" i="2"/>
  <c r="M15" i="2"/>
  <c r="N15" i="2"/>
  <c r="O15" i="2"/>
  <c r="O16" i="2"/>
  <c r="O12" i="2"/>
  <c r="O11" i="2"/>
  <c r="O10" i="2"/>
  <c r="M16" i="2"/>
  <c r="N16" i="2"/>
  <c r="L16" i="2"/>
  <c r="L15" i="2"/>
  <c r="B14" i="2"/>
  <c r="C14" i="2"/>
  <c r="J14" i="2" s="1"/>
  <c r="D14" i="2"/>
  <c r="E14" i="2"/>
  <c r="F14" i="2"/>
  <c r="G14" i="2"/>
  <c r="H14" i="2"/>
  <c r="I14" i="2"/>
  <c r="B15" i="2"/>
  <c r="C15" i="2"/>
  <c r="J15" i="2" s="1"/>
  <c r="D15" i="2"/>
  <c r="E15" i="2"/>
  <c r="F15" i="2"/>
  <c r="G15" i="2"/>
  <c r="H15" i="2"/>
  <c r="I15" i="2"/>
  <c r="B6" i="2"/>
  <c r="C6" i="2"/>
  <c r="D6" i="2"/>
  <c r="E6" i="2"/>
  <c r="J6" i="2" s="1"/>
  <c r="F6" i="2"/>
  <c r="G6" i="2"/>
  <c r="H6" i="2"/>
  <c r="I6" i="2"/>
  <c r="I7" i="2" s="1"/>
  <c r="B7" i="2"/>
  <c r="C7" i="2"/>
  <c r="D7" i="2"/>
  <c r="F7" i="2"/>
  <c r="G7" i="2"/>
  <c r="H7" i="2"/>
  <c r="L12" i="2"/>
  <c r="J2" i="2"/>
  <c r="J3" i="2"/>
  <c r="J4" i="2"/>
  <c r="M12" i="2" s="1"/>
  <c r="J5" i="2"/>
  <c r="N12" i="2" s="1"/>
  <c r="J10" i="2"/>
  <c r="J11" i="2"/>
  <c r="J12" i="2"/>
  <c r="J13" i="2"/>
  <c r="J1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C10" i="2"/>
  <c r="D10" i="2"/>
  <c r="E10" i="2"/>
  <c r="F10" i="2"/>
  <c r="G10" i="2"/>
  <c r="H10" i="2"/>
  <c r="I10" i="2"/>
  <c r="B10" i="2"/>
  <c r="B5" i="2"/>
  <c r="C5" i="2"/>
  <c r="D5" i="2"/>
  <c r="E5" i="2"/>
  <c r="F5" i="2"/>
  <c r="G5" i="2"/>
  <c r="H5" i="2"/>
  <c r="I5" i="2"/>
  <c r="C4" i="2"/>
  <c r="D4" i="2"/>
  <c r="E4" i="2"/>
  <c r="F4" i="2"/>
  <c r="G4" i="2"/>
  <c r="H4" i="2"/>
  <c r="I4" i="2"/>
  <c r="B4" i="2"/>
  <c r="I3" i="2"/>
  <c r="C3" i="2"/>
  <c r="D3" i="2"/>
  <c r="E3" i="2"/>
  <c r="F3" i="2"/>
  <c r="G3" i="2"/>
  <c r="H3" i="2"/>
  <c r="B3" i="2"/>
  <c r="AS9" i="2"/>
  <c r="AT9" i="2"/>
  <c r="AU9" i="2"/>
  <c r="AV9" i="2"/>
  <c r="AW9" i="2"/>
  <c r="AX9" i="2"/>
  <c r="AY9" i="2"/>
  <c r="AR9" i="2"/>
  <c r="AZ4" i="2"/>
  <c r="AW15" i="2" s="1"/>
  <c r="AZ5" i="2"/>
  <c r="AR15" i="2" s="1"/>
  <c r="AS6" i="2"/>
  <c r="AS10" i="2" s="1"/>
  <c r="AT6" i="2"/>
  <c r="AT7" i="2" s="1"/>
  <c r="AT8" i="2" s="1"/>
  <c r="AU6" i="2"/>
  <c r="AU7" i="2" s="1"/>
  <c r="AV6" i="2"/>
  <c r="AV7" i="2" s="1"/>
  <c r="AV8" i="2" s="1"/>
  <c r="AW6" i="2"/>
  <c r="AW10" i="2" s="1"/>
  <c r="AX6" i="2"/>
  <c r="AX7" i="2" s="1"/>
  <c r="AX8" i="2" s="1"/>
  <c r="AY6" i="2"/>
  <c r="AY10" i="2" s="1"/>
  <c r="AS7" i="2"/>
  <c r="AS8" i="2" s="1"/>
  <c r="AW7" i="2"/>
  <c r="AW8" i="2" s="1"/>
  <c r="AR6" i="2"/>
  <c r="AR10" i="2" s="1"/>
  <c r="AA13" i="1"/>
  <c r="AA14" i="1"/>
  <c r="X10" i="1"/>
  <c r="S11" i="1"/>
  <c r="S12" i="1"/>
  <c r="X11" i="1" s="1"/>
  <c r="S10" i="1"/>
  <c r="C18" i="2" l="1"/>
  <c r="AY7" i="2"/>
  <c r="AY8" i="2" s="1"/>
  <c r="F18" i="2"/>
  <c r="I18" i="2"/>
  <c r="E18" i="2"/>
  <c r="H18" i="2"/>
  <c r="D18" i="2"/>
  <c r="B18" i="2"/>
  <c r="G18" i="2"/>
  <c r="E7" i="2"/>
  <c r="J7" i="2" s="1"/>
  <c r="N11" i="2"/>
  <c r="N10" i="2"/>
  <c r="AZ6" i="2"/>
  <c r="AS15" i="2" s="1"/>
  <c r="AQ16" i="2"/>
  <c r="AQ20" i="2" s="1"/>
  <c r="AW11" i="2"/>
  <c r="AV10" i="2"/>
  <c r="AV11" i="2"/>
  <c r="AZ9" i="2"/>
  <c r="AT16" i="2" s="1"/>
  <c r="AS11" i="2"/>
  <c r="AS12" i="2"/>
  <c r="AT12" i="2"/>
  <c r="AV12" i="2"/>
  <c r="AX12" i="2"/>
  <c r="AR12" i="2"/>
  <c r="AU8" i="2"/>
  <c r="AU11" i="2"/>
  <c r="AU10" i="2"/>
  <c r="AR7" i="2"/>
  <c r="AY11" i="2"/>
  <c r="AX10" i="2"/>
  <c r="AT10" i="2"/>
  <c r="AX11" i="2"/>
  <c r="AT11" i="2"/>
  <c r="AT15" i="2"/>
  <c r="AT20" i="2" s="1"/>
  <c r="AY12" i="2"/>
  <c r="AU12" i="2"/>
  <c r="AW12" i="2"/>
  <c r="Y3" i="1"/>
  <c r="Y4" i="1" s="1"/>
  <c r="Y5" i="1" s="1"/>
  <c r="Y6" i="1" s="1"/>
  <c r="K1" i="1"/>
  <c r="D1" i="1"/>
  <c r="R3" i="1"/>
  <c r="R4" i="1" s="1"/>
  <c r="K8" i="1"/>
  <c r="K12" i="1"/>
  <c r="J12" i="1"/>
  <c r="J11" i="1"/>
  <c r="K11" i="1" s="1"/>
  <c r="L11" i="1" s="1"/>
  <c r="M11" i="1" s="1"/>
  <c r="N11" i="1" s="1"/>
  <c r="J10" i="1"/>
  <c r="K10" i="1" s="1"/>
  <c r="L10" i="1" s="1"/>
  <c r="M10" i="1" s="1"/>
  <c r="J9" i="1"/>
  <c r="K9" i="1" s="1"/>
  <c r="L9" i="1" s="1"/>
  <c r="J8" i="1"/>
  <c r="J7" i="1"/>
  <c r="Z2" i="1" s="1"/>
  <c r="AA2" i="1" s="1"/>
  <c r="J6" i="1"/>
  <c r="K6" i="1" s="1"/>
  <c r="L6" i="1" s="1"/>
  <c r="M6" i="1" s="1"/>
  <c r="J5" i="1"/>
  <c r="K5" i="1" s="1"/>
  <c r="L5" i="1" s="1"/>
  <c r="J4" i="1"/>
  <c r="K4" i="1" s="1"/>
  <c r="J3" i="1"/>
  <c r="D4" i="1"/>
  <c r="D8" i="1"/>
  <c r="D3" i="1"/>
  <c r="C4" i="1"/>
  <c r="C5" i="1"/>
  <c r="C6" i="1"/>
  <c r="S2" i="1" s="1"/>
  <c r="T2" i="1" s="1"/>
  <c r="V2" i="1" s="1"/>
  <c r="C7" i="1"/>
  <c r="D6" i="1" s="1"/>
  <c r="S3" i="1" s="1"/>
  <c r="C8" i="1"/>
  <c r="C9" i="1"/>
  <c r="C10" i="1"/>
  <c r="D9" i="1" s="1"/>
  <c r="E8" i="1" s="1"/>
  <c r="C11" i="1"/>
  <c r="D10" i="1" s="1"/>
  <c r="C12" i="1"/>
  <c r="C3" i="1"/>
  <c r="J18" i="2" l="1"/>
  <c r="AQ17" i="2"/>
  <c r="AQ21" i="2" s="1"/>
  <c r="AR16" i="2"/>
  <c r="AR20" i="2" s="1"/>
  <c r="AZ10" i="2"/>
  <c r="AT17" i="2" s="1"/>
  <c r="AT21" i="2" s="1"/>
  <c r="AT25" i="2" s="1"/>
  <c r="AZ12" i="2"/>
  <c r="AR8" i="2"/>
  <c r="AZ8" i="2" s="1"/>
  <c r="AS17" i="2" s="1"/>
  <c r="AS21" i="2" s="1"/>
  <c r="AR11" i="2"/>
  <c r="AZ11" i="2" s="1"/>
  <c r="AZ7" i="2"/>
  <c r="L12" i="1"/>
  <c r="M12" i="1" s="1"/>
  <c r="N12" i="1" s="1"/>
  <c r="L8" i="1"/>
  <c r="E3" i="1"/>
  <c r="D7" i="1"/>
  <c r="E6" i="1" s="1"/>
  <c r="K7" i="1"/>
  <c r="D11" i="1"/>
  <c r="E10" i="1" s="1"/>
  <c r="AC2" i="1"/>
  <c r="D5" i="1"/>
  <c r="E4" i="1" s="1"/>
  <c r="U2" i="1"/>
  <c r="T3" i="1"/>
  <c r="V3" i="1" s="1"/>
  <c r="S4" i="1"/>
  <c r="U3" i="1" s="1"/>
  <c r="E7" i="1"/>
  <c r="F6" i="1" s="1"/>
  <c r="R5" i="1"/>
  <c r="R6" i="1" s="1"/>
  <c r="F3" i="1"/>
  <c r="E9" i="1"/>
  <c r="F8" i="1" s="1"/>
  <c r="E5" i="1"/>
  <c r="F4" i="1" s="1"/>
  <c r="AR17" i="2" l="1"/>
  <c r="AR21" i="2" s="1"/>
  <c r="AR25" i="2" s="1"/>
  <c r="AS16" i="2"/>
  <c r="AS20" i="2" s="1"/>
  <c r="AS25" i="2" s="1"/>
  <c r="AW25" i="2" s="1"/>
  <c r="Z3" i="1"/>
  <c r="L7" i="1"/>
  <c r="M8" i="1" s="1"/>
  <c r="G3" i="1"/>
  <c r="T4" i="1"/>
  <c r="V4" i="1" s="1"/>
  <c r="M9" i="1"/>
  <c r="G7" i="1"/>
  <c r="F9" i="1"/>
  <c r="G8" i="1" s="1"/>
  <c r="F7" i="1"/>
  <c r="G6" i="1" s="1"/>
  <c r="S6" i="1"/>
  <c r="U5" i="1" s="1"/>
  <c r="S5" i="1"/>
  <c r="U4" i="1" s="1"/>
  <c r="F5" i="1"/>
  <c r="G4" i="1" s="1"/>
  <c r="G5" i="1"/>
  <c r="AW24" i="2" l="1"/>
  <c r="AW23" i="2" s="1"/>
  <c r="T5" i="1"/>
  <c r="N9" i="1"/>
  <c r="N10" i="1"/>
  <c r="Z4" i="1"/>
  <c r="AB3" i="1" s="1"/>
  <c r="M7" i="1"/>
  <c r="AB2" i="1"/>
  <c r="AA3" i="1"/>
  <c r="T6" i="1"/>
  <c r="V6" i="1" s="1"/>
  <c r="V5" i="1"/>
  <c r="AV13" i="2" l="1"/>
  <c r="AX13" i="2"/>
  <c r="AS13" i="2"/>
  <c r="AR13" i="2"/>
  <c r="AU13" i="2"/>
  <c r="AY13" i="2"/>
  <c r="AT13" i="2"/>
  <c r="AW13" i="2"/>
  <c r="Z5" i="1"/>
  <c r="AB4" i="1" s="1"/>
  <c r="N7" i="1"/>
  <c r="Z6" i="1" s="1"/>
  <c r="AB5" i="1" s="1"/>
  <c r="AC3" i="1"/>
  <c r="AA4" i="1"/>
  <c r="N8" i="1"/>
  <c r="AZ13" i="2" l="1"/>
  <c r="AZ25" i="2" s="1"/>
  <c r="AC4" i="1"/>
  <c r="AA5" i="1"/>
  <c r="AC5" i="1" l="1"/>
  <c r="AA6" i="1"/>
  <c r="AC6" i="1" s="1"/>
</calcChain>
</file>

<file path=xl/sharedStrings.xml><?xml version="1.0" encoding="utf-8"?>
<sst xmlns="http://schemas.openxmlformats.org/spreadsheetml/2006/main" count="121" uniqueCount="81">
  <si>
    <t>f(x)=1/x</t>
    <phoneticPr fontId="1" type="noConversion"/>
  </si>
  <si>
    <t>x</t>
    <phoneticPr fontId="1" type="noConversion"/>
  </si>
  <si>
    <t>f(x)</t>
    <phoneticPr fontId="1" type="noConversion"/>
  </si>
  <si>
    <t>df</t>
    <phoneticPr fontId="1" type="noConversion"/>
  </si>
  <si>
    <t>d2f</t>
    <phoneticPr fontId="1" type="noConversion"/>
  </si>
  <si>
    <t>d3f</t>
    <phoneticPr fontId="1" type="noConversion"/>
  </si>
  <si>
    <t>d4f</t>
    <phoneticPr fontId="1" type="noConversion"/>
  </si>
  <si>
    <t>전진차분</t>
    <phoneticPr fontId="1" type="noConversion"/>
  </si>
  <si>
    <t>후진차분</t>
    <phoneticPr fontId="1" type="noConversion"/>
  </si>
  <si>
    <t>#</t>
    <phoneticPr fontId="1" type="noConversion"/>
  </si>
  <si>
    <t>s</t>
    <phoneticPr fontId="1" type="noConversion"/>
  </si>
  <si>
    <t>x=0.48</t>
    <phoneticPr fontId="1" type="noConversion"/>
  </si>
  <si>
    <t>P(0.48)</t>
    <phoneticPr fontId="1" type="noConversion"/>
  </si>
  <si>
    <t>s-1</t>
    <phoneticPr fontId="1" type="noConversion"/>
  </si>
  <si>
    <t>s-2</t>
    <phoneticPr fontId="1" type="noConversion"/>
  </si>
  <si>
    <t>s-3</t>
    <phoneticPr fontId="1" type="noConversion"/>
  </si>
  <si>
    <t>항</t>
    <phoneticPr fontId="1" type="noConversion"/>
  </si>
  <si>
    <t>절단오차</t>
    <phoneticPr fontId="1" type="noConversion"/>
  </si>
  <si>
    <t>참 값</t>
    <phoneticPr fontId="1" type="noConversion"/>
  </si>
  <si>
    <t>절대오차</t>
    <phoneticPr fontId="1" type="noConversion"/>
  </si>
  <si>
    <t>s+1</t>
    <phoneticPr fontId="1" type="noConversion"/>
  </si>
  <si>
    <t>s+2</t>
    <phoneticPr fontId="1" type="noConversion"/>
  </si>
  <si>
    <t>s+3</t>
    <phoneticPr fontId="1" type="noConversion"/>
  </si>
  <si>
    <t>x</t>
    <phoneticPr fontId="1" type="noConversion"/>
  </si>
  <si>
    <t>y</t>
    <phoneticPr fontId="1" type="noConversion"/>
  </si>
  <si>
    <t>y_1</t>
    <phoneticPr fontId="1" type="noConversion"/>
  </si>
  <si>
    <t>y_2</t>
    <phoneticPr fontId="1" type="noConversion"/>
  </si>
  <si>
    <t>y_0</t>
    <phoneticPr fontId="1" type="noConversion"/>
  </si>
  <si>
    <t>4s1+s2=6(y_0-y_1)/h</t>
    <phoneticPr fontId="1" type="noConversion"/>
  </si>
  <si>
    <t>s1+4s2=6(y_1-y_2)/h</t>
    <phoneticPr fontId="1" type="noConversion"/>
  </si>
  <si>
    <t>&gt;</t>
  </si>
  <si>
    <t>&gt;</t>
    <phoneticPr fontId="1" type="noConversion"/>
  </si>
  <si>
    <t>s2</t>
    <phoneticPr fontId="1" type="noConversion"/>
  </si>
  <si>
    <t>s1</t>
    <phoneticPr fontId="1" type="noConversion"/>
  </si>
  <si>
    <t>ΔP</t>
  </si>
  <si>
    <t>Q</t>
    <phoneticPr fontId="1" type="noConversion"/>
  </si>
  <si>
    <t>QP1</t>
    <phoneticPr fontId="1" type="noConversion"/>
  </si>
  <si>
    <t>QP2</t>
    <phoneticPr fontId="1" type="noConversion"/>
  </si>
  <si>
    <t>QP3</t>
    <phoneticPr fontId="1" type="noConversion"/>
  </si>
  <si>
    <t>&gt;</t>
    <phoneticPr fontId="1" type="noConversion"/>
  </si>
  <si>
    <t>a3</t>
  </si>
  <si>
    <t>a2</t>
  </si>
  <si>
    <t>a2</t>
    <phoneticPr fontId="1" type="noConversion"/>
  </si>
  <si>
    <t>a1</t>
  </si>
  <si>
    <t>a1</t>
    <phoneticPr fontId="1" type="noConversion"/>
  </si>
  <si>
    <t>a0</t>
  </si>
  <si>
    <t>a0</t>
    <phoneticPr fontId="1" type="noConversion"/>
  </si>
  <si>
    <t>St</t>
    <phoneticPr fontId="1" type="noConversion"/>
  </si>
  <si>
    <t>S</t>
    <phoneticPr fontId="1" type="noConversion"/>
  </si>
  <si>
    <t>결정계수</t>
    <phoneticPr fontId="1" type="noConversion"/>
  </si>
  <si>
    <t>Q평균</t>
    <phoneticPr fontId="1" type="noConversion"/>
  </si>
  <si>
    <t>평균</t>
    <phoneticPr fontId="1" type="noConversion"/>
  </si>
  <si>
    <t>T^2</t>
    <phoneticPr fontId="1" type="noConversion"/>
  </si>
  <si>
    <t>T^3</t>
    <phoneticPr fontId="1" type="noConversion"/>
  </si>
  <si>
    <t>T^4</t>
  </si>
  <si>
    <t>T^5</t>
  </si>
  <si>
    <t>T^6</t>
  </si>
  <si>
    <t>T^7</t>
  </si>
  <si>
    <t>T^8</t>
  </si>
  <si>
    <t>kT</t>
    <phoneticPr fontId="1" type="noConversion"/>
  </si>
  <si>
    <t>kT2</t>
    <phoneticPr fontId="1" type="noConversion"/>
  </si>
  <si>
    <t>kT3</t>
  </si>
  <si>
    <t>kT4</t>
  </si>
  <si>
    <t>kT5</t>
  </si>
  <si>
    <t>kT6</t>
  </si>
  <si>
    <t>k</t>
    <phoneticPr fontId="1" type="noConversion"/>
  </si>
  <si>
    <t>T</t>
    <phoneticPr fontId="1" type="noConversion"/>
  </si>
  <si>
    <t>N=8</t>
    <phoneticPr fontId="1" type="noConversion"/>
  </si>
  <si>
    <t>1차 다항식</t>
    <phoneticPr fontId="1" type="noConversion"/>
  </si>
  <si>
    <t>2차 다항식</t>
    <phoneticPr fontId="1" type="noConversion"/>
  </si>
  <si>
    <t>3차 다항식</t>
  </si>
  <si>
    <t>3차 다항식</t>
    <phoneticPr fontId="1" type="noConversion"/>
  </si>
  <si>
    <t>4차 다항식</t>
  </si>
  <si>
    <t>4차 다항식</t>
    <phoneticPr fontId="1" type="noConversion"/>
  </si>
  <si>
    <t>a4</t>
  </si>
  <si>
    <t>k평균</t>
    <phoneticPr fontId="1" type="noConversion"/>
  </si>
  <si>
    <t>S1차</t>
    <phoneticPr fontId="1" type="noConversion"/>
  </si>
  <si>
    <t>S2차</t>
  </si>
  <si>
    <t>S3차</t>
  </si>
  <si>
    <t>S4차</t>
  </si>
  <si>
    <t>결정 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</si>
</sst>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0.0000"/>
    <numFmt numFmtId="177" formatCode="0.0000_ "/>
    <numFmt numFmtId="180" formatCode="0.000"/>
    <numFmt numFmtId="183" formatCode="0.000000"/>
    <numFmt numFmtId="184" formatCode="0.0"/>
    <numFmt numFmtId="185" formatCode="0.0000E+00"/>
    <numFmt numFmtId="195" formatCode="0.00.E+00"/>
    <numFmt numFmtId="197" formatCode="0.0000.E+00"/>
    <numFmt numFmtId="199" formatCode="0.000000.E+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83" fontId="4" fillId="0" borderId="1" xfId="0" applyNumberFormat="1" applyFont="1" applyBorder="1" applyAlignment="1">
      <alignment horizontal="center" vertical="center"/>
    </xf>
    <xf numFmtId="195" fontId="4" fillId="0" borderId="1" xfId="2" applyNumberFormat="1" applyFont="1" applyBorder="1" applyAlignment="1">
      <alignment horizontal="center" vertical="center"/>
    </xf>
    <xf numFmtId="199" fontId="4" fillId="0" borderId="1" xfId="1" applyNumberFormat="1" applyFont="1" applyBorder="1" applyAlignment="1">
      <alignment horizontal="center" vertical="center"/>
    </xf>
    <xf numFmtId="197" fontId="4" fillId="0" borderId="1" xfId="0" applyNumberFormat="1" applyFont="1" applyBorder="1" applyAlignment="1">
      <alignment horizontal="center" vertical="center"/>
    </xf>
    <xf numFmtId="199" fontId="4" fillId="0" borderId="0" xfId="0" applyNumberFormat="1" applyFont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915-EF2B-4372-A5BA-BAD2C9A8D6CD}">
  <dimension ref="A1:AI18"/>
  <sheetViews>
    <sheetView topLeftCell="M1" zoomScale="145" zoomScaleNormal="145" workbookViewId="0">
      <selection activeCell="AE12" sqref="AE12"/>
    </sheetView>
  </sheetViews>
  <sheetFormatPr defaultRowHeight="11.25" x14ac:dyDescent="0.3"/>
  <cols>
    <col min="1" max="1" width="6.125" style="1" bestFit="1" customWidth="1"/>
    <col min="2" max="2" width="5.625" style="1" bestFit="1" customWidth="1"/>
    <col min="3" max="3" width="6.25" style="1" bestFit="1" customWidth="1"/>
    <col min="4" max="4" width="6.625" style="1" bestFit="1" customWidth="1"/>
    <col min="5" max="5" width="6" style="1" bestFit="1" customWidth="1"/>
    <col min="6" max="6" width="6.625" style="1" bestFit="1" customWidth="1"/>
    <col min="7" max="7" width="6" style="1" bestFit="1" customWidth="1"/>
    <col min="8" max="8" width="6.125" style="1" bestFit="1" customWidth="1"/>
    <col min="9" max="9" width="5.625" style="1" bestFit="1" customWidth="1"/>
    <col min="10" max="10" width="6.25" style="1" bestFit="1" customWidth="1"/>
    <col min="11" max="11" width="6.625" style="1" bestFit="1" customWidth="1"/>
    <col min="12" max="12" width="6" style="1" bestFit="1" customWidth="1"/>
    <col min="13" max="13" width="6.625" style="1" bestFit="1" customWidth="1"/>
    <col min="14" max="14" width="6" style="1" bestFit="1" customWidth="1"/>
    <col min="15" max="15" width="9" style="1"/>
    <col min="16" max="16" width="3.75" style="1" bestFit="1" customWidth="1"/>
    <col min="17" max="17" width="4.5" style="1" bestFit="1" customWidth="1"/>
    <col min="18" max="18" width="4.375" style="1" bestFit="1" customWidth="1"/>
    <col min="19" max="19" width="6.125" style="1" bestFit="1" customWidth="1"/>
    <col min="20" max="20" width="5.5" style="1" bestFit="1" customWidth="1"/>
    <col min="21" max="21" width="7" style="1" bestFit="1" customWidth="1"/>
    <col min="22" max="22" width="9.75" style="1" bestFit="1" customWidth="1"/>
    <col min="23" max="23" width="5.5" style="1" bestFit="1" customWidth="1"/>
    <col min="24" max="24" width="6.25" style="1" bestFit="1" customWidth="1"/>
    <col min="25" max="25" width="4.375" style="1" bestFit="1" customWidth="1"/>
    <col min="26" max="26" width="6.125" style="1" bestFit="1" customWidth="1"/>
    <col min="27" max="27" width="5.5" style="1" bestFit="1" customWidth="1"/>
    <col min="28" max="29" width="7" style="1" bestFit="1" customWidth="1"/>
    <col min="30" max="30" width="9" style="1"/>
    <col min="31" max="35" width="4.875" style="1" customWidth="1"/>
    <col min="36" max="16384" width="9" style="1"/>
  </cols>
  <sheetData>
    <row r="1" spans="1:35" x14ac:dyDescent="0.3">
      <c r="A1" s="11" t="s">
        <v>0</v>
      </c>
      <c r="B1" s="8" t="s">
        <v>11</v>
      </c>
      <c r="C1" s="8" t="s">
        <v>18</v>
      </c>
      <c r="D1" s="3">
        <f>1/0.48</f>
        <v>2.0833333333333335</v>
      </c>
      <c r="E1" s="5"/>
      <c r="F1" s="5"/>
      <c r="G1" s="5"/>
      <c r="H1" s="11" t="s">
        <v>0</v>
      </c>
      <c r="I1" s="8" t="s">
        <v>11</v>
      </c>
      <c r="J1" s="8" t="s">
        <v>18</v>
      </c>
      <c r="K1" s="3">
        <f>1/0.48</f>
        <v>2.0833333333333335</v>
      </c>
      <c r="L1" s="5"/>
      <c r="M1" s="5"/>
      <c r="N1" s="5"/>
      <c r="Q1" s="8"/>
      <c r="R1" s="3"/>
      <c r="S1" s="4" t="s">
        <v>16</v>
      </c>
      <c r="T1" s="8" t="s">
        <v>12</v>
      </c>
      <c r="U1" s="8" t="s">
        <v>17</v>
      </c>
      <c r="V1" s="8" t="s">
        <v>19</v>
      </c>
      <c r="W1" s="8"/>
      <c r="X1" s="8"/>
      <c r="Y1" s="3"/>
      <c r="Z1" s="4" t="s">
        <v>16</v>
      </c>
      <c r="AA1" s="8" t="s">
        <v>12</v>
      </c>
      <c r="AB1" s="8" t="s">
        <v>17</v>
      </c>
      <c r="AC1" s="8" t="s">
        <v>19</v>
      </c>
      <c r="AE1" s="14" t="s">
        <v>23</v>
      </c>
      <c r="AF1" s="14">
        <v>0</v>
      </c>
      <c r="AG1" s="14">
        <v>0.5</v>
      </c>
      <c r="AH1" s="14">
        <v>1</v>
      </c>
      <c r="AI1" s="14">
        <v>1.5</v>
      </c>
    </row>
    <row r="2" spans="1:35" x14ac:dyDescent="0.3">
      <c r="A2" s="8" t="s">
        <v>9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9</v>
      </c>
      <c r="I2" s="8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Q2" s="8"/>
      <c r="R2" s="8"/>
      <c r="S2" s="3">
        <f>C6</f>
        <v>2.5</v>
      </c>
      <c r="T2" s="3">
        <f>S2</f>
        <v>2.5</v>
      </c>
      <c r="U2" s="3">
        <f>S3</f>
        <v>-0.3999999999999998</v>
      </c>
      <c r="V2" s="3">
        <f>ABS(T2-D$1)</f>
        <v>0.41666666666666652</v>
      </c>
      <c r="W2" s="8"/>
      <c r="X2" s="8"/>
      <c r="Y2" s="8"/>
      <c r="Z2" s="3">
        <f>J7</f>
        <v>2</v>
      </c>
      <c r="AA2" s="3">
        <f>Z2</f>
        <v>2</v>
      </c>
      <c r="AB2" s="3">
        <f>Z3</f>
        <v>0.10000000000000009</v>
      </c>
      <c r="AC2" s="3">
        <f>ABS(AA2-K$1)</f>
        <v>8.3333333333333481E-2</v>
      </c>
      <c r="AE2" s="14" t="s">
        <v>24</v>
      </c>
      <c r="AF2" s="14">
        <v>1</v>
      </c>
      <c r="AG2" s="14">
        <v>1.65</v>
      </c>
      <c r="AH2" s="14">
        <v>2.72</v>
      </c>
      <c r="AI2" s="14">
        <v>4.4800000000000004</v>
      </c>
    </row>
    <row r="3" spans="1:35" x14ac:dyDescent="0.3">
      <c r="A3" s="8">
        <v>1</v>
      </c>
      <c r="B3" s="8">
        <v>0.1</v>
      </c>
      <c r="C3" s="3">
        <f>1/B3</f>
        <v>10</v>
      </c>
      <c r="D3" s="4">
        <f>C4-C3</f>
        <v>-5</v>
      </c>
      <c r="E3" s="4">
        <f>D4-D3</f>
        <v>3.3333333333333335</v>
      </c>
      <c r="F3" s="4">
        <f>E4-E3</f>
        <v>-2.5000000000000004</v>
      </c>
      <c r="G3" s="4">
        <f>F4-F3</f>
        <v>2.0000000000000009</v>
      </c>
      <c r="H3" s="8">
        <v>1</v>
      </c>
      <c r="I3" s="8">
        <v>0.1</v>
      </c>
      <c r="J3" s="3">
        <f>1/I3</f>
        <v>10</v>
      </c>
      <c r="K3" s="4"/>
      <c r="L3" s="4"/>
      <c r="M3" s="5" t="s">
        <v>8</v>
      </c>
      <c r="N3" s="5"/>
      <c r="Q3" s="8" t="s">
        <v>10</v>
      </c>
      <c r="R3" s="8">
        <f>(0.48-0.4)/0.1</f>
        <v>0.7999999999999996</v>
      </c>
      <c r="S3" s="3">
        <f>R3*D6</f>
        <v>-0.3999999999999998</v>
      </c>
      <c r="T3" s="3">
        <f>T2+S3</f>
        <v>2.1</v>
      </c>
      <c r="U3" s="3">
        <f t="shared" ref="U3:U5" si="0">S4</f>
        <v>-1.333333333333336E-2</v>
      </c>
      <c r="V3" s="3">
        <f>ABS(T3-D$1)</f>
        <v>1.6666666666666607E-2</v>
      </c>
      <c r="W3" s="8"/>
      <c r="X3" s="8" t="s">
        <v>10</v>
      </c>
      <c r="Y3" s="8">
        <f>(0.48-0.5)/0.1</f>
        <v>-0.20000000000000018</v>
      </c>
      <c r="Z3" s="3">
        <f>K7*Y3</f>
        <v>0.10000000000000009</v>
      </c>
      <c r="AA3" s="3">
        <f>AA2+Z3</f>
        <v>2.1</v>
      </c>
      <c r="AB3" s="3">
        <f t="shared" ref="AB3:AB5" si="1">Z4</f>
        <v>-2.6666666666666693E-2</v>
      </c>
      <c r="AC3" s="3">
        <f>ABS(AA3-K$1)</f>
        <v>1.6666666666666607E-2</v>
      </c>
    </row>
    <row r="4" spans="1:35" x14ac:dyDescent="0.3">
      <c r="A4" s="8">
        <v>2</v>
      </c>
      <c r="B4" s="8">
        <v>0.2</v>
      </c>
      <c r="C4" s="3">
        <f t="shared" ref="C4:C12" si="2">1/B4</f>
        <v>5</v>
      </c>
      <c r="D4" s="4">
        <f t="shared" ref="D4:G11" si="3">C5-C4</f>
        <v>-1.6666666666666665</v>
      </c>
      <c r="E4" s="4">
        <f t="shared" si="3"/>
        <v>0.83333333333333304</v>
      </c>
      <c r="F4" s="4">
        <f t="shared" si="3"/>
        <v>-0.49999999999999956</v>
      </c>
      <c r="G4" s="4">
        <f t="shared" si="3"/>
        <v>0.33333333333333282</v>
      </c>
      <c r="H4" s="8">
        <v>2</v>
      </c>
      <c r="I4" s="8">
        <v>0.2</v>
      </c>
      <c r="J4" s="3">
        <f t="shared" ref="J4:J12" si="4">1/I4</f>
        <v>5</v>
      </c>
      <c r="K4" s="4">
        <f>J4-J3</f>
        <v>-5</v>
      </c>
      <c r="L4" s="4"/>
      <c r="M4" s="5"/>
      <c r="N4" s="5"/>
      <c r="Q4" s="8" t="s">
        <v>13</v>
      </c>
      <c r="R4" s="8">
        <f>R3-1</f>
        <v>-0.2000000000000004</v>
      </c>
      <c r="S4" s="3">
        <f>R3*R4*E6/2</f>
        <v>-1.333333333333336E-2</v>
      </c>
      <c r="T4" s="3">
        <f>T3+S4</f>
        <v>2.0866666666666669</v>
      </c>
      <c r="U4" s="3">
        <f t="shared" si="0"/>
        <v>-2.2857142857142959E-3</v>
      </c>
      <c r="V4" s="3">
        <f>ABS(T4-D$1)</f>
        <v>3.3333333333334103E-3</v>
      </c>
      <c r="W4" s="8"/>
      <c r="X4" s="8" t="s">
        <v>20</v>
      </c>
      <c r="Y4" s="8">
        <f>Y3+1</f>
        <v>0.79999999999999982</v>
      </c>
      <c r="Z4" s="3">
        <f>L7*Y3*Y4/2</f>
        <v>-2.6666666666666693E-2</v>
      </c>
      <c r="AA4" s="3">
        <f t="shared" ref="AA4:AA6" si="5">AA3+Z4</f>
        <v>2.0733333333333333</v>
      </c>
      <c r="AB4" s="3">
        <f t="shared" si="1"/>
        <v>2.3999999999999994E-2</v>
      </c>
      <c r="AC4" s="3">
        <f>ABS(AA4-K$1)</f>
        <v>1.0000000000000231E-2</v>
      </c>
    </row>
    <row r="5" spans="1:35" x14ac:dyDescent="0.3">
      <c r="A5" s="8">
        <v>3</v>
      </c>
      <c r="B5" s="8">
        <v>0.3</v>
      </c>
      <c r="C5" s="3">
        <f t="shared" si="2"/>
        <v>3.3333333333333335</v>
      </c>
      <c r="D5" s="4">
        <f t="shared" si="3"/>
        <v>-0.83333333333333348</v>
      </c>
      <c r="E5" s="4">
        <f t="shared" si="3"/>
        <v>0.33333333333333348</v>
      </c>
      <c r="F5" s="4">
        <f t="shared" si="3"/>
        <v>-0.16666666666666674</v>
      </c>
      <c r="G5" s="4">
        <f t="shared" si="3"/>
        <v>9.5238095238095122E-2</v>
      </c>
      <c r="H5" s="8">
        <v>3</v>
      </c>
      <c r="I5" s="8">
        <v>0.3</v>
      </c>
      <c r="J5" s="3">
        <f t="shared" si="4"/>
        <v>3.3333333333333335</v>
      </c>
      <c r="K5" s="4">
        <f t="shared" ref="K5:N12" si="6">J5-J4</f>
        <v>-1.6666666666666665</v>
      </c>
      <c r="L5" s="4">
        <f>K5-K4</f>
        <v>3.3333333333333335</v>
      </c>
      <c r="M5" s="4"/>
      <c r="N5" s="4"/>
      <c r="Q5" s="8" t="s">
        <v>14</v>
      </c>
      <c r="R5" s="8">
        <f>R4-1</f>
        <v>-1.2000000000000004</v>
      </c>
      <c r="S5" s="3">
        <f>F6*R3*R4*R5/6</f>
        <v>-2.2857142857142959E-3</v>
      </c>
      <c r="T5" s="3">
        <f>T4+S5</f>
        <v>2.0843809523809527</v>
      </c>
      <c r="U5" s="3">
        <f t="shared" si="0"/>
        <v>-6.2857142857143536E-4</v>
      </c>
      <c r="V5" s="3">
        <f>ABS(T5-D$1)</f>
        <v>1.047619047619186E-3</v>
      </c>
      <c r="W5" s="8"/>
      <c r="X5" s="8" t="s">
        <v>21</v>
      </c>
      <c r="Y5" s="8">
        <f t="shared" ref="Y5:Y6" si="7">Y4+1</f>
        <v>1.7999999999999998</v>
      </c>
      <c r="Z5" s="3">
        <f>M7*Y3*Y4*Y5/6</f>
        <v>2.3999999999999994E-2</v>
      </c>
      <c r="AA5" s="3">
        <f t="shared" si="5"/>
        <v>2.0973333333333333</v>
      </c>
      <c r="AB5" s="3">
        <f t="shared" si="1"/>
        <v>-6.7200000000000051E-2</v>
      </c>
      <c r="AC5" s="3">
        <f>ABS(AA5-K$1)</f>
        <v>1.399999999999979E-2</v>
      </c>
    </row>
    <row r="6" spans="1:35" x14ac:dyDescent="0.3">
      <c r="A6" s="8">
        <v>4</v>
      </c>
      <c r="B6" s="12">
        <v>0.4</v>
      </c>
      <c r="C6" s="6">
        <f t="shared" si="2"/>
        <v>2.5</v>
      </c>
      <c r="D6" s="7">
        <f t="shared" si="3"/>
        <v>-0.5</v>
      </c>
      <c r="E6" s="7">
        <f t="shared" si="3"/>
        <v>0.16666666666666674</v>
      </c>
      <c r="F6" s="7">
        <f t="shared" si="3"/>
        <v>-7.1428571428571619E-2</v>
      </c>
      <c r="G6" s="7">
        <f t="shared" si="3"/>
        <v>3.5714285714286031E-2</v>
      </c>
      <c r="H6" s="8">
        <v>4</v>
      </c>
      <c r="I6" s="8">
        <v>0.4</v>
      </c>
      <c r="J6" s="3">
        <f t="shared" si="4"/>
        <v>2.5</v>
      </c>
      <c r="K6" s="4">
        <f t="shared" si="6"/>
        <v>-0.83333333333333348</v>
      </c>
      <c r="L6" s="4">
        <f t="shared" si="6"/>
        <v>0.83333333333333304</v>
      </c>
      <c r="M6" s="4">
        <f>L6-L5</f>
        <v>-2.5000000000000004</v>
      </c>
      <c r="N6" s="4"/>
      <c r="Q6" s="8" t="s">
        <v>15</v>
      </c>
      <c r="R6" s="8">
        <f>R5-1</f>
        <v>-2.2000000000000002</v>
      </c>
      <c r="S6" s="3">
        <f>G6*R3*R4*R5*R6/24</f>
        <v>-6.2857142857143536E-4</v>
      </c>
      <c r="T6" s="3">
        <f>T5+S6</f>
        <v>2.0837523809523812</v>
      </c>
      <c r="U6" s="3"/>
      <c r="V6" s="3">
        <f>ABS(T6-D$1)</f>
        <v>4.1904761904776322E-4</v>
      </c>
      <c r="W6" s="8"/>
      <c r="X6" s="8" t="s">
        <v>22</v>
      </c>
      <c r="Y6" s="8">
        <f t="shared" si="7"/>
        <v>2.8</v>
      </c>
      <c r="Z6" s="3">
        <f>N7*Y3*Y4*Y5*Y6/24</f>
        <v>-6.7200000000000051E-2</v>
      </c>
      <c r="AA6" s="3">
        <f t="shared" si="5"/>
        <v>2.0301333333333331</v>
      </c>
      <c r="AB6" s="8"/>
      <c r="AC6" s="3">
        <f>ABS(AA6-K$1)</f>
        <v>5.3200000000000358E-2</v>
      </c>
    </row>
    <row r="7" spans="1:35" x14ac:dyDescent="0.3">
      <c r="A7" s="8">
        <v>5</v>
      </c>
      <c r="B7" s="8">
        <v>0.5</v>
      </c>
      <c r="C7" s="3">
        <f t="shared" si="2"/>
        <v>2</v>
      </c>
      <c r="D7" s="4">
        <f t="shared" si="3"/>
        <v>-0.33333333333333326</v>
      </c>
      <c r="E7" s="4">
        <f t="shared" si="3"/>
        <v>9.5238095238095122E-2</v>
      </c>
      <c r="F7" s="4">
        <f t="shared" si="3"/>
        <v>-3.5714285714285587E-2</v>
      </c>
      <c r="G7" s="4">
        <f t="shared" si="3"/>
        <v>1.5873015873015817E-2</v>
      </c>
      <c r="H7" s="8">
        <v>5</v>
      </c>
      <c r="I7" s="12">
        <v>0.5</v>
      </c>
      <c r="J7" s="6">
        <f t="shared" si="4"/>
        <v>2</v>
      </c>
      <c r="K7" s="7">
        <f t="shared" si="6"/>
        <v>-0.5</v>
      </c>
      <c r="L7" s="7">
        <f t="shared" si="6"/>
        <v>0.33333333333333348</v>
      </c>
      <c r="M7" s="7">
        <f t="shared" si="6"/>
        <v>-0.49999999999999956</v>
      </c>
      <c r="N7" s="7">
        <f>M7-M6</f>
        <v>2.0000000000000009</v>
      </c>
    </row>
    <row r="8" spans="1:35" x14ac:dyDescent="0.3">
      <c r="A8" s="8">
        <v>6</v>
      </c>
      <c r="B8" s="8">
        <v>0.6</v>
      </c>
      <c r="C8" s="3">
        <f t="shared" si="2"/>
        <v>1.6666666666666667</v>
      </c>
      <c r="D8" s="4">
        <f t="shared" si="3"/>
        <v>-0.23809523809523814</v>
      </c>
      <c r="E8" s="4">
        <f t="shared" si="3"/>
        <v>5.9523809523809534E-2</v>
      </c>
      <c r="F8" s="4">
        <f t="shared" si="3"/>
        <v>-1.9841269841269771E-2</v>
      </c>
      <c r="G8" s="4">
        <f t="shared" si="3"/>
        <v>7.9365079365076863E-3</v>
      </c>
      <c r="H8" s="8">
        <v>6</v>
      </c>
      <c r="I8" s="8">
        <v>0.6</v>
      </c>
      <c r="J8" s="3">
        <f t="shared" si="4"/>
        <v>1.6666666666666667</v>
      </c>
      <c r="K8" s="4">
        <f t="shared" si="6"/>
        <v>-0.33333333333333326</v>
      </c>
      <c r="L8" s="4">
        <f t="shared" si="6"/>
        <v>0.16666666666666674</v>
      </c>
      <c r="M8" s="4">
        <f t="shared" si="6"/>
        <v>-0.16666666666666674</v>
      </c>
      <c r="N8" s="4">
        <f t="shared" si="6"/>
        <v>0.33333333333333282</v>
      </c>
    </row>
    <row r="9" spans="1:35" x14ac:dyDescent="0.3">
      <c r="A9" s="8">
        <v>7</v>
      </c>
      <c r="B9" s="8">
        <v>0.7</v>
      </c>
      <c r="C9" s="3">
        <f t="shared" si="2"/>
        <v>1.4285714285714286</v>
      </c>
      <c r="D9" s="4">
        <f t="shared" si="3"/>
        <v>-0.1785714285714286</v>
      </c>
      <c r="E9" s="4">
        <f t="shared" si="3"/>
        <v>3.9682539682539764E-2</v>
      </c>
      <c r="F9" s="4">
        <f t="shared" si="3"/>
        <v>-1.1904761904762085E-2</v>
      </c>
      <c r="G9" s="8"/>
      <c r="H9" s="8">
        <v>7</v>
      </c>
      <c r="I9" s="8">
        <v>0.7</v>
      </c>
      <c r="J9" s="3">
        <f t="shared" si="4"/>
        <v>1.4285714285714286</v>
      </c>
      <c r="K9" s="4">
        <f t="shared" si="6"/>
        <v>-0.23809523809523814</v>
      </c>
      <c r="L9" s="4">
        <f t="shared" si="6"/>
        <v>9.5238095238095122E-2</v>
      </c>
      <c r="M9" s="4">
        <f t="shared" si="6"/>
        <v>-7.1428571428571619E-2</v>
      </c>
      <c r="N9" s="4">
        <f t="shared" si="6"/>
        <v>9.5238095238095122E-2</v>
      </c>
      <c r="P9" s="1" t="s">
        <v>23</v>
      </c>
      <c r="Q9" s="1" t="s">
        <v>24</v>
      </c>
    </row>
    <row r="10" spans="1:35" x14ac:dyDescent="0.3">
      <c r="A10" s="8">
        <v>8</v>
      </c>
      <c r="B10" s="8">
        <v>0.8</v>
      </c>
      <c r="C10" s="3">
        <f t="shared" si="2"/>
        <v>1.25</v>
      </c>
      <c r="D10" s="4">
        <f t="shared" si="3"/>
        <v>-0.13888888888888884</v>
      </c>
      <c r="E10" s="4">
        <f t="shared" si="3"/>
        <v>2.7777777777777679E-2</v>
      </c>
      <c r="F10" s="8"/>
      <c r="G10" s="8"/>
      <c r="H10" s="8">
        <v>8</v>
      </c>
      <c r="I10" s="8">
        <v>0.8</v>
      </c>
      <c r="J10" s="3">
        <f t="shared" si="4"/>
        <v>1.25</v>
      </c>
      <c r="K10" s="4">
        <f t="shared" si="6"/>
        <v>-0.1785714285714286</v>
      </c>
      <c r="L10" s="4">
        <f t="shared" si="6"/>
        <v>5.9523809523809534E-2</v>
      </c>
      <c r="M10" s="4">
        <f t="shared" si="6"/>
        <v>-3.5714285714285587E-2</v>
      </c>
      <c r="N10" s="4">
        <f t="shared" si="6"/>
        <v>3.5714285714286031E-2</v>
      </c>
      <c r="P10" s="1">
        <v>0</v>
      </c>
      <c r="Q10" s="1">
        <v>1</v>
      </c>
      <c r="R10" s="1" t="s">
        <v>27</v>
      </c>
      <c r="S10" s="1">
        <f>(Q11-Q10)/0.5</f>
        <v>1.2999999999999998</v>
      </c>
      <c r="V10" s="9">
        <v>4</v>
      </c>
      <c r="W10" s="9">
        <v>1</v>
      </c>
      <c r="X10" s="9">
        <f>6*(S11-S10)/0.5</f>
        <v>10.080000000000009</v>
      </c>
      <c r="Y10" s="9"/>
      <c r="Z10" s="9"/>
      <c r="AA10" s="9"/>
      <c r="AB10" s="9"/>
      <c r="AC10" s="9"/>
    </row>
    <row r="11" spans="1:35" x14ac:dyDescent="0.3">
      <c r="A11" s="8">
        <v>9</v>
      </c>
      <c r="B11" s="8">
        <v>0.9</v>
      </c>
      <c r="C11" s="3">
        <f t="shared" si="2"/>
        <v>1.1111111111111112</v>
      </c>
      <c r="D11" s="4">
        <f t="shared" si="3"/>
        <v>-0.11111111111111116</v>
      </c>
      <c r="E11" s="8"/>
      <c r="F11" s="5" t="s">
        <v>7</v>
      </c>
      <c r="G11" s="5"/>
      <c r="H11" s="8">
        <v>9</v>
      </c>
      <c r="I11" s="8">
        <v>0.9</v>
      </c>
      <c r="J11" s="3">
        <f t="shared" si="4"/>
        <v>1.1111111111111112</v>
      </c>
      <c r="K11" s="4">
        <f t="shared" si="6"/>
        <v>-0.13888888888888884</v>
      </c>
      <c r="L11" s="4">
        <f t="shared" si="6"/>
        <v>3.9682539682539764E-2</v>
      </c>
      <c r="M11" s="4">
        <f t="shared" si="6"/>
        <v>-1.9841269841269771E-2</v>
      </c>
      <c r="N11" s="4">
        <f t="shared" si="6"/>
        <v>1.5873015873015817E-2</v>
      </c>
      <c r="P11" s="1">
        <v>0.5</v>
      </c>
      <c r="Q11" s="1">
        <v>1.65</v>
      </c>
      <c r="R11" s="1" t="s">
        <v>25</v>
      </c>
      <c r="S11" s="1">
        <f t="shared" ref="S11:S13" si="8">(Q12-Q11)/0.5</f>
        <v>2.1400000000000006</v>
      </c>
      <c r="V11" s="9">
        <v>1</v>
      </c>
      <c r="W11" s="9">
        <v>4</v>
      </c>
      <c r="X11" s="9">
        <f>6*(S12-S11)/0.5</f>
        <v>16.559999999999999</v>
      </c>
      <c r="Y11" s="9"/>
      <c r="Z11" s="9"/>
      <c r="AA11" s="9"/>
      <c r="AB11" s="9"/>
      <c r="AC11" s="9"/>
    </row>
    <row r="12" spans="1:35" x14ac:dyDescent="0.3">
      <c r="A12" s="8">
        <v>10</v>
      </c>
      <c r="B12" s="8">
        <v>1</v>
      </c>
      <c r="C12" s="3">
        <f t="shared" si="2"/>
        <v>1</v>
      </c>
      <c r="D12" s="4"/>
      <c r="E12" s="8"/>
      <c r="F12" s="5"/>
      <c r="G12" s="5"/>
      <c r="H12" s="8">
        <v>10</v>
      </c>
      <c r="I12" s="8">
        <v>1</v>
      </c>
      <c r="J12" s="3">
        <f t="shared" si="4"/>
        <v>1</v>
      </c>
      <c r="K12" s="4">
        <f t="shared" si="6"/>
        <v>-0.11111111111111116</v>
      </c>
      <c r="L12" s="4">
        <f t="shared" si="6"/>
        <v>2.7777777777777679E-2</v>
      </c>
      <c r="M12" s="4">
        <f t="shared" si="6"/>
        <v>-1.1904761904762085E-2</v>
      </c>
      <c r="N12" s="4">
        <f t="shared" si="6"/>
        <v>7.9365079365076863E-3</v>
      </c>
      <c r="P12" s="1">
        <v>1</v>
      </c>
      <c r="Q12" s="1">
        <v>2.72</v>
      </c>
      <c r="R12" s="1" t="s">
        <v>26</v>
      </c>
      <c r="S12" s="1">
        <f t="shared" si="8"/>
        <v>3.5200000000000005</v>
      </c>
    </row>
    <row r="13" spans="1:35" x14ac:dyDescent="0.3">
      <c r="P13" s="1">
        <v>1.5</v>
      </c>
      <c r="Q13" s="1">
        <v>4.4800000000000004</v>
      </c>
      <c r="V13" s="9">
        <v>4</v>
      </c>
      <c r="W13" s="9">
        <v>1</v>
      </c>
      <c r="X13" s="9">
        <v>10.080000000000009</v>
      </c>
      <c r="Y13" s="10" t="s">
        <v>31</v>
      </c>
      <c r="Z13" s="1" t="s">
        <v>33</v>
      </c>
      <c r="AA13" s="9">
        <f>(X13-W13*AA14)/V13</f>
        <v>1.5840000000000025</v>
      </c>
    </row>
    <row r="14" spans="1:35" x14ac:dyDescent="0.3">
      <c r="V14" s="9">
        <v>0</v>
      </c>
      <c r="W14" s="9">
        <v>3.75</v>
      </c>
      <c r="X14" s="9">
        <v>14.039999999999996</v>
      </c>
      <c r="Y14" s="10"/>
      <c r="Z14" s="1" t="s">
        <v>32</v>
      </c>
      <c r="AA14" s="9">
        <f>X14/W14</f>
        <v>3.7439999999999989</v>
      </c>
    </row>
    <row r="17" spans="15:15" x14ac:dyDescent="0.3">
      <c r="O17" s="1" t="s">
        <v>28</v>
      </c>
    </row>
    <row r="18" spans="15:15" x14ac:dyDescent="0.3">
      <c r="O18" s="1" t="s">
        <v>29</v>
      </c>
    </row>
  </sheetData>
  <mergeCells count="5">
    <mergeCell ref="F11:G12"/>
    <mergeCell ref="M3:N4"/>
    <mergeCell ref="Y13:Y14"/>
    <mergeCell ref="E1:G1"/>
    <mergeCell ref="L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9E73-FAAC-483B-B967-744E34DA0375}">
  <dimension ref="A1:AZ72"/>
  <sheetViews>
    <sheetView tabSelected="1" zoomScale="130" zoomScaleNormal="130" workbookViewId="0">
      <selection activeCell="I20" sqref="I20"/>
    </sheetView>
  </sheetViews>
  <sheetFormatPr defaultRowHeight="11.25" x14ac:dyDescent="0.3"/>
  <cols>
    <col min="1" max="1" width="5" style="13" bestFit="1" customWidth="1"/>
    <col min="2" max="3" width="8.625" style="13" bestFit="1" customWidth="1"/>
    <col min="4" max="4" width="10.875" style="13" bestFit="1" customWidth="1"/>
    <col min="5" max="9" width="10" style="13" bestFit="1" customWidth="1"/>
    <col min="10" max="10" width="13.875" style="13" bestFit="1" customWidth="1"/>
    <col min="11" max="11" width="5.5" style="13" customWidth="1"/>
    <col min="12" max="12" width="10.25" style="13" bestFit="1" customWidth="1"/>
    <col min="13" max="14" width="10.625" style="13" bestFit="1" customWidth="1"/>
    <col min="15" max="15" width="12.25" style="13" bestFit="1" customWidth="1"/>
    <col min="16" max="16" width="13.875" style="13" bestFit="1" customWidth="1"/>
    <col min="17" max="17" width="9.75" style="13" bestFit="1" customWidth="1"/>
    <col min="18" max="18" width="10.375" style="13" bestFit="1" customWidth="1"/>
    <col min="19" max="20" width="10.625" style="13" bestFit="1" customWidth="1"/>
    <col min="21" max="21" width="7" style="13" bestFit="1" customWidth="1"/>
    <col min="22" max="22" width="12.625" style="13" bestFit="1" customWidth="1"/>
    <col min="23" max="23" width="8.25" style="13" bestFit="1" customWidth="1"/>
    <col min="24" max="27" width="10.625" style="13" bestFit="1" customWidth="1"/>
    <col min="28" max="28" width="9.75" style="13" bestFit="1" customWidth="1"/>
    <col min="29" max="29" width="2.5" style="13" bestFit="1" customWidth="1"/>
    <col min="30" max="30" width="3" style="13" bestFit="1" customWidth="1"/>
    <col min="31" max="31" width="10.625" style="13" bestFit="1" customWidth="1"/>
    <col min="32" max="32" width="7.125" style="13" bestFit="1" customWidth="1"/>
    <col min="33" max="33" width="9" style="13" bestFit="1" customWidth="1"/>
    <col min="34" max="36" width="7.125" style="13" bestFit="1" customWidth="1"/>
    <col min="37" max="16384" width="9" style="13"/>
  </cols>
  <sheetData>
    <row r="1" spans="1:52" x14ac:dyDescent="0.3">
      <c r="A1" s="14" t="s">
        <v>65</v>
      </c>
      <c r="B1" s="14">
        <v>0.55600000000000005</v>
      </c>
      <c r="C1" s="14">
        <v>0.58499999999999996</v>
      </c>
      <c r="D1" s="14">
        <v>0.61399999999999999</v>
      </c>
      <c r="E1" s="14">
        <v>0.623</v>
      </c>
      <c r="F1" s="14">
        <v>0.64400000000000002</v>
      </c>
      <c r="G1" s="14">
        <v>0.65400000000000003</v>
      </c>
      <c r="H1" s="14">
        <v>0.66500000000000004</v>
      </c>
      <c r="I1" s="14">
        <v>0.67300000000000004</v>
      </c>
      <c r="J1" s="15">
        <f>SUM(B1:I1)</f>
        <v>5.0140000000000002</v>
      </c>
      <c r="L1" s="13" t="s">
        <v>67</v>
      </c>
      <c r="X1" s="10"/>
      <c r="Y1" s="10"/>
    </row>
    <row r="2" spans="1:52" x14ac:dyDescent="0.3">
      <c r="A2" s="14" t="s">
        <v>66</v>
      </c>
      <c r="B2" s="14">
        <v>0</v>
      </c>
      <c r="C2" s="14">
        <v>10</v>
      </c>
      <c r="D2" s="14">
        <v>27</v>
      </c>
      <c r="E2" s="14">
        <v>32</v>
      </c>
      <c r="F2" s="14">
        <v>49</v>
      </c>
      <c r="G2" s="14">
        <v>60</v>
      </c>
      <c r="H2" s="14">
        <v>71</v>
      </c>
      <c r="I2" s="14">
        <v>82</v>
      </c>
      <c r="J2" s="23">
        <f t="shared" ref="J2:J11" si="0">SUM(B2:I2)</f>
        <v>331</v>
      </c>
      <c r="L2" s="10" t="s">
        <v>68</v>
      </c>
      <c r="M2" s="10"/>
      <c r="Y2" s="24"/>
      <c r="Z2" s="29"/>
      <c r="AA2" s="25"/>
    </row>
    <row r="3" spans="1:52" x14ac:dyDescent="0.3">
      <c r="A3" s="14" t="s">
        <v>52</v>
      </c>
      <c r="B3" s="14">
        <f>B2*B2</f>
        <v>0</v>
      </c>
      <c r="C3" s="14">
        <f t="shared" ref="C3:H3" si="1">C2*C2</f>
        <v>100</v>
      </c>
      <c r="D3" s="14">
        <f t="shared" si="1"/>
        <v>729</v>
      </c>
      <c r="E3" s="14">
        <f t="shared" si="1"/>
        <v>1024</v>
      </c>
      <c r="F3" s="14">
        <f t="shared" si="1"/>
        <v>2401</v>
      </c>
      <c r="G3" s="14">
        <f t="shared" si="1"/>
        <v>3600</v>
      </c>
      <c r="H3" s="14">
        <f t="shared" si="1"/>
        <v>5041</v>
      </c>
      <c r="I3" s="14">
        <f>I2*I2</f>
        <v>6724</v>
      </c>
      <c r="J3" s="26">
        <f t="shared" si="0"/>
        <v>19619</v>
      </c>
      <c r="L3" s="14">
        <v>8</v>
      </c>
      <c r="M3" s="23">
        <f>J2</f>
        <v>331</v>
      </c>
      <c r="N3" s="15">
        <f>J1</f>
        <v>5.0140000000000002</v>
      </c>
      <c r="X3" s="24"/>
      <c r="Y3" s="29"/>
      <c r="Z3" s="29"/>
      <c r="AA3" s="24"/>
      <c r="AQ3" s="14" t="s">
        <v>9</v>
      </c>
      <c r="AR3" s="14">
        <v>1</v>
      </c>
      <c r="AS3" s="14">
        <v>2</v>
      </c>
      <c r="AT3" s="14">
        <v>3</v>
      </c>
      <c r="AU3" s="14">
        <v>4</v>
      </c>
      <c r="AV3" s="14">
        <v>5</v>
      </c>
      <c r="AW3" s="14">
        <v>6</v>
      </c>
      <c r="AX3" s="14">
        <v>7</v>
      </c>
      <c r="AY3" s="14">
        <v>8</v>
      </c>
      <c r="AZ3" s="14" t="s">
        <v>51</v>
      </c>
    </row>
    <row r="4" spans="1:52" x14ac:dyDescent="0.3">
      <c r="A4" s="14" t="s">
        <v>53</v>
      </c>
      <c r="B4" s="14">
        <f>B$2*B3</f>
        <v>0</v>
      </c>
      <c r="C4" s="14">
        <f t="shared" ref="C4:I4" si="2">C$2*C3</f>
        <v>1000</v>
      </c>
      <c r="D4" s="14">
        <f t="shared" si="2"/>
        <v>19683</v>
      </c>
      <c r="E4" s="14">
        <f t="shared" si="2"/>
        <v>32768</v>
      </c>
      <c r="F4" s="14">
        <f t="shared" si="2"/>
        <v>117649</v>
      </c>
      <c r="G4" s="14">
        <f t="shared" si="2"/>
        <v>216000</v>
      </c>
      <c r="H4" s="14">
        <f t="shared" si="2"/>
        <v>357911</v>
      </c>
      <c r="I4" s="14">
        <f t="shared" si="2"/>
        <v>551368</v>
      </c>
      <c r="J4" s="26">
        <f t="shared" si="0"/>
        <v>1296379</v>
      </c>
      <c r="L4" s="23">
        <f>J2</f>
        <v>331</v>
      </c>
      <c r="M4" s="26">
        <f>J3</f>
        <v>19619</v>
      </c>
      <c r="N4" s="23">
        <f>J10</f>
        <v>215.56100000000001</v>
      </c>
      <c r="X4" s="29"/>
      <c r="Y4" s="29"/>
      <c r="Z4" s="29"/>
      <c r="AA4" s="29"/>
      <c r="AQ4" s="14" t="s">
        <v>35</v>
      </c>
      <c r="AR4" s="23">
        <v>1.2825E-2</v>
      </c>
      <c r="AS4" s="23">
        <v>1.2494E-2</v>
      </c>
      <c r="AT4" s="23">
        <v>1.2326999999999999E-2</v>
      </c>
      <c r="AU4" s="23">
        <v>1.2272E-2</v>
      </c>
      <c r="AV4" s="23">
        <v>1.1941E-2</v>
      </c>
      <c r="AW4" s="23">
        <v>1.1664000000000001E-2</v>
      </c>
      <c r="AX4" s="23">
        <v>1.1499000000000001E-2</v>
      </c>
      <c r="AY4" s="23">
        <v>1.1387E-2</v>
      </c>
      <c r="AZ4" s="23">
        <f>SUM(AR4:AY4)</f>
        <v>9.6408999999999995E-2</v>
      </c>
    </row>
    <row r="5" spans="1:52" x14ac:dyDescent="0.3">
      <c r="A5" s="14" t="s">
        <v>54</v>
      </c>
      <c r="B5" s="14">
        <f t="shared" ref="B5:B6" si="3">B$2*B4</f>
        <v>0</v>
      </c>
      <c r="C5" s="14">
        <f t="shared" ref="C5:C6" si="4">C$2*C4</f>
        <v>10000</v>
      </c>
      <c r="D5" s="14">
        <f t="shared" ref="D5:D6" si="5">D$2*D4</f>
        <v>531441</v>
      </c>
      <c r="E5" s="14">
        <f t="shared" ref="E5:E6" si="6">E$2*E4</f>
        <v>1048576</v>
      </c>
      <c r="F5" s="14">
        <f t="shared" ref="F5:F6" si="7">F$2*F4</f>
        <v>5764801</v>
      </c>
      <c r="G5" s="14">
        <f t="shared" ref="G5:G6" si="8">G$2*G4</f>
        <v>12960000</v>
      </c>
      <c r="H5" s="14">
        <f t="shared" ref="H5:H6" si="9">H$2*H4</f>
        <v>25411681</v>
      </c>
      <c r="I5" s="14">
        <f t="shared" ref="I5:I6" si="10">I$2*I4</f>
        <v>45212176</v>
      </c>
      <c r="J5" s="26">
        <f t="shared" si="0"/>
        <v>90938675</v>
      </c>
      <c r="AQ5" s="14" t="s">
        <v>34</v>
      </c>
      <c r="AR5" s="23">
        <v>6.2720000000000002</v>
      </c>
      <c r="AS5" s="23">
        <v>7.056</v>
      </c>
      <c r="AT5" s="23">
        <v>7.84</v>
      </c>
      <c r="AU5" s="23">
        <v>8.2319999999999993</v>
      </c>
      <c r="AV5" s="23">
        <v>9.2119999999999997</v>
      </c>
      <c r="AW5" s="23">
        <v>11.368</v>
      </c>
      <c r="AX5" s="23">
        <v>11.956</v>
      </c>
      <c r="AY5" s="23">
        <v>13.132</v>
      </c>
      <c r="AZ5" s="23">
        <f>SUM(AR5:AY5)</f>
        <v>75.067999999999998</v>
      </c>
    </row>
    <row r="6" spans="1:52" x14ac:dyDescent="0.3">
      <c r="A6" s="14" t="s">
        <v>55</v>
      </c>
      <c r="B6" s="14">
        <f t="shared" ref="B6:B7" si="11">B$2*B5</f>
        <v>0</v>
      </c>
      <c r="C6" s="14">
        <f t="shared" ref="C6:C7" si="12">C$2*C5</f>
        <v>100000</v>
      </c>
      <c r="D6" s="14">
        <f t="shared" ref="D6:D7" si="13">D$2*D5</f>
        <v>14348907</v>
      </c>
      <c r="E6" s="14">
        <f t="shared" ref="E6:E7" si="14">E$2*E5</f>
        <v>33554432</v>
      </c>
      <c r="F6" s="14">
        <f t="shared" ref="F6:F7" si="15">F$2*F5</f>
        <v>282475249</v>
      </c>
      <c r="G6" s="14">
        <f t="shared" ref="G6:G7" si="16">G$2*G5</f>
        <v>777600000</v>
      </c>
      <c r="H6" s="14">
        <f t="shared" ref="H6:H7" si="17">H$2*H5</f>
        <v>1804229351</v>
      </c>
      <c r="I6" s="14">
        <f t="shared" ref="I6:I7" si="18">I$2*I5</f>
        <v>3707398432</v>
      </c>
      <c r="J6" s="26">
        <f t="shared" ref="J6:J7" si="19">SUM(B6:I6)</f>
        <v>6619706371</v>
      </c>
      <c r="L6" s="14">
        <v>8</v>
      </c>
      <c r="M6" s="23">
        <v>331</v>
      </c>
      <c r="N6" s="15">
        <v>5.0140000000000002</v>
      </c>
      <c r="O6" s="5" t="s">
        <v>39</v>
      </c>
      <c r="P6" s="14" t="s">
        <v>46</v>
      </c>
      <c r="Q6" s="30">
        <f>(N6-M6*Q7)/L6</f>
        <v>0.63095260536214104</v>
      </c>
      <c r="AQ6" s="14">
        <v>2</v>
      </c>
      <c r="AR6" s="23">
        <f>AR5*AR5</f>
        <v>39.337984000000006</v>
      </c>
      <c r="AS6" s="23">
        <f t="shared" ref="AS6:AY6" si="20">AS5*AS5</f>
        <v>49.787136000000004</v>
      </c>
      <c r="AT6" s="23">
        <f t="shared" si="20"/>
        <v>61.465599999999995</v>
      </c>
      <c r="AU6" s="23">
        <f t="shared" si="20"/>
        <v>67.765823999999995</v>
      </c>
      <c r="AV6" s="23">
        <f t="shared" si="20"/>
        <v>84.860943999999989</v>
      </c>
      <c r="AW6" s="23">
        <f t="shared" si="20"/>
        <v>129.231424</v>
      </c>
      <c r="AX6" s="23">
        <f t="shared" si="20"/>
        <v>142.94593599999999</v>
      </c>
      <c r="AY6" s="23">
        <f t="shared" si="20"/>
        <v>172.44942399999999</v>
      </c>
      <c r="AZ6" s="23">
        <f>SUM(AR6:AY6)</f>
        <v>747.84427200000005</v>
      </c>
    </row>
    <row r="7" spans="1:52" x14ac:dyDescent="0.3">
      <c r="A7" s="14" t="s">
        <v>56</v>
      </c>
      <c r="B7" s="14">
        <f t="shared" si="11"/>
        <v>0</v>
      </c>
      <c r="C7" s="14">
        <f t="shared" si="12"/>
        <v>1000000</v>
      </c>
      <c r="D7" s="14">
        <f t="shared" si="13"/>
        <v>387420489</v>
      </c>
      <c r="E7" s="14">
        <f t="shared" si="14"/>
        <v>1073741824</v>
      </c>
      <c r="F7" s="14">
        <f t="shared" si="15"/>
        <v>13841287201</v>
      </c>
      <c r="G7" s="14">
        <f t="shared" si="16"/>
        <v>46656000000</v>
      </c>
      <c r="H7" s="14">
        <f t="shared" si="17"/>
        <v>128100283921</v>
      </c>
      <c r="I7" s="14">
        <f t="shared" si="18"/>
        <v>304006671424</v>
      </c>
      <c r="J7" s="26">
        <f t="shared" si="19"/>
        <v>494066404859</v>
      </c>
      <c r="L7" s="23">
        <f>L4-L$6*L4/$L$6</f>
        <v>0</v>
      </c>
      <c r="M7" s="23">
        <f>M4-M$6*M4/$L$6</f>
        <v>-792117.125</v>
      </c>
      <c r="N7" s="23">
        <f>N4-N$6*N4/$L$6</f>
        <v>80.458143250000006</v>
      </c>
      <c r="O7" s="5"/>
      <c r="P7" s="14" t="s">
        <v>44</v>
      </c>
      <c r="Q7" s="30">
        <f>N7/M7</f>
        <v>-1.0157354349585613E-4</v>
      </c>
      <c r="AQ7" s="14">
        <v>3</v>
      </c>
      <c r="AR7" s="23">
        <f>AR6*AR$5</f>
        <v>246.72783564800005</v>
      </c>
      <c r="AS7" s="23">
        <f>AS6*AS$5</f>
        <v>351.298031616</v>
      </c>
      <c r="AT7" s="23">
        <f>AT6*AT$5</f>
        <v>481.89030399999996</v>
      </c>
      <c r="AU7" s="23">
        <f>AU6*AU$5</f>
        <v>557.8482631679999</v>
      </c>
      <c r="AV7" s="23">
        <f>AV6*AV$5</f>
        <v>781.73901612799989</v>
      </c>
      <c r="AW7" s="23">
        <f>AW6*AW$5</f>
        <v>1469.1028280320002</v>
      </c>
      <c r="AX7" s="23">
        <f>AX6*AX$5</f>
        <v>1709.0616108159998</v>
      </c>
      <c r="AY7" s="23">
        <f>AY6*AY$5</f>
        <v>2264.6058359680001</v>
      </c>
      <c r="AZ7" s="23">
        <f>SUM(AR7:AY7)</f>
        <v>7862.2737253759997</v>
      </c>
    </row>
    <row r="8" spans="1:52" x14ac:dyDescent="0.3">
      <c r="A8" s="14" t="s">
        <v>57</v>
      </c>
      <c r="B8" s="14">
        <f t="shared" ref="B8" si="21">B$2*B7</f>
        <v>0</v>
      </c>
      <c r="C8" s="14">
        <f t="shared" ref="C8" si="22">C$2*C7</f>
        <v>10000000</v>
      </c>
      <c r="D8" s="14">
        <f t="shared" ref="D8" si="23">D$2*D7</f>
        <v>10460353203</v>
      </c>
      <c r="E8" s="14">
        <f t="shared" ref="E8" si="24">E$2*E7</f>
        <v>34359738368</v>
      </c>
      <c r="F8" s="14">
        <f t="shared" ref="F8" si="25">F$2*F7</f>
        <v>678223072849</v>
      </c>
      <c r="G8" s="14">
        <f t="shared" ref="G8" si="26">G$2*G7</f>
        <v>2799360000000</v>
      </c>
      <c r="H8" s="14">
        <f t="shared" ref="H8" si="27">H$2*H7</f>
        <v>9095120158391</v>
      </c>
      <c r="I8" s="14">
        <f t="shared" ref="I8" si="28">I$2*I7</f>
        <v>24928547056768</v>
      </c>
      <c r="J8" s="26">
        <f t="shared" ref="J8" si="29">SUM(B8:I8)</f>
        <v>37546080379579</v>
      </c>
      <c r="AQ8" s="14">
        <v>4</v>
      </c>
      <c r="AR8" s="23">
        <f>AR7*AR$5</f>
        <v>1547.4769851842564</v>
      </c>
      <c r="AS8" s="23">
        <f>AS7*AS$5</f>
        <v>2478.7589110824961</v>
      </c>
      <c r="AT8" s="23">
        <f>AT7*AT$5</f>
        <v>3778.0199833599995</v>
      </c>
      <c r="AU8" s="23">
        <f>AU7*AU$5</f>
        <v>4592.2069023989752</v>
      </c>
      <c r="AV8" s="23">
        <f>AV7*AV$5</f>
        <v>7201.3798165711351</v>
      </c>
      <c r="AW8" s="23">
        <f>AW7*AW$5</f>
        <v>16700.760949067779</v>
      </c>
      <c r="AX8" s="23">
        <f>AX7*AX$5</f>
        <v>20433.540618916093</v>
      </c>
      <c r="AY8" s="23">
        <f>AY7*AY$5</f>
        <v>29738.803837931777</v>
      </c>
      <c r="AZ8" s="23">
        <f>SUM(AR8:AY8)</f>
        <v>86470.948004512509</v>
      </c>
    </row>
    <row r="9" spans="1:52" x14ac:dyDescent="0.3">
      <c r="A9" s="14" t="s">
        <v>58</v>
      </c>
      <c r="B9" s="14">
        <f t="shared" ref="B9" si="30">B$2*B8</f>
        <v>0</v>
      </c>
      <c r="C9" s="14">
        <f t="shared" ref="C9" si="31">C$2*C8</f>
        <v>100000000</v>
      </c>
      <c r="D9" s="14">
        <f t="shared" ref="D9" si="32">D$2*D8</f>
        <v>282429536481</v>
      </c>
      <c r="E9" s="14">
        <f t="shared" ref="E9" si="33">E$2*E8</f>
        <v>1099511627776</v>
      </c>
      <c r="F9" s="14">
        <f t="shared" ref="F9" si="34">F$2*F8</f>
        <v>33232930569601</v>
      </c>
      <c r="G9" s="14">
        <f t="shared" ref="G9" si="35">G$2*G8</f>
        <v>167961600000000</v>
      </c>
      <c r="H9" s="14">
        <f t="shared" ref="H9" si="36">H$2*H8</f>
        <v>645753531245761</v>
      </c>
      <c r="I9" s="14">
        <f t="shared" ref="I9" si="37">I$2*I8</f>
        <v>2044140858654976</v>
      </c>
      <c r="J9" s="26">
        <f t="shared" ref="J9" si="38">SUM(B9:I9)</f>
        <v>2892470961634595</v>
      </c>
      <c r="L9" s="10" t="s">
        <v>69</v>
      </c>
      <c r="M9" s="10"/>
      <c r="AQ9" s="16" t="s">
        <v>36</v>
      </c>
      <c r="AR9" s="22">
        <f>AR5*AR4</f>
        <v>8.0438400000000007E-2</v>
      </c>
      <c r="AS9" s="22">
        <f t="shared" ref="AS9:AY9" si="39">AS5*AS4</f>
        <v>8.8157663999999997E-2</v>
      </c>
      <c r="AT9" s="22">
        <f t="shared" si="39"/>
        <v>9.6643679999999996E-2</v>
      </c>
      <c r="AU9" s="22">
        <f t="shared" si="39"/>
        <v>0.10102310399999999</v>
      </c>
      <c r="AV9" s="22">
        <f t="shared" si="39"/>
        <v>0.11000049200000001</v>
      </c>
      <c r="AW9" s="22">
        <f t="shared" si="39"/>
        <v>0.132596352</v>
      </c>
      <c r="AX9" s="22">
        <f t="shared" si="39"/>
        <v>0.137482044</v>
      </c>
      <c r="AY9" s="22">
        <f t="shared" si="39"/>
        <v>0.14953408399999998</v>
      </c>
      <c r="AZ9" s="22">
        <f>SUM(AR9:AY9)</f>
        <v>0.89587581999999999</v>
      </c>
    </row>
    <row r="10" spans="1:52" x14ac:dyDescent="0.3">
      <c r="A10" s="14" t="s">
        <v>59</v>
      </c>
      <c r="B10" s="14">
        <f>B$1*B2</f>
        <v>0</v>
      </c>
      <c r="C10" s="14">
        <f>C$1*C2</f>
        <v>5.85</v>
      </c>
      <c r="D10" s="14">
        <f>D$1*D2</f>
        <v>16.577999999999999</v>
      </c>
      <c r="E10" s="14">
        <f>E$1*E2</f>
        <v>19.936</v>
      </c>
      <c r="F10" s="14">
        <f>F$1*F2</f>
        <v>31.556000000000001</v>
      </c>
      <c r="G10" s="14">
        <f>G$1*G2</f>
        <v>39.24</v>
      </c>
      <c r="H10" s="14">
        <f>H$1*H2</f>
        <v>47.215000000000003</v>
      </c>
      <c r="I10" s="14">
        <f>I$1*I2</f>
        <v>55.186000000000007</v>
      </c>
      <c r="J10" s="23">
        <f>SUM(B10:I10)</f>
        <v>215.56100000000001</v>
      </c>
      <c r="L10" s="14">
        <v>8</v>
      </c>
      <c r="M10" s="23">
        <v>331</v>
      </c>
      <c r="N10" s="26">
        <f>J3</f>
        <v>19619</v>
      </c>
      <c r="O10" s="15">
        <f>J1</f>
        <v>5.0140000000000002</v>
      </c>
      <c r="W10" s="27"/>
      <c r="AB10" s="10"/>
      <c r="AQ10" s="16" t="s">
        <v>37</v>
      </c>
      <c r="AR10" s="22">
        <f>AR6*AR4</f>
        <v>0.50450964480000005</v>
      </c>
      <c r="AS10" s="22">
        <f t="shared" ref="AS10:AY10" si="40">AS6*AS4</f>
        <v>0.62204047718400002</v>
      </c>
      <c r="AT10" s="22">
        <f t="shared" si="40"/>
        <v>0.75768645119999989</v>
      </c>
      <c r="AU10" s="22">
        <f t="shared" si="40"/>
        <v>0.83162219212799993</v>
      </c>
      <c r="AV10" s="22">
        <f t="shared" si="40"/>
        <v>1.0133245323039999</v>
      </c>
      <c r="AW10" s="22">
        <f t="shared" si="40"/>
        <v>1.507355329536</v>
      </c>
      <c r="AX10" s="22">
        <f t="shared" si="40"/>
        <v>1.643735318064</v>
      </c>
      <c r="AY10" s="22">
        <f t="shared" si="40"/>
        <v>1.9636815910879999</v>
      </c>
      <c r="AZ10" s="22">
        <f>SUM(AR10:AY10)</f>
        <v>8.8439555363039997</v>
      </c>
    </row>
    <row r="11" spans="1:52" x14ac:dyDescent="0.3">
      <c r="A11" s="14" t="s">
        <v>60</v>
      </c>
      <c r="B11" s="14">
        <f>B$1*B3</f>
        <v>0</v>
      </c>
      <c r="C11" s="14">
        <f>C$1*C3</f>
        <v>58.5</v>
      </c>
      <c r="D11" s="14">
        <f>D$1*D3</f>
        <v>447.60599999999999</v>
      </c>
      <c r="E11" s="14">
        <f>E$1*E3</f>
        <v>637.952</v>
      </c>
      <c r="F11" s="14">
        <f>F$1*F3</f>
        <v>1546.2440000000001</v>
      </c>
      <c r="G11" s="14">
        <f>G$1*G3</f>
        <v>2354.4</v>
      </c>
      <c r="H11" s="14">
        <f>H$1*H3</f>
        <v>3352.2650000000003</v>
      </c>
      <c r="I11" s="14">
        <f>I$1*I3</f>
        <v>4525.2520000000004</v>
      </c>
      <c r="J11" s="26">
        <f>SUM(B11:I11)</f>
        <v>12922.219000000001</v>
      </c>
      <c r="L11" s="23">
        <v>331</v>
      </c>
      <c r="M11" s="26">
        <v>19619</v>
      </c>
      <c r="N11" s="26">
        <f>J4</f>
        <v>1296379</v>
      </c>
      <c r="O11" s="23">
        <f>J10</f>
        <v>215.56100000000001</v>
      </c>
      <c r="W11" s="27"/>
      <c r="AB11" s="10"/>
      <c r="AQ11" s="16" t="s">
        <v>38</v>
      </c>
      <c r="AR11" s="22">
        <f>AR7*AR4</f>
        <v>3.1642844921856006</v>
      </c>
      <c r="AS11" s="22">
        <f t="shared" ref="AS11:AY11" si="41">AS7*AS4</f>
        <v>4.389117607010304</v>
      </c>
      <c r="AT11" s="22">
        <f t="shared" si="41"/>
        <v>5.9402617774079989</v>
      </c>
      <c r="AU11" s="22">
        <f t="shared" si="41"/>
        <v>6.8459138855976951</v>
      </c>
      <c r="AV11" s="22">
        <f t="shared" si="41"/>
        <v>9.3347455915844471</v>
      </c>
      <c r="AW11" s="22">
        <f t="shared" si="41"/>
        <v>17.135615386165252</v>
      </c>
      <c r="AX11" s="22">
        <f t="shared" si="41"/>
        <v>19.652499462773182</v>
      </c>
      <c r="AY11" s="22">
        <f t="shared" si="41"/>
        <v>25.787066654167617</v>
      </c>
      <c r="AZ11" s="22">
        <f>SUM(AR11:AY11)</f>
        <v>92.249504856892102</v>
      </c>
    </row>
    <row r="12" spans="1:52" x14ac:dyDescent="0.3">
      <c r="A12" s="14" t="s">
        <v>61</v>
      </c>
      <c r="B12" s="14">
        <f>B$1*B4</f>
        <v>0</v>
      </c>
      <c r="C12" s="14">
        <f>C$1*C4</f>
        <v>585</v>
      </c>
      <c r="D12" s="14">
        <f>D$1*D4</f>
        <v>12085.361999999999</v>
      </c>
      <c r="E12" s="14">
        <f>E$1*E4</f>
        <v>20414.464</v>
      </c>
      <c r="F12" s="14">
        <f>F$1*F4</f>
        <v>75765.956000000006</v>
      </c>
      <c r="G12" s="14">
        <f>G$1*G4</f>
        <v>141264</v>
      </c>
      <c r="H12" s="14">
        <f>H$1*H4</f>
        <v>238010.815</v>
      </c>
      <c r="I12" s="14">
        <f>I$1*I4</f>
        <v>371070.66400000005</v>
      </c>
      <c r="J12" s="26">
        <f>SUM(B12:I12)</f>
        <v>859196.26100000006</v>
      </c>
      <c r="L12" s="26">
        <f>J3</f>
        <v>19619</v>
      </c>
      <c r="M12" s="26">
        <f>J4</f>
        <v>1296379</v>
      </c>
      <c r="N12" s="26">
        <f>J5</f>
        <v>90938675</v>
      </c>
      <c r="O12" s="26">
        <f>J11</f>
        <v>12922.219000000001</v>
      </c>
      <c r="W12" s="27"/>
      <c r="AB12" s="10"/>
      <c r="AQ12" s="14" t="s">
        <v>47</v>
      </c>
      <c r="AR12" s="31">
        <f>(AR4-$AW15)^2</f>
        <v>5.988825156250004E-7</v>
      </c>
      <c r="AS12" s="31">
        <f>(AS4-$AW15)^2</f>
        <v>1.9613826562500051E-7</v>
      </c>
      <c r="AT12" s="31">
        <f>(AT4-$AW15)^2</f>
        <v>7.6107015625000038E-8</v>
      </c>
      <c r="AU12" s="31">
        <f>(AU4-$AW15)^2</f>
        <v>4.8785765625000259E-8</v>
      </c>
      <c r="AV12" s="31">
        <f>(AV4-$AW15)^2</f>
        <v>1.2127515624999804E-8</v>
      </c>
      <c r="AW12" s="31">
        <f>(AW4-$AW15)^2</f>
        <v>1.498657656249989E-7</v>
      </c>
      <c r="AX12" s="31">
        <f>(AX4-$AW15)^2</f>
        <v>3.0484201562499869E-7</v>
      </c>
      <c r="AY12" s="31">
        <f>(AY4-$AW15)^2</f>
        <v>4.4106201562499973E-7</v>
      </c>
      <c r="AZ12" s="31">
        <f>SUM(AR12:AY12)</f>
        <v>1.8278108749999982E-6</v>
      </c>
    </row>
    <row r="13" spans="1:52" x14ac:dyDescent="0.3">
      <c r="A13" s="14" t="s">
        <v>62</v>
      </c>
      <c r="B13" s="14">
        <f>B$1*B5</f>
        <v>0</v>
      </c>
      <c r="C13" s="14">
        <f>C$1*C5</f>
        <v>5850</v>
      </c>
      <c r="D13" s="14">
        <f>D$1*D5</f>
        <v>326304.77399999998</v>
      </c>
      <c r="E13" s="14">
        <f>E$1*E5</f>
        <v>653262.848</v>
      </c>
      <c r="F13" s="14">
        <f>F$1*F5</f>
        <v>3712531.844</v>
      </c>
      <c r="G13" s="14">
        <f>G$1*G5</f>
        <v>8475840</v>
      </c>
      <c r="H13" s="14">
        <f>H$1*H5</f>
        <v>16898767.865000002</v>
      </c>
      <c r="I13" s="14">
        <f>I$1*I5</f>
        <v>30427794.448000003</v>
      </c>
      <c r="J13" s="26">
        <f>SUM(B13:I13)</f>
        <v>60500351.778999999</v>
      </c>
      <c r="W13" s="27"/>
      <c r="AQ13" s="14" t="s">
        <v>48</v>
      </c>
      <c r="AR13" s="31">
        <f>(AR4-$AW25*AR6-$AW24*AR5-$AW23)^2</f>
        <v>1.1002893142950244E-7</v>
      </c>
      <c r="AS13" s="31">
        <f>(AS4-$AW25*AS6-$AW24*AS5-$AW23)^2</f>
        <v>1.2577415716156852E-8</v>
      </c>
      <c r="AT13" s="31">
        <f>(AT4-$AW25*AT6-$AW24*AT5-$AW23)^2</f>
        <v>3.2013394541462249E-9</v>
      </c>
      <c r="AU13" s="31">
        <f>(AU4-$AW25*AU6-$AW24*AU5-$AW23)^2</f>
        <v>3.2823331881094027E-9</v>
      </c>
      <c r="AV13" s="31">
        <f>(AV4-$AW25*AV6-$AW24*AV5-$AW23)^2</f>
        <v>1.8074907995817297E-8</v>
      </c>
      <c r="AW13" s="31">
        <f>(AW4-$AW25*AW6-$AW24*AW5-$AW23)^2</f>
        <v>1.1050917757743064E-8</v>
      </c>
      <c r="AX13" s="31">
        <f>(AX4-$AW25*AX6-$AW24*AX5-$AW23)^2</f>
        <v>3.481842878427558E-8</v>
      </c>
      <c r="AY13" s="31">
        <f>(AY4-$AW25*AY6-$AW24*AY5-$AW23)^2</f>
        <v>1.7309068208368429E-8</v>
      </c>
      <c r="AZ13" s="31">
        <f>SUM(AR13:AY13)</f>
        <v>2.1034334253411933E-7</v>
      </c>
    </row>
    <row r="14" spans="1:52" x14ac:dyDescent="0.3">
      <c r="A14" s="14" t="s">
        <v>63</v>
      </c>
      <c r="B14" s="14">
        <f t="shared" ref="B14:I14" si="42">B$1*B6</f>
        <v>0</v>
      </c>
      <c r="C14" s="14">
        <f t="shared" si="42"/>
        <v>58500</v>
      </c>
      <c r="D14" s="14">
        <f t="shared" si="42"/>
        <v>8810228.898</v>
      </c>
      <c r="E14" s="14">
        <f t="shared" si="42"/>
        <v>20904411.136</v>
      </c>
      <c r="F14" s="14">
        <f t="shared" si="42"/>
        <v>181914060.35600001</v>
      </c>
      <c r="G14" s="14">
        <f t="shared" si="42"/>
        <v>508550400</v>
      </c>
      <c r="H14" s="14">
        <f t="shared" si="42"/>
        <v>1199812518.415</v>
      </c>
      <c r="I14" s="14">
        <f t="shared" si="42"/>
        <v>2495079144.7360001</v>
      </c>
      <c r="J14" s="26">
        <f t="shared" ref="J14:J21" si="43">SUM(B14:I14)</f>
        <v>4415129263.5410004</v>
      </c>
      <c r="L14" s="14">
        <v>8</v>
      </c>
      <c r="M14" s="14">
        <v>331</v>
      </c>
      <c r="N14" s="14">
        <v>19619</v>
      </c>
      <c r="O14" s="14">
        <v>5.0140000000000002</v>
      </c>
      <c r="W14" s="27"/>
    </row>
    <row r="15" spans="1:52" x14ac:dyDescent="0.3">
      <c r="A15" s="14" t="s">
        <v>64</v>
      </c>
      <c r="B15" s="14">
        <f t="shared" ref="B15:I15" si="44">B$1*B7</f>
        <v>0</v>
      </c>
      <c r="C15" s="14">
        <f t="shared" si="44"/>
        <v>585000</v>
      </c>
      <c r="D15" s="14">
        <f t="shared" si="44"/>
        <v>237876180.24599999</v>
      </c>
      <c r="E15" s="14">
        <f t="shared" si="44"/>
        <v>668941156.352</v>
      </c>
      <c r="F15" s="14">
        <f t="shared" si="44"/>
        <v>8913788957.4440002</v>
      </c>
      <c r="G15" s="14">
        <f t="shared" si="44"/>
        <v>30513024000</v>
      </c>
      <c r="H15" s="14">
        <f t="shared" si="44"/>
        <v>85186688807.465012</v>
      </c>
      <c r="I15" s="14">
        <f t="shared" si="44"/>
        <v>204596489868.35202</v>
      </c>
      <c r="J15" s="26">
        <f t="shared" si="43"/>
        <v>330117393969.85901</v>
      </c>
      <c r="L15" s="14">
        <f>L11-L10/$L10*L11</f>
        <v>0</v>
      </c>
      <c r="M15" s="14">
        <f t="shared" ref="M15:O15" si="45">M11-M10/$L10*M11</f>
        <v>-792117.125</v>
      </c>
      <c r="N15" s="14">
        <f t="shared" si="45"/>
        <v>-3177911071.125</v>
      </c>
      <c r="O15" s="14">
        <f t="shared" si="45"/>
        <v>80.458143250000006</v>
      </c>
      <c r="AQ15" s="17">
        <v>8</v>
      </c>
      <c r="AR15" s="17">
        <f>AZ5</f>
        <v>75.067999999999998</v>
      </c>
      <c r="AS15" s="17">
        <f>AZ6</f>
        <v>747.84427200000005</v>
      </c>
      <c r="AT15" s="15">
        <f>AZ4</f>
        <v>9.6408999999999995E-2</v>
      </c>
      <c r="AV15" s="15" t="s">
        <v>50</v>
      </c>
      <c r="AW15" s="15">
        <f>AZ4/8</f>
        <v>1.2051124999999999E-2</v>
      </c>
    </row>
    <row r="16" spans="1:52" x14ac:dyDescent="0.3">
      <c r="A16" s="14" t="s">
        <v>75</v>
      </c>
      <c r="B16" s="14">
        <f>J1/8</f>
        <v>0.62675000000000003</v>
      </c>
      <c r="I16" s="27"/>
      <c r="J16" s="28"/>
      <c r="L16" s="14">
        <f>L12-L10/$L10*L12</f>
        <v>0</v>
      </c>
      <c r="M16" s="14">
        <f t="shared" ref="M16:N16" si="46">M12-M10/$L10*M12</f>
        <v>-52341302.125</v>
      </c>
      <c r="N16" s="14">
        <f t="shared" si="46"/>
        <v>-222924794428.125</v>
      </c>
      <c r="O16" s="14">
        <f>O12-O10/$L10*O12</f>
        <v>4823.2182417499998</v>
      </c>
      <c r="AQ16" s="17">
        <f>AZ5</f>
        <v>75.067999999999998</v>
      </c>
      <c r="AR16" s="17">
        <f>AZ6</f>
        <v>747.84427200000005</v>
      </c>
      <c r="AS16" s="17">
        <f>AZ7</f>
        <v>7862.2737253759997</v>
      </c>
      <c r="AT16" s="15">
        <f>AZ9</f>
        <v>0.89587581999999999</v>
      </c>
    </row>
    <row r="17" spans="1:52" x14ac:dyDescent="0.3">
      <c r="A17" s="14" t="s">
        <v>47</v>
      </c>
      <c r="B17" s="33">
        <f>(B1-$B$16)^2</f>
        <v>5.005562499999997E-3</v>
      </c>
      <c r="C17" s="33">
        <f t="shared" ref="C17:I17" si="47">(C1-$B$16)^2</f>
        <v>1.7430625000000055E-3</v>
      </c>
      <c r="D17" s="33">
        <f t="shared" si="47"/>
        <v>1.62562500000001E-4</v>
      </c>
      <c r="E17" s="33">
        <f t="shared" si="47"/>
        <v>1.4062500000000233E-5</v>
      </c>
      <c r="F17" s="33">
        <f t="shared" si="47"/>
        <v>2.975624999999996E-4</v>
      </c>
      <c r="G17" s="33">
        <f t="shared" si="47"/>
        <v>7.4256249999999984E-4</v>
      </c>
      <c r="H17" s="33">
        <f t="shared" si="47"/>
        <v>1.4630625000000004E-3</v>
      </c>
      <c r="I17" s="33">
        <f t="shared" si="47"/>
        <v>2.1390625000000012E-3</v>
      </c>
      <c r="J17" s="32">
        <f t="shared" si="43"/>
        <v>1.1567500000000005E-2</v>
      </c>
      <c r="W17" s="13" t="s">
        <v>72</v>
      </c>
      <c r="AQ17" s="17">
        <f>AZ6</f>
        <v>747.84427200000005</v>
      </c>
      <c r="AR17" s="17">
        <f>AZ7</f>
        <v>7862.2737253759997</v>
      </c>
      <c r="AS17" s="17">
        <f>AZ8</f>
        <v>86470.948004512509</v>
      </c>
      <c r="AT17" s="15">
        <f>AZ10</f>
        <v>8.8439555363039997</v>
      </c>
    </row>
    <row r="18" spans="1:52" x14ac:dyDescent="0.3">
      <c r="A18" s="14" t="s">
        <v>76</v>
      </c>
      <c r="B18" s="33">
        <f>(B1-($Q$6+$Q$7*B2))^2</f>
        <v>5.6178930505728459E-3</v>
      </c>
      <c r="C18" s="33">
        <f>(C1-($Q$6+$Q$7*C2))^2</f>
        <v>2.0193222788525179E-3</v>
      </c>
      <c r="D18" s="33">
        <f>(D1-($Q$6+$Q$7*D2))^2</f>
        <v>2.0192750154026504E-4</v>
      </c>
      <c r="E18" s="33">
        <f>(E1-($Q$6+$Q$7*E2))^2</f>
        <v>2.2111173591942235E-5</v>
      </c>
      <c r="F18" s="33">
        <f>(F1-($Q$6+$Q$7*F2))^2</f>
        <v>3.2488253785480672E-4</v>
      </c>
      <c r="G18" s="33">
        <f>(G1-($Q$6+$Q$7*G2))^2</f>
        <v>8.4924492965687782E-4</v>
      </c>
      <c r="H18" s="33">
        <f>(H1-($Q$6+$Q$7*H2))^2</f>
        <v>1.7023146717559251E-3</v>
      </c>
      <c r="I18" s="33">
        <f>(I1-($Q$6+$Q$7*I2))^2</f>
        <v>2.5377842163865211E-3</v>
      </c>
      <c r="J18" s="32">
        <f t="shared" si="43"/>
        <v>1.3275480360211702E-2</v>
      </c>
      <c r="L18" s="14">
        <v>8</v>
      </c>
      <c r="M18" s="14">
        <v>331</v>
      </c>
      <c r="N18" s="14">
        <v>19619</v>
      </c>
      <c r="O18" s="14">
        <v>5.0140000000000002</v>
      </c>
      <c r="P18" s="5" t="s">
        <v>39</v>
      </c>
      <c r="Q18" s="14" t="s">
        <v>46</v>
      </c>
      <c r="R18" s="14">
        <f>(O18-N18*R20-M18*R19)/L18</f>
        <v>0.63095348763883707</v>
      </c>
      <c r="W18" s="14">
        <v>8</v>
      </c>
      <c r="X18" s="14">
        <v>331</v>
      </c>
      <c r="Y18" s="14">
        <v>19619</v>
      </c>
      <c r="Z18" s="14">
        <v>1296379</v>
      </c>
      <c r="AA18" s="14">
        <v>90938675</v>
      </c>
      <c r="AB18" s="14">
        <v>5.0140000000000002</v>
      </c>
      <c r="AQ18" s="18"/>
      <c r="AR18" s="18"/>
      <c r="AS18" s="18"/>
      <c r="AT18" s="25"/>
    </row>
    <row r="19" spans="1:52" x14ac:dyDescent="0.3">
      <c r="A19" s="14" t="s">
        <v>77</v>
      </c>
      <c r="B19" s="33">
        <f>(B1-($R$18+$R$19*B2+$R$20*B2^2))^2</f>
        <v>5.6180253092252943E-3</v>
      </c>
      <c r="C19" s="33">
        <f t="shared" ref="C19:J19" si="48">(C1-($R$18+$R$19*C2+$R$20*C2^2))^2</f>
        <v>2.0193821693121638E-3</v>
      </c>
      <c r="D19" s="33">
        <f t="shared" si="48"/>
        <v>2.0193607972446282E-4</v>
      </c>
      <c r="E19" s="33">
        <f t="shared" si="48"/>
        <v>2.2113009422661273E-5</v>
      </c>
      <c r="F19" s="33">
        <f t="shared" si="48"/>
        <v>3.248884971470597E-4</v>
      </c>
      <c r="G19" s="33">
        <f t="shared" si="48"/>
        <v>8.4926806386964051E-4</v>
      </c>
      <c r="H19" s="33">
        <f t="shared" si="48"/>
        <v>1.7023664299381923E-3</v>
      </c>
      <c r="I19" s="33">
        <f t="shared" si="48"/>
        <v>2.5378704846703063E-3</v>
      </c>
      <c r="J19" s="32">
        <f t="shared" si="43"/>
        <v>1.3275850043309783E-2</v>
      </c>
      <c r="L19" s="14">
        <v>0</v>
      </c>
      <c r="M19" s="14">
        <v>-792117.125</v>
      </c>
      <c r="N19" s="14">
        <v>-3177911071.125</v>
      </c>
      <c r="O19" s="14">
        <v>80.458143250000006</v>
      </c>
      <c r="P19" s="5"/>
      <c r="Q19" s="14" t="s">
        <v>44</v>
      </c>
      <c r="R19" s="14">
        <f>(O19-N19*R20)/M19</f>
        <v>-1.0159518716635547E-4</v>
      </c>
      <c r="W19" s="14">
        <v>331</v>
      </c>
      <c r="X19" s="14">
        <v>19619</v>
      </c>
      <c r="Y19" s="14">
        <v>1296379</v>
      </c>
      <c r="Z19" s="14">
        <v>90938675</v>
      </c>
      <c r="AA19" s="14">
        <v>6619706371</v>
      </c>
      <c r="AB19" s="14">
        <v>215.56100000000001</v>
      </c>
      <c r="AQ19" s="17">
        <v>8</v>
      </c>
      <c r="AR19" s="17">
        <v>75.067999999999998</v>
      </c>
      <c r="AS19" s="17">
        <v>747.84427200000005</v>
      </c>
      <c r="AT19" s="15">
        <v>9.6408999999999995E-2</v>
      </c>
    </row>
    <row r="20" spans="1:52" x14ac:dyDescent="0.3">
      <c r="A20" s="14" t="s">
        <v>78</v>
      </c>
      <c r="B20" s="33">
        <f>(B1-($S$38+$S$39*B2+$S$40*B2^2+$S$41*B2^3))^2</f>
        <v>5.6180253092305539E-3</v>
      </c>
      <c r="C20" s="33">
        <f t="shared" ref="C20:J20" si="49">(C1-($S$38+$S$39*C2+$S$40*C2^2+$S$41*C2^3))^2</f>
        <v>2.0193821693145486E-3</v>
      </c>
      <c r="D20" s="33">
        <f t="shared" si="49"/>
        <v>2.0193607972480361E-4</v>
      </c>
      <c r="E20" s="33">
        <f t="shared" si="49"/>
        <v>2.2113009422733322E-5</v>
      </c>
      <c r="F20" s="33">
        <f t="shared" si="49"/>
        <v>3.2488849714730787E-4</v>
      </c>
      <c r="G20" s="33">
        <f t="shared" si="49"/>
        <v>8.4926806387057227E-4</v>
      </c>
      <c r="H20" s="33">
        <f t="shared" si="49"/>
        <v>1.702366429940272E-3</v>
      </c>
      <c r="I20" s="33">
        <f t="shared" si="49"/>
        <v>2.5378704846737627E-3</v>
      </c>
      <c r="J20" s="32">
        <f t="shared" si="43"/>
        <v>1.3275850043324556E-2</v>
      </c>
      <c r="L20" s="14">
        <v>0</v>
      </c>
      <c r="M20" s="14">
        <f>M16-M19/$M19*M16</f>
        <v>0</v>
      </c>
      <c r="N20" s="14">
        <f t="shared" ref="N20:O20" si="50">N16-N19/$M19*N16</f>
        <v>894133667030806.25</v>
      </c>
      <c r="O20" s="14">
        <f t="shared" si="50"/>
        <v>4823.7081531178683</v>
      </c>
      <c r="P20" s="5"/>
      <c r="Q20" s="14" t="s">
        <v>42</v>
      </c>
      <c r="R20" s="14">
        <f>O20/N20</f>
        <v>5.3948400904488857E-12</v>
      </c>
      <c r="W20" s="14">
        <v>19619</v>
      </c>
      <c r="X20" s="14">
        <v>1296379</v>
      </c>
      <c r="Y20" s="14">
        <v>90938675</v>
      </c>
      <c r="Z20" s="14">
        <v>6619706371</v>
      </c>
      <c r="AA20" s="14">
        <v>494066404859</v>
      </c>
      <c r="AB20" s="14">
        <v>12922.219000000001</v>
      </c>
      <c r="AQ20" s="17">
        <f>AQ16-AQ15/8*AQ16</f>
        <v>0</v>
      </c>
      <c r="AR20" s="17">
        <f t="shared" ref="AR20:AT20" si="51">AR16-AR15/8*AR16</f>
        <v>-6269.552454312</v>
      </c>
      <c r="AS20" s="17">
        <f t="shared" si="51"/>
        <v>-727107.27257694188</v>
      </c>
      <c r="AT20" s="15">
        <f t="shared" si="51"/>
        <v>0.88507950850870254</v>
      </c>
    </row>
    <row r="21" spans="1:52" x14ac:dyDescent="0.3">
      <c r="A21" s="14" t="s">
        <v>79</v>
      </c>
      <c r="B21" s="33">
        <f>(B1-($T$68+$T$69*B2+$T$70*B2^2+$T$71*B2^3+$T$72*B2^4))^2</f>
        <v>5.6180253092305539E-3</v>
      </c>
      <c r="C21" s="33">
        <f t="shared" ref="C21:I21" si="52">(C1-($T$68+$T$69*C2+$T$70*C2^2+$T$71*C2^3+$T$72*C2^4))^2</f>
        <v>2.0193821693145486E-3</v>
      </c>
      <c r="D21" s="33">
        <f t="shared" si="52"/>
        <v>2.0193607972480361E-4</v>
      </c>
      <c r="E21" s="33">
        <f t="shared" si="52"/>
        <v>2.2113009422733322E-5</v>
      </c>
      <c r="F21" s="33">
        <f t="shared" si="52"/>
        <v>3.2488849714730787E-4</v>
      </c>
      <c r="G21" s="33">
        <f t="shared" si="52"/>
        <v>8.4926806387057227E-4</v>
      </c>
      <c r="H21" s="33">
        <f t="shared" si="52"/>
        <v>1.702366429940272E-3</v>
      </c>
      <c r="I21" s="33">
        <f t="shared" si="52"/>
        <v>2.5378704846737627E-3</v>
      </c>
      <c r="J21" s="32">
        <f t="shared" si="43"/>
        <v>1.3275850043324556E-2</v>
      </c>
      <c r="W21" s="14">
        <v>1296379</v>
      </c>
      <c r="X21" s="14">
        <v>90938675</v>
      </c>
      <c r="Y21" s="14">
        <v>6619706371</v>
      </c>
      <c r="Z21" s="14">
        <v>494066404859</v>
      </c>
      <c r="AA21" s="14">
        <v>37546080379579</v>
      </c>
      <c r="AB21" s="14">
        <v>859196.26100000006</v>
      </c>
      <c r="AQ21" s="17">
        <f>AQ17-AQ15*AQ17/8</f>
        <v>0</v>
      </c>
      <c r="AR21" s="17">
        <f t="shared" ref="AR21:AT21" si="53">AR17-AR15*AR17/8</f>
        <v>-65913.371776689688</v>
      </c>
      <c r="AS21" s="17">
        <f t="shared" si="53"/>
        <v>-7996879.4469435522</v>
      </c>
      <c r="AT21" s="15">
        <f t="shared" si="53"/>
        <v>8.7373759226415579</v>
      </c>
    </row>
    <row r="22" spans="1:52" x14ac:dyDescent="0.3">
      <c r="L22" s="10" t="s">
        <v>71</v>
      </c>
      <c r="M22" s="10"/>
      <c r="W22" s="14">
        <v>90938675</v>
      </c>
      <c r="X22" s="14">
        <v>6619706371</v>
      </c>
      <c r="Y22" s="14">
        <v>494066404859</v>
      </c>
      <c r="Z22" s="14">
        <v>37546080379579</v>
      </c>
      <c r="AA22" s="14">
        <v>2892470961634595</v>
      </c>
      <c r="AB22" s="14">
        <v>60500351.778999999</v>
      </c>
      <c r="AR22" s="18"/>
      <c r="AS22" s="18"/>
      <c r="AT22" s="25"/>
    </row>
    <row r="23" spans="1:52" x14ac:dyDescent="0.3">
      <c r="B23" s="13" t="s">
        <v>80</v>
      </c>
      <c r="C23" s="13" t="s">
        <v>68</v>
      </c>
      <c r="D23" s="34">
        <f>ABS(J$17-J18)/J$17</f>
        <v>0.14765337023658492</v>
      </c>
      <c r="L23" s="14">
        <v>8</v>
      </c>
      <c r="M23" s="14">
        <v>331</v>
      </c>
      <c r="N23" s="14">
        <v>19619</v>
      </c>
      <c r="O23" s="26">
        <f>J4</f>
        <v>1296379</v>
      </c>
      <c r="P23" s="15">
        <f>J1</f>
        <v>5.0140000000000002</v>
      </c>
      <c r="AQ23" s="14">
        <v>8</v>
      </c>
      <c r="AR23" s="17">
        <v>75.067999999999998</v>
      </c>
      <c r="AS23" s="17">
        <v>747.84427200000005</v>
      </c>
      <c r="AT23" s="15">
        <v>9.6408999999999995E-2</v>
      </c>
      <c r="AU23" s="19" t="s">
        <v>39</v>
      </c>
      <c r="AV23" s="14" t="s">
        <v>46</v>
      </c>
      <c r="AW23" s="20">
        <f>(AT23-AS23*AW25-AR23*AW24)/AQ23</f>
        <v>1.3385258412915933E-2</v>
      </c>
    </row>
    <row r="24" spans="1:52" x14ac:dyDescent="0.3">
      <c r="C24" s="13" t="s">
        <v>69</v>
      </c>
      <c r="D24" s="34">
        <f t="shared" ref="D24:D26" si="54">ABS(J$17-J19)/J$17</f>
        <v>0.14768532900884182</v>
      </c>
      <c r="L24" s="14">
        <v>331</v>
      </c>
      <c r="M24" s="14">
        <v>19619</v>
      </c>
      <c r="N24" s="14">
        <v>1296379</v>
      </c>
      <c r="O24" s="26">
        <f>J5</f>
        <v>90938675</v>
      </c>
      <c r="P24" s="23">
        <f>J10</f>
        <v>215.56100000000001</v>
      </c>
      <c r="W24" s="14">
        <v>8</v>
      </c>
      <c r="X24" s="14">
        <v>331</v>
      </c>
      <c r="Y24" s="14">
        <v>19619</v>
      </c>
      <c r="Z24" s="14">
        <v>1296379</v>
      </c>
      <c r="AA24" s="14">
        <v>90938675</v>
      </c>
      <c r="AB24" s="14">
        <v>5.0140000000000002</v>
      </c>
      <c r="AQ24" s="14">
        <v>0</v>
      </c>
      <c r="AR24" s="17">
        <v>-6269.552454312</v>
      </c>
      <c r="AS24" s="17">
        <v>-727107.27257694188</v>
      </c>
      <c r="AT24" s="15">
        <v>0.88507950850870254</v>
      </c>
      <c r="AU24" s="21"/>
      <c r="AV24" s="14" t="s">
        <v>44</v>
      </c>
      <c r="AW24" s="20">
        <f>(AT24-AS24*AW25)/AR24</f>
        <v>-1.4227333951525122E-4</v>
      </c>
    </row>
    <row r="25" spans="1:52" x14ac:dyDescent="0.3">
      <c r="C25" s="13" t="s">
        <v>70</v>
      </c>
      <c r="D25" s="34">
        <f t="shared" si="54"/>
        <v>0.14768532901011894</v>
      </c>
      <c r="L25" s="14">
        <v>19619</v>
      </c>
      <c r="M25" s="14">
        <v>1296379</v>
      </c>
      <c r="N25" s="14">
        <v>90938675</v>
      </c>
      <c r="O25" s="26">
        <f>J6</f>
        <v>6619706371</v>
      </c>
      <c r="P25" s="26">
        <f>J11</f>
        <v>12922.219000000001</v>
      </c>
      <c r="W25" s="14">
        <v>0</v>
      </c>
      <c r="X25" s="14">
        <v>-792117.125</v>
      </c>
      <c r="Y25" s="14">
        <v>-3177911071.125</v>
      </c>
      <c r="Z25" s="14">
        <v>-14736282631053.125</v>
      </c>
      <c r="AA25" s="14">
        <v>-7.5248409163768432E+16</v>
      </c>
      <c r="AB25" s="14">
        <v>80.458143250000006</v>
      </c>
      <c r="AQ25" s="14">
        <v>0</v>
      </c>
      <c r="AR25" s="17">
        <f>AR21-AR20/$AR20*AR21</f>
        <v>0</v>
      </c>
      <c r="AS25" s="17">
        <f>AS21-AS20/$AR20*AS21</f>
        <v>919436018.86059666</v>
      </c>
      <c r="AT25" s="15">
        <f>AT21-AT20/$AR20*AT21</f>
        <v>8.7386093874611959</v>
      </c>
      <c r="AU25" s="2"/>
      <c r="AV25" s="14" t="s">
        <v>42</v>
      </c>
      <c r="AW25" s="20">
        <f>AT25/AS25</f>
        <v>9.5043148280077645E-9</v>
      </c>
      <c r="AY25" s="14" t="s">
        <v>49</v>
      </c>
      <c r="AZ25" s="15">
        <f>(AZ12-AZ13)/AZ12</f>
        <v>0.88492061984579262</v>
      </c>
    </row>
    <row r="26" spans="1:52" x14ac:dyDescent="0.3">
      <c r="C26" s="13" t="s">
        <v>72</v>
      </c>
      <c r="D26" s="34">
        <f t="shared" si="54"/>
        <v>0.14768532901011894</v>
      </c>
      <c r="L26" s="26">
        <f>J4</f>
        <v>1296379</v>
      </c>
      <c r="M26" s="26">
        <f>J5</f>
        <v>90938675</v>
      </c>
      <c r="N26" s="26">
        <f>J6</f>
        <v>6619706371</v>
      </c>
      <c r="O26" s="26">
        <f>J7</f>
        <v>494066404859</v>
      </c>
      <c r="P26" s="26">
        <f>J12</f>
        <v>859196.26100000006</v>
      </c>
      <c r="W26" s="14">
        <v>0</v>
      </c>
      <c r="X26" s="14">
        <v>-52341302.125</v>
      </c>
      <c r="Y26" s="14">
        <v>-222924794428.125</v>
      </c>
      <c r="Z26" s="14">
        <v>-1072699420984955.1</v>
      </c>
      <c r="AA26" s="14">
        <v>-5.6162175334199736E+18</v>
      </c>
      <c r="AB26" s="14">
        <v>4823.2182417499998</v>
      </c>
    </row>
    <row r="27" spans="1:52" x14ac:dyDescent="0.3">
      <c r="W27" s="14">
        <v>0</v>
      </c>
      <c r="X27" s="14">
        <v>-3671649003.125</v>
      </c>
      <c r="Y27" s="14">
        <v>-16227382705210.125</v>
      </c>
      <c r="Z27" s="14">
        <v>-8.0061669916683328E+16</v>
      </c>
      <c r="AA27" s="14">
        <v>-4.2679881259922103E+20</v>
      </c>
      <c r="AB27" s="14">
        <v>320695.00441824994</v>
      </c>
    </row>
    <row r="28" spans="1:52" x14ac:dyDescent="0.3">
      <c r="L28" s="14">
        <v>8</v>
      </c>
      <c r="M28" s="14">
        <v>331</v>
      </c>
      <c r="N28" s="14">
        <v>19619</v>
      </c>
      <c r="O28" s="14">
        <v>1296379</v>
      </c>
      <c r="P28" s="14">
        <v>5.0140000000000002</v>
      </c>
      <c r="W28" s="14">
        <v>0</v>
      </c>
      <c r="X28" s="14">
        <v>-267270644729.125</v>
      </c>
      <c r="Y28" s="14">
        <v>-1211142033211231</v>
      </c>
      <c r="Z28" s="14">
        <v>-6.0842062209694003E+18</v>
      </c>
      <c r="AA28" s="14">
        <v>-3.2879681698407276E+22</v>
      </c>
      <c r="AB28" s="14">
        <v>22581756.30151175</v>
      </c>
    </row>
    <row r="29" spans="1:52" x14ac:dyDescent="0.3">
      <c r="L29" s="14">
        <f>L24-L$23/$L$23*L24</f>
        <v>0</v>
      </c>
      <c r="M29" s="14">
        <f t="shared" ref="M29:P29" si="55">M24-M$23/$L$23*M24</f>
        <v>-792117.125</v>
      </c>
      <c r="N29" s="14">
        <f t="shared" si="55"/>
        <v>-3177911071.125</v>
      </c>
      <c r="O29" s="14">
        <f t="shared" si="55"/>
        <v>-14736282631053.125</v>
      </c>
      <c r="P29" s="14">
        <f t="shared" si="55"/>
        <v>80.458143250000006</v>
      </c>
    </row>
    <row r="30" spans="1:52" x14ac:dyDescent="0.3">
      <c r="L30" s="14">
        <f t="shared" ref="L30:P30" si="56">L25-L$23/$L$23*L25</f>
        <v>0</v>
      </c>
      <c r="M30" s="14">
        <f t="shared" si="56"/>
        <v>-52341302.125</v>
      </c>
      <c r="N30" s="14">
        <f t="shared" si="56"/>
        <v>-222924794428.125</v>
      </c>
      <c r="O30" s="14">
        <f t="shared" si="56"/>
        <v>-1072699420984955.1</v>
      </c>
      <c r="P30" s="14">
        <f t="shared" si="56"/>
        <v>4823.2182417499998</v>
      </c>
      <c r="W30" s="14">
        <v>8</v>
      </c>
      <c r="X30" s="14">
        <v>331</v>
      </c>
      <c r="Y30" s="14">
        <v>19619</v>
      </c>
      <c r="Z30" s="14">
        <v>1296379</v>
      </c>
      <c r="AA30" s="14">
        <v>90938675</v>
      </c>
      <c r="AB30" s="14">
        <v>5.0140000000000002</v>
      </c>
    </row>
    <row r="31" spans="1:52" x14ac:dyDescent="0.3">
      <c r="L31" s="14">
        <f t="shared" ref="L31:P31" si="57">L26-L$23/$L$23*L26</f>
        <v>0</v>
      </c>
      <c r="M31" s="14">
        <f t="shared" si="57"/>
        <v>-3671649003.125</v>
      </c>
      <c r="N31" s="14">
        <f t="shared" si="57"/>
        <v>-16227382705210.125</v>
      </c>
      <c r="O31" s="14">
        <f t="shared" si="57"/>
        <v>-8.0061669916683328E+16</v>
      </c>
      <c r="P31" s="14">
        <f t="shared" si="57"/>
        <v>320695.00441824994</v>
      </c>
      <c r="W31" s="14">
        <v>0</v>
      </c>
      <c r="X31" s="14">
        <v>-792117.125</v>
      </c>
      <c r="Y31" s="14">
        <v>-3177911071.125</v>
      </c>
      <c r="Z31" s="14">
        <v>-14736282631053.125</v>
      </c>
      <c r="AA31" s="14">
        <v>-7.5248409163768432E+16</v>
      </c>
      <c r="AB31" s="14">
        <v>80.458143250000006</v>
      </c>
    </row>
    <row r="32" spans="1:52" x14ac:dyDescent="0.3">
      <c r="W32" s="14">
        <v>0</v>
      </c>
      <c r="X32" s="14">
        <v>0</v>
      </c>
      <c r="Y32" s="14">
        <v>894133667030806.25</v>
      </c>
      <c r="Z32" s="14">
        <v>1.9956140950869808E+22</v>
      </c>
      <c r="AA32" s="14">
        <v>5.335213967291362E+29</v>
      </c>
      <c r="AB32" s="14">
        <v>4823.7081531178683</v>
      </c>
    </row>
    <row r="33" spans="12:31" x14ac:dyDescent="0.3">
      <c r="L33" s="14">
        <v>8</v>
      </c>
      <c r="M33" s="14">
        <v>331</v>
      </c>
      <c r="N33" s="14">
        <v>19619</v>
      </c>
      <c r="O33" s="14">
        <v>1296379</v>
      </c>
      <c r="P33" s="14">
        <v>5.0140000000000002</v>
      </c>
      <c r="W33" s="14">
        <v>0</v>
      </c>
      <c r="X33" s="14">
        <v>0</v>
      </c>
      <c r="Y33" s="14">
        <v>6.5086744799937112E+16</v>
      </c>
      <c r="Z33" s="14">
        <v>1.4894405071574603E+24</v>
      </c>
      <c r="AA33" s="14">
        <v>4.0544422872739477E+31</v>
      </c>
      <c r="AB33" s="14">
        <v>320727.5785462301</v>
      </c>
    </row>
    <row r="34" spans="12:31" x14ac:dyDescent="0.3">
      <c r="L34" s="14">
        <v>0</v>
      </c>
      <c r="M34" s="14">
        <v>-792117.125</v>
      </c>
      <c r="N34" s="14">
        <v>-3177911071.125</v>
      </c>
      <c r="O34" s="14">
        <v>-14736282631053.125</v>
      </c>
      <c r="P34" s="14">
        <v>80.458143250000006</v>
      </c>
      <c r="W34" s="14">
        <v>0</v>
      </c>
      <c r="X34" s="14">
        <v>0</v>
      </c>
      <c r="Y34" s="14">
        <v>4.8577946218515343E+18</v>
      </c>
      <c r="Z34" s="14">
        <v>1.1318853589791132E+26</v>
      </c>
      <c r="AA34" s="14">
        <v>3.1234569528971798E+33</v>
      </c>
      <c r="AB34" s="14">
        <v>22584050.010517653</v>
      </c>
    </row>
    <row r="35" spans="12:31" x14ac:dyDescent="0.3">
      <c r="L35" s="14">
        <v>0</v>
      </c>
      <c r="M35" s="14">
        <f>M30-M$29/$M$29*M30</f>
        <v>0</v>
      </c>
      <c r="N35" s="14">
        <f t="shared" ref="N35:P36" si="58">N30-N$29/$M$29*N30</f>
        <v>894133667030806.25</v>
      </c>
      <c r="O35" s="14">
        <f t="shared" si="58"/>
        <v>1.9956140950869808E+22</v>
      </c>
      <c r="P35" s="14">
        <f t="shared" si="58"/>
        <v>4823.7081531178683</v>
      </c>
    </row>
    <row r="36" spans="12:31" x14ac:dyDescent="0.3">
      <c r="L36" s="14">
        <v>0</v>
      </c>
      <c r="M36" s="14">
        <f>M31-M$29/$M$29*M31</f>
        <v>0</v>
      </c>
      <c r="N36" s="14">
        <f t="shared" si="58"/>
        <v>6.5086744799937112E+16</v>
      </c>
      <c r="O36" s="14">
        <f t="shared" si="58"/>
        <v>1.4894405071574603E+24</v>
      </c>
      <c r="P36" s="14">
        <f t="shared" si="58"/>
        <v>320727.5785462301</v>
      </c>
      <c r="W36" s="14">
        <v>8</v>
      </c>
      <c r="X36" s="14">
        <v>331</v>
      </c>
      <c r="Y36" s="14">
        <v>19619</v>
      </c>
      <c r="Z36" s="14">
        <v>1296379</v>
      </c>
      <c r="AA36" s="14">
        <v>90938675</v>
      </c>
      <c r="AB36" s="14">
        <v>5.0140000000000002</v>
      </c>
    </row>
    <row r="37" spans="12:31" x14ac:dyDescent="0.3">
      <c r="W37" s="14">
        <v>0</v>
      </c>
      <c r="X37" s="14">
        <v>-792117.125</v>
      </c>
      <c r="Y37" s="14">
        <v>-3177911071.125</v>
      </c>
      <c r="Z37" s="14">
        <v>-14736282631053.125</v>
      </c>
      <c r="AA37" s="14">
        <v>-7.5248409163768432E+16</v>
      </c>
      <c r="AB37" s="14">
        <v>80.458143250000006</v>
      </c>
    </row>
    <row r="38" spans="12:31" x14ac:dyDescent="0.3">
      <c r="L38" s="14">
        <v>8</v>
      </c>
      <c r="M38" s="14">
        <v>331</v>
      </c>
      <c r="N38" s="14">
        <v>19619</v>
      </c>
      <c r="O38" s="14">
        <v>1296379</v>
      </c>
      <c r="P38" s="14">
        <v>5.0140000000000002</v>
      </c>
      <c r="Q38" s="5" t="s">
        <v>39</v>
      </c>
      <c r="R38" s="14" t="s">
        <v>46</v>
      </c>
      <c r="S38" s="14">
        <f>(P38-O38*S41-N38*S40-M38*S39)/L38</f>
        <v>0.63095348763887216</v>
      </c>
      <c r="W38" s="14">
        <v>0</v>
      </c>
      <c r="X38" s="14">
        <v>0</v>
      </c>
      <c r="Y38" s="14">
        <v>894133667030806.25</v>
      </c>
      <c r="Z38" s="14">
        <v>1.9956140950869808E+22</v>
      </c>
      <c r="AA38" s="14">
        <v>5.335213967291362E+29</v>
      </c>
      <c r="AB38" s="14">
        <v>4823.7081531178683</v>
      </c>
    </row>
    <row r="39" spans="12:31" x14ac:dyDescent="0.3">
      <c r="L39" s="14">
        <v>0</v>
      </c>
      <c r="M39" s="14">
        <v>-792117.125</v>
      </c>
      <c r="N39" s="14">
        <v>-3177911071.125</v>
      </c>
      <c r="O39" s="14">
        <v>-14736282631053.125</v>
      </c>
      <c r="P39" s="14">
        <v>80.458143250000006</v>
      </c>
      <c r="Q39" s="5"/>
      <c r="R39" s="14" t="s">
        <v>44</v>
      </c>
      <c r="S39" s="14">
        <f>(P39-O39*S41-N39*S40)/M39</f>
        <v>-1.0159518716721919E-4</v>
      </c>
      <c r="W39" s="14">
        <v>0</v>
      </c>
      <c r="X39" s="14">
        <v>0</v>
      </c>
      <c r="Y39" s="14">
        <v>0</v>
      </c>
      <c r="Z39" s="14">
        <v>-3.3242773941970692E+31</v>
      </c>
      <c r="AA39" s="14">
        <v>-2.4192487005296249E+46</v>
      </c>
      <c r="AB39" s="14">
        <v>320727.57854449982</v>
      </c>
    </row>
    <row r="40" spans="12:31" x14ac:dyDescent="0.3">
      <c r="L40" s="14">
        <v>0</v>
      </c>
      <c r="M40" s="14">
        <v>0</v>
      </c>
      <c r="N40" s="14">
        <v>894133667030806.25</v>
      </c>
      <c r="O40" s="14">
        <v>1.9956140950869808E+22</v>
      </c>
      <c r="P40" s="14">
        <v>4823.7081531178683</v>
      </c>
      <c r="Q40" s="5"/>
      <c r="R40" s="14" t="s">
        <v>41</v>
      </c>
      <c r="S40" s="14">
        <f>(P40-O40*S41)/N40</f>
        <v>5.3948403057831608E-12</v>
      </c>
      <c r="W40" s="14">
        <v>0</v>
      </c>
      <c r="X40" s="14">
        <v>0</v>
      </c>
      <c r="Y40" s="14">
        <v>0</v>
      </c>
      <c r="Z40" s="14">
        <v>-2.5262512289650763E+33</v>
      </c>
      <c r="AA40" s="14">
        <v>-1.8637382503075093E+48</v>
      </c>
      <c r="AB40" s="14">
        <v>22584050.010395817</v>
      </c>
    </row>
    <row r="41" spans="12:31" x14ac:dyDescent="0.3">
      <c r="L41" s="14">
        <v>0</v>
      </c>
      <c r="M41" s="14">
        <v>0</v>
      </c>
      <c r="N41" s="14">
        <f>N36-N35/$N35*N36</f>
        <v>0</v>
      </c>
      <c r="O41" s="14">
        <f t="shared" ref="O41:P41" si="59">O36-O35/$N35*O36</f>
        <v>-3.3242773941970692E+31</v>
      </c>
      <c r="P41" s="14">
        <f t="shared" si="59"/>
        <v>320727.57854449982</v>
      </c>
      <c r="Q41" s="5"/>
      <c r="R41" s="14" t="s">
        <v>40</v>
      </c>
      <c r="S41" s="14">
        <f>P41/O41</f>
        <v>-9.6480389724506403E-27</v>
      </c>
    </row>
    <row r="42" spans="12:31" x14ac:dyDescent="0.3">
      <c r="W42" s="14">
        <v>8</v>
      </c>
      <c r="X42" s="14">
        <v>331</v>
      </c>
      <c r="Y42" s="14">
        <v>19619</v>
      </c>
      <c r="Z42" s="14">
        <v>1296379</v>
      </c>
      <c r="AA42" s="14">
        <v>90938675</v>
      </c>
      <c r="AB42" s="14">
        <v>5.0140000000000002</v>
      </c>
      <c r="AC42" s="5" t="s">
        <v>30</v>
      </c>
      <c r="AD42" s="14" t="s">
        <v>45</v>
      </c>
      <c r="AE42" s="14">
        <v>0.63095348763887216</v>
      </c>
    </row>
    <row r="43" spans="12:31" x14ac:dyDescent="0.3">
      <c r="L43" s="10" t="s">
        <v>73</v>
      </c>
      <c r="M43" s="10"/>
      <c r="W43" s="14">
        <v>0</v>
      </c>
      <c r="X43" s="14">
        <v>-792117.125</v>
      </c>
      <c r="Y43" s="14">
        <v>-3177911071.125</v>
      </c>
      <c r="Z43" s="14">
        <v>-14736282631053.125</v>
      </c>
      <c r="AA43" s="14">
        <v>-7.5248409163768432E+16</v>
      </c>
      <c r="AB43" s="14">
        <v>80.458143250000006</v>
      </c>
      <c r="AC43" s="5"/>
      <c r="AD43" s="14" t="s">
        <v>43</v>
      </c>
      <c r="AE43" s="14">
        <v>-1.0159518716721919E-4</v>
      </c>
    </row>
    <row r="44" spans="12:31" x14ac:dyDescent="0.3">
      <c r="L44" s="14">
        <v>8</v>
      </c>
      <c r="M44" s="14">
        <v>331</v>
      </c>
      <c r="N44" s="14">
        <v>19619</v>
      </c>
      <c r="O44" s="14">
        <v>1296379</v>
      </c>
      <c r="P44" s="14">
        <f>O45</f>
        <v>90938675</v>
      </c>
      <c r="Q44" s="14">
        <v>5.0140000000000002</v>
      </c>
      <c r="W44" s="14">
        <v>0</v>
      </c>
      <c r="X44" s="14">
        <v>0</v>
      </c>
      <c r="Y44" s="14">
        <v>894133667030806.25</v>
      </c>
      <c r="Z44" s="14">
        <v>1.9956140950869808E+22</v>
      </c>
      <c r="AA44" s="14">
        <v>5.335213967291362E+29</v>
      </c>
      <c r="AB44" s="14">
        <v>4823.7081531178683</v>
      </c>
      <c r="AC44" s="5"/>
      <c r="AD44" s="14" t="s">
        <v>41</v>
      </c>
      <c r="AE44" s="14">
        <v>5.3948403057831608E-12</v>
      </c>
    </row>
    <row r="45" spans="12:31" x14ac:dyDescent="0.3">
      <c r="L45" s="14">
        <v>331</v>
      </c>
      <c r="M45" s="14">
        <v>19619</v>
      </c>
      <c r="N45" s="14">
        <v>1296379</v>
      </c>
      <c r="O45" s="14">
        <v>90938675</v>
      </c>
      <c r="P45" s="14">
        <f>O46</f>
        <v>6619706371</v>
      </c>
      <c r="Q45" s="14">
        <v>215.56100000000001</v>
      </c>
      <c r="W45" s="14">
        <v>0</v>
      </c>
      <c r="X45" s="14">
        <v>0</v>
      </c>
      <c r="Y45" s="14">
        <v>0</v>
      </c>
      <c r="Z45" s="14">
        <v>-3.3242773941970692E+31</v>
      </c>
      <c r="AA45" s="14">
        <v>-2.4192487005296249E+46</v>
      </c>
      <c r="AB45" s="14">
        <v>320727.57854449982</v>
      </c>
      <c r="AC45" s="5"/>
      <c r="AD45" s="14" t="s">
        <v>40</v>
      </c>
      <c r="AE45" s="14">
        <v>-9.6480389724506518E-27</v>
      </c>
    </row>
    <row r="46" spans="12:31" x14ac:dyDescent="0.3">
      <c r="L46" s="14">
        <v>19619</v>
      </c>
      <c r="M46" s="14">
        <v>1296379</v>
      </c>
      <c r="N46" s="14">
        <v>90938675</v>
      </c>
      <c r="O46" s="14">
        <v>6619706371</v>
      </c>
      <c r="P46" s="14">
        <f>O47</f>
        <v>494066404859</v>
      </c>
      <c r="Q46" s="14">
        <v>12922.219000000001</v>
      </c>
      <c r="W46" s="14">
        <v>0</v>
      </c>
      <c r="X46" s="14">
        <v>0</v>
      </c>
      <c r="Y46" s="14">
        <v>0</v>
      </c>
      <c r="Z46" s="14">
        <v>0</v>
      </c>
      <c r="AA46" s="14">
        <v>1.3563387784829666E+63</v>
      </c>
      <c r="AB46" s="14">
        <v>22584050.010395817</v>
      </c>
      <c r="AC46" s="5"/>
      <c r="AD46" s="14" t="s">
        <v>74</v>
      </c>
      <c r="AE46" s="14">
        <v>1.6650744171493461E-56</v>
      </c>
    </row>
    <row r="47" spans="12:31" x14ac:dyDescent="0.3">
      <c r="L47" s="14">
        <v>1296379</v>
      </c>
      <c r="M47" s="14">
        <v>90938675</v>
      </c>
      <c r="N47" s="14">
        <v>6619706371</v>
      </c>
      <c r="O47" s="14">
        <v>494066404859</v>
      </c>
      <c r="P47" s="26">
        <f>O48</f>
        <v>37546080379579</v>
      </c>
      <c r="Q47" s="14">
        <v>859196.26100000006</v>
      </c>
    </row>
    <row r="48" spans="12:31" x14ac:dyDescent="0.3">
      <c r="L48" s="14">
        <f t="shared" ref="L48:M48" si="60">M47</f>
        <v>90938675</v>
      </c>
      <c r="M48" s="14">
        <f t="shared" si="60"/>
        <v>6619706371</v>
      </c>
      <c r="N48" s="14">
        <f>O47</f>
        <v>494066404859</v>
      </c>
      <c r="O48" s="26">
        <f>J8</f>
        <v>37546080379579</v>
      </c>
      <c r="P48" s="26">
        <f>J9</f>
        <v>2892470961634595</v>
      </c>
      <c r="Q48" s="26">
        <f>J13</f>
        <v>60500351.778999999</v>
      </c>
    </row>
    <row r="50" spans="12:17" x14ac:dyDescent="0.3">
      <c r="L50" s="26">
        <v>8</v>
      </c>
      <c r="M50" s="14">
        <v>331</v>
      </c>
      <c r="N50" s="14">
        <v>19619</v>
      </c>
      <c r="O50" s="14">
        <v>1296379</v>
      </c>
      <c r="P50" s="14">
        <v>90938675</v>
      </c>
      <c r="Q50" s="14">
        <v>5.0140000000000002</v>
      </c>
    </row>
    <row r="51" spans="12:17" x14ac:dyDescent="0.3">
      <c r="L51" s="26">
        <f>L45-L$44/$L$44*L45</f>
        <v>0</v>
      </c>
      <c r="M51" s="14">
        <f t="shared" ref="M51:Q51" si="61">M45-M$44/$L$44*M45</f>
        <v>-792117.125</v>
      </c>
      <c r="N51" s="14">
        <f t="shared" si="61"/>
        <v>-3177911071.125</v>
      </c>
      <c r="O51" s="14">
        <f t="shared" si="61"/>
        <v>-14736282631053.125</v>
      </c>
      <c r="P51" s="14">
        <f t="shared" si="61"/>
        <v>-7.5248409163768432E+16</v>
      </c>
      <c r="Q51" s="14">
        <f t="shared" si="61"/>
        <v>80.458143250000006</v>
      </c>
    </row>
    <row r="52" spans="12:17" x14ac:dyDescent="0.3">
      <c r="L52" s="26">
        <f t="shared" ref="L52:Q52" si="62">L46-L$44/$L$44*L46</f>
        <v>0</v>
      </c>
      <c r="M52" s="14">
        <f t="shared" si="62"/>
        <v>-52341302.125</v>
      </c>
      <c r="N52" s="14">
        <f t="shared" si="62"/>
        <v>-222924794428.125</v>
      </c>
      <c r="O52" s="14">
        <f t="shared" si="62"/>
        <v>-1072699420984955.1</v>
      </c>
      <c r="P52" s="14">
        <f t="shared" si="62"/>
        <v>-5.6162175334199736E+18</v>
      </c>
      <c r="Q52" s="14">
        <f t="shared" si="62"/>
        <v>4823.2182417499998</v>
      </c>
    </row>
    <row r="53" spans="12:17" x14ac:dyDescent="0.3">
      <c r="L53" s="26">
        <f t="shared" ref="L53:Q53" si="63">L47-L$44/$L$44*L47</f>
        <v>0</v>
      </c>
      <c r="M53" s="14">
        <f t="shared" si="63"/>
        <v>-3671649003.125</v>
      </c>
      <c r="N53" s="14">
        <f t="shared" si="63"/>
        <v>-16227382705210.125</v>
      </c>
      <c r="O53" s="14">
        <f t="shared" si="63"/>
        <v>-8.0061669916683328E+16</v>
      </c>
      <c r="P53" s="14">
        <f t="shared" si="63"/>
        <v>-4.2679881259922103E+20</v>
      </c>
      <c r="Q53" s="14">
        <f t="shared" si="63"/>
        <v>320695.00441824994</v>
      </c>
    </row>
    <row r="54" spans="12:17" x14ac:dyDescent="0.3">
      <c r="L54" s="26">
        <f t="shared" ref="L54:Q54" si="64">L48-L$44/$L$44*L48</f>
        <v>0</v>
      </c>
      <c r="M54" s="14">
        <f t="shared" si="64"/>
        <v>-267270644729.125</v>
      </c>
      <c r="N54" s="14">
        <f t="shared" si="64"/>
        <v>-1211142033211231</v>
      </c>
      <c r="O54" s="14">
        <f t="shared" si="64"/>
        <v>-6.0842062209694003E+18</v>
      </c>
      <c r="P54" s="14">
        <f t="shared" si="64"/>
        <v>-3.2879681698407276E+22</v>
      </c>
      <c r="Q54" s="14">
        <f t="shared" si="64"/>
        <v>22581756.30151175</v>
      </c>
    </row>
    <row r="55" spans="12:17" x14ac:dyDescent="0.3">
      <c r="L55" s="29"/>
    </row>
    <row r="56" spans="12:17" x14ac:dyDescent="0.3">
      <c r="L56" s="26">
        <v>8</v>
      </c>
      <c r="M56" s="14">
        <v>331</v>
      </c>
      <c r="N56" s="14">
        <v>19619</v>
      </c>
      <c r="O56" s="14">
        <v>1296379</v>
      </c>
      <c r="P56" s="14">
        <v>90938675</v>
      </c>
      <c r="Q56" s="14">
        <v>5.0140000000000002</v>
      </c>
    </row>
    <row r="57" spans="12:17" x14ac:dyDescent="0.3">
      <c r="L57" s="26">
        <v>0</v>
      </c>
      <c r="M57" s="14">
        <v>-792117.125</v>
      </c>
      <c r="N57" s="14">
        <v>-3177911071.125</v>
      </c>
      <c r="O57" s="14">
        <v>-14736282631053.125</v>
      </c>
      <c r="P57" s="14">
        <v>-7.5248409163768432E+16</v>
      </c>
      <c r="Q57" s="14">
        <v>80.458143250000006</v>
      </c>
    </row>
    <row r="58" spans="12:17" x14ac:dyDescent="0.3">
      <c r="L58" s="26">
        <v>0</v>
      </c>
      <c r="M58" s="14">
        <f>M52-M$51/$M$51*M52</f>
        <v>0</v>
      </c>
      <c r="N58" s="14">
        <f t="shared" ref="N58:Q58" si="65">N52-N$51/$M$51*N52</f>
        <v>894133667030806.25</v>
      </c>
      <c r="O58" s="14">
        <f t="shared" si="65"/>
        <v>1.9956140950869808E+22</v>
      </c>
      <c r="P58" s="14">
        <f t="shared" si="65"/>
        <v>5.335213967291362E+29</v>
      </c>
      <c r="Q58" s="14">
        <f t="shared" si="65"/>
        <v>4823.7081531178683</v>
      </c>
    </row>
    <row r="59" spans="12:17" x14ac:dyDescent="0.3">
      <c r="L59" s="26">
        <v>0</v>
      </c>
      <c r="M59" s="14">
        <f t="shared" ref="M59:Q59" si="66">M53-M$51/$M$51*M53</f>
        <v>0</v>
      </c>
      <c r="N59" s="14">
        <f t="shared" si="66"/>
        <v>6.5086744799937112E+16</v>
      </c>
      <c r="O59" s="14">
        <f t="shared" si="66"/>
        <v>1.4894405071574603E+24</v>
      </c>
      <c r="P59" s="14">
        <f t="shared" si="66"/>
        <v>4.0544422872739477E+31</v>
      </c>
      <c r="Q59" s="14">
        <f t="shared" si="66"/>
        <v>320727.5785462301</v>
      </c>
    </row>
    <row r="60" spans="12:17" x14ac:dyDescent="0.3">
      <c r="L60" s="26">
        <v>0</v>
      </c>
      <c r="M60" s="14">
        <f t="shared" ref="M60:Q60" si="67">M54-M$51/$M$51*M54</f>
        <v>0</v>
      </c>
      <c r="N60" s="14">
        <f t="shared" si="67"/>
        <v>4.8577946218515343E+18</v>
      </c>
      <c r="O60" s="14">
        <f t="shared" si="67"/>
        <v>1.1318853589791132E+26</v>
      </c>
      <c r="P60" s="14">
        <f t="shared" si="67"/>
        <v>3.1234569528971798E+33</v>
      </c>
      <c r="Q60" s="14">
        <f t="shared" si="67"/>
        <v>22584050.010517653</v>
      </c>
    </row>
    <row r="61" spans="12:17" x14ac:dyDescent="0.3">
      <c r="L61" s="29"/>
    </row>
    <row r="62" spans="12:17" x14ac:dyDescent="0.3">
      <c r="L62" s="26">
        <v>8</v>
      </c>
      <c r="M62" s="14">
        <v>331</v>
      </c>
      <c r="N62" s="14">
        <v>19619</v>
      </c>
      <c r="O62" s="14">
        <v>1296379</v>
      </c>
      <c r="P62" s="14">
        <v>90938675</v>
      </c>
      <c r="Q62" s="14">
        <v>5.0140000000000002</v>
      </c>
    </row>
    <row r="63" spans="12:17" x14ac:dyDescent="0.3">
      <c r="L63" s="26">
        <v>0</v>
      </c>
      <c r="M63" s="14">
        <v>-792117.125</v>
      </c>
      <c r="N63" s="14">
        <v>-3177911071.125</v>
      </c>
      <c r="O63" s="14">
        <v>-14736282631053.125</v>
      </c>
      <c r="P63" s="14">
        <v>-7.5248409163768432E+16</v>
      </c>
      <c r="Q63" s="14">
        <v>80.458143250000006</v>
      </c>
    </row>
    <row r="64" spans="12:17" x14ac:dyDescent="0.3">
      <c r="L64" s="26">
        <v>0</v>
      </c>
      <c r="M64" s="14">
        <v>0</v>
      </c>
      <c r="N64" s="14">
        <v>894133667030806.25</v>
      </c>
      <c r="O64" s="14">
        <v>1.9956140950869808E+22</v>
      </c>
      <c r="P64" s="14">
        <v>5.335213967291362E+29</v>
      </c>
      <c r="Q64" s="14">
        <v>4823.7081531178683</v>
      </c>
    </row>
    <row r="65" spans="12:20" x14ac:dyDescent="0.3">
      <c r="L65" s="26">
        <v>0</v>
      </c>
      <c r="M65" s="14">
        <v>0</v>
      </c>
      <c r="N65" s="14">
        <f>N59-N$58/$N$58*N59</f>
        <v>0</v>
      </c>
      <c r="O65" s="14">
        <f t="shared" ref="O65:Q66" si="68">O59-O$58/$N$58*O59</f>
        <v>-3.3242773941970692E+31</v>
      </c>
      <c r="P65" s="14">
        <f t="shared" si="68"/>
        <v>-2.4192487005296249E+46</v>
      </c>
      <c r="Q65" s="14">
        <f t="shared" si="68"/>
        <v>320727.57854449982</v>
      </c>
    </row>
    <row r="66" spans="12:20" x14ac:dyDescent="0.3">
      <c r="L66" s="26">
        <v>0</v>
      </c>
      <c r="M66" s="14">
        <v>0</v>
      </c>
      <c r="N66" s="14">
        <f>N60-N$58/$N$58*N60</f>
        <v>0</v>
      </c>
      <c r="O66" s="14">
        <f t="shared" si="68"/>
        <v>-2.5262512289650763E+33</v>
      </c>
      <c r="P66" s="14">
        <f t="shared" si="68"/>
        <v>-1.8637382503075093E+48</v>
      </c>
      <c r="Q66" s="14">
        <f t="shared" si="68"/>
        <v>22584050.010395817</v>
      </c>
    </row>
    <row r="67" spans="12:20" x14ac:dyDescent="0.3">
      <c r="L67" s="29"/>
    </row>
    <row r="68" spans="12:20" x14ac:dyDescent="0.3">
      <c r="L68" s="26">
        <v>8</v>
      </c>
      <c r="M68" s="14">
        <v>331</v>
      </c>
      <c r="N68" s="14">
        <v>19619</v>
      </c>
      <c r="O68" s="14">
        <v>1296379</v>
      </c>
      <c r="P68" s="14">
        <v>90938675</v>
      </c>
      <c r="Q68" s="14">
        <v>5.0140000000000002</v>
      </c>
      <c r="R68" s="5" t="s">
        <v>39</v>
      </c>
      <c r="S68" s="14" t="s">
        <v>46</v>
      </c>
      <c r="T68" s="14">
        <f>(Q68-P68*T72-O68*T71-N68*T70-M68*T69)/L68</f>
        <v>0.63095348763887216</v>
      </c>
    </row>
    <row r="69" spans="12:20" x14ac:dyDescent="0.3">
      <c r="L69" s="26">
        <v>0</v>
      </c>
      <c r="M69" s="14">
        <v>-792117.125</v>
      </c>
      <c r="N69" s="14">
        <v>-3177911071.125</v>
      </c>
      <c r="O69" s="14">
        <v>-14736282631053.125</v>
      </c>
      <c r="P69" s="14">
        <v>-7.5248409163768432E+16</v>
      </c>
      <c r="Q69" s="14">
        <v>80.458143250000006</v>
      </c>
      <c r="R69" s="5"/>
      <c r="S69" s="14" t="s">
        <v>44</v>
      </c>
      <c r="T69" s="14">
        <f>(Q69-P69*T72-O69*T71-N69*T70)/M69</f>
        <v>-1.0159518716721919E-4</v>
      </c>
    </row>
    <row r="70" spans="12:20" x14ac:dyDescent="0.3">
      <c r="L70" s="26">
        <v>0</v>
      </c>
      <c r="M70" s="14">
        <v>0</v>
      </c>
      <c r="N70" s="14">
        <v>894133667030806.25</v>
      </c>
      <c r="O70" s="14">
        <v>1.9956140950869808E+22</v>
      </c>
      <c r="P70" s="14">
        <v>5.335213967291362E+29</v>
      </c>
      <c r="Q70" s="14">
        <v>4823.7081531178683</v>
      </c>
      <c r="R70" s="5"/>
      <c r="S70" s="14" t="s">
        <v>41</v>
      </c>
      <c r="T70" s="14">
        <f>(Q70-P70*T72-O70*T71)/N70</f>
        <v>5.3948403057831608E-12</v>
      </c>
    </row>
    <row r="71" spans="12:20" x14ac:dyDescent="0.3">
      <c r="L71" s="26">
        <v>0</v>
      </c>
      <c r="M71" s="14">
        <v>0</v>
      </c>
      <c r="N71" s="14">
        <v>0</v>
      </c>
      <c r="O71" s="14">
        <v>-3.3242773941970692E+31</v>
      </c>
      <c r="P71" s="14">
        <v>-2.4192487005296249E+46</v>
      </c>
      <c r="Q71" s="14">
        <v>320727.57854449982</v>
      </c>
      <c r="R71" s="5"/>
      <c r="S71" s="14" t="s">
        <v>40</v>
      </c>
      <c r="T71" s="14">
        <f>(Q71-P71*T72)/O71</f>
        <v>-9.6480389724506518E-27</v>
      </c>
    </row>
    <row r="72" spans="12:20" x14ac:dyDescent="0.3">
      <c r="L72" s="26">
        <v>0</v>
      </c>
      <c r="M72" s="14">
        <v>0</v>
      </c>
      <c r="N72" s="14">
        <v>0</v>
      </c>
      <c r="O72" s="14">
        <f>O66-O$65/$O$65*O66</f>
        <v>0</v>
      </c>
      <c r="P72" s="14">
        <f t="shared" ref="P72:Q72" si="69">P66-P$65/$O$65*P66</f>
        <v>1.3563387784829666E+63</v>
      </c>
      <c r="Q72" s="14">
        <f t="shared" si="69"/>
        <v>22584050.010395817</v>
      </c>
      <c r="R72" s="5"/>
      <c r="S72" s="14" t="s">
        <v>74</v>
      </c>
      <c r="T72" s="14">
        <f>Q72/P72</f>
        <v>1.6650744171493461E-56</v>
      </c>
    </row>
  </sheetData>
  <mergeCells count="12">
    <mergeCell ref="AC42:AC46"/>
    <mergeCell ref="Q38:Q41"/>
    <mergeCell ref="L43:M43"/>
    <mergeCell ref="R68:R72"/>
    <mergeCell ref="X1:Y1"/>
    <mergeCell ref="AU23:AU25"/>
    <mergeCell ref="L2:M2"/>
    <mergeCell ref="O6:O7"/>
    <mergeCell ref="L9:M9"/>
    <mergeCell ref="P18:P20"/>
    <mergeCell ref="L22:M22"/>
    <mergeCell ref="AB10:A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18DB-A40A-44E1-B6D5-584084CC58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Jongwon Lim</dc:creator>
  <cp:lastModifiedBy>Jongwon Lim</cp:lastModifiedBy>
  <dcterms:created xsi:type="dcterms:W3CDTF">2018-05-06T18:17:13Z</dcterms:created>
  <dcterms:modified xsi:type="dcterms:W3CDTF">2018-05-07T14:12:18Z</dcterms:modified>
</cp:coreProperties>
</file>