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RangeCalculation - Table 1" sheetId="2" r:id="rId5"/>
    <sheet name="RangeCalculation - Table 2" sheetId="3" r:id="rId6"/>
    <sheet name="RangeCalculation - Reifen_Getri" sheetId="4" r:id="rId7"/>
    <sheet name="RangeCalculation - Cell dischar" sheetId="5" r:id="rId8"/>
    <sheet name="RangeCalculation - Rollreibungs" sheetId="6" r:id="rId9"/>
    <sheet name="RangeCalculation - Verbrauch in" sheetId="7" r:id="rId10"/>
    <sheet name="RangeCalculation - Wirkungsgrad" sheetId="8" r:id="rId11"/>
    <sheet name="RangeCalculation - Drawings" sheetId="9" r:id="rId12"/>
    <sheet name="NEFZ - NEFZ Zusammenfassung" sheetId="10" r:id="rId13"/>
    <sheet name="NEFZ - NEFZ vom 15.2.2012 Quell" sheetId="11" r:id="rId14"/>
    <sheet name="NEFZ - Drawings" sheetId="12" r:id="rId15"/>
    <sheet name="NEFZ-2 - Konstanten" sheetId="13" r:id="rId16"/>
    <sheet name="NEFZ-2 - Startwerte" sheetId="14" r:id="rId17"/>
    <sheet name="NEFZ-2 - NEFZ Berechnung Zusamm" sheetId="15" r:id="rId18"/>
    <sheet name="NEFZ-2 - NEFZ vom 15.2.2012 Que" sheetId="16" r:id="rId19"/>
    <sheet name="NEFZ-2 - Drawings" sheetId="17" r:id="rId20"/>
    <sheet name="User reported ranges" sheetId="18" r:id="rId21"/>
    <sheet name="Old calculations" sheetId="19" r:id="rId22"/>
  </sheets>
</workbook>
</file>

<file path=xl/sharedStrings.xml><?xml version="1.0" encoding="utf-8"?>
<sst xmlns="http://schemas.openxmlformats.org/spreadsheetml/2006/main" uniqueCount="188">
  <si>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</si>
  <si>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</si>
  <si>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</si>
  <si>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</si>
  <si>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RangeCalculation</t>
  </si>
  <si>
    <t>Table 1</t>
  </si>
  <si>
    <t>RangeCalculation - Table 1</t>
  </si>
  <si>
    <t>Technische Daten BMW i3</t>
  </si>
  <si>
    <t>94Ah</t>
  </si>
  <si>
    <t>60Ah</t>
  </si>
  <si>
    <t>Gewicht</t>
  </si>
  <si>
    <t>kg</t>
  </si>
  <si>
    <t>Nettokapazität Batterie</t>
  </si>
  <si>
    <t>kWh</t>
  </si>
  <si>
    <t>Recuperation</t>
  </si>
  <si>
    <t>Motor max</t>
  </si>
  <si>
    <t>U/min</t>
  </si>
  <si>
    <t>Getriebeverhältnis</t>
  </si>
  <si>
    <t>Antriebsstrang Max</t>
  </si>
  <si>
    <t>cwWert</t>
  </si>
  <si>
    <t>Stirnfläche</t>
  </si>
  <si>
    <t>m²</t>
  </si>
  <si>
    <t>cw*Stirnfläche</t>
  </si>
  <si>
    <t>Ständige Verbraucher</t>
  </si>
  <si>
    <t>kW</t>
  </si>
  <si>
    <t>g</t>
  </si>
  <si>
    <t>m/s^2</t>
  </si>
  <si>
    <t>KT /C ISO8767</t>
  </si>
  <si>
    <t>KT /C IS28580</t>
  </si>
  <si>
    <t>KT /C SAE J1269</t>
  </si>
  <si>
    <t>KT /C SAE J2452</t>
  </si>
  <si>
    <t>Table 2</t>
  </si>
  <si>
    <t>RangeCalculation - Table 2</t>
  </si>
  <si>
    <t>Temperatur in C</t>
  </si>
  <si>
    <t>Luftdichte</t>
  </si>
  <si>
    <t>Zusatzverbrauch (Klima) in kW</t>
  </si>
  <si>
    <t>Gesamt Zusatz verbraucher in kW</t>
  </si>
  <si>
    <t>Batteriekapazität %</t>
  </si>
  <si>
    <t>Batteriekapazität in kWh</t>
  </si>
  <si>
    <t>Reifen/Getriebe</t>
  </si>
  <si>
    <t>RangeCalculation - Reifen_Getri</t>
  </si>
  <si>
    <t>Reifengröße Felge</t>
  </si>
  <si>
    <t>zoll</t>
  </si>
  <si>
    <t>Reifenbreite</t>
  </si>
  <si>
    <t>mm</t>
  </si>
  <si>
    <t>Reifenbreitenverhältnis</t>
  </si>
  <si>
    <t>Reifendurchmesser</t>
  </si>
  <si>
    <t>cm</t>
  </si>
  <si>
    <t>Reifenumfang</t>
  </si>
  <si>
    <t>m</t>
  </si>
  <si>
    <t>m pro motordrehung</t>
  </si>
  <si>
    <t>m/Umdrehung Motor</t>
  </si>
  <si>
    <t>Maximale Geschwindigkeit</t>
  </si>
  <si>
    <t>km/h</t>
  </si>
  <si>
    <t>U/min pro km/h</t>
  </si>
  <si>
    <t>Cell discharge capacity</t>
  </si>
  <si>
    <t>RangeCalculation - Cell dischar</t>
  </si>
  <si>
    <t>Temperatur</t>
  </si>
  <si>
    <t>Discharge cap</t>
  </si>
  <si>
    <t>Rollreibungskräfte</t>
  </si>
  <si>
    <t>RangeCalculation - Rollreibungs</t>
  </si>
  <si>
    <t>Reifen Energielabel</t>
  </si>
  <si>
    <t>Rollwiderstandsbeiwert CR in kg/t</t>
  </si>
  <si>
    <t>F Reibung in N m in t * CR*g</t>
  </si>
  <si>
    <t>A</t>
  </si>
  <si>
    <t>B</t>
  </si>
  <si>
    <t>C</t>
  </si>
  <si>
    <t>E</t>
  </si>
  <si>
    <t>F</t>
  </si>
  <si>
    <t>Verbrauch in Abhängigkeit von der Temperatur und Geschwindigkeit</t>
  </si>
  <si>
    <t>RangeCalculation - Verbrauch in</t>
  </si>
  <si>
    <t>Luftwiderstand in Abhängigkeit zur Temperatur in N</t>
  </si>
  <si>
    <t>Wirkungsgrad Getriebe in %</t>
  </si>
  <si>
    <t>Wirkungsgrad Motor in %</t>
  </si>
  <si>
    <t>Gesamt Wirkungsgrad</t>
  </si>
  <si>
    <t>Verbrauch in kWh/100km</t>
  </si>
  <si>
    <t>Range in km</t>
  </si>
  <si>
    <t>m/s</t>
  </si>
  <si>
    <t>Wirkungsgrad Motor</t>
  </si>
  <si>
    <t>RangeCalculation - Wirkungsgrad</t>
  </si>
  <si>
    <t>Nm / km/h</t>
  </si>
  <si>
    <t>"All Drawings from the Sheet"</t>
  </si>
  <si>
    <t>RangeCalculation - Drawings</t>
  </si>
  <si/>
  <si/>
  <si>
    <t>NEFZ</t>
  </si>
  <si>
    <t>NEFZ Zusammenfassung</t>
  </si>
  <si>
    <t>NEFZ - NEFZ Zusammenfassung</t>
  </si>
  <si>
    <t>kinetische Energie in Ws</t>
  </si>
  <si>
    <t>Rollwiderstand in Ws</t>
  </si>
  <si>
    <t>Energie cW in Ws</t>
  </si>
  <si>
    <t>Weglänge in m</t>
  </si>
  <si>
    <t xml:space="preserve">Rekuperation </t>
  </si>
  <si>
    <t>NEFZ Verbrauch in kWh</t>
  </si>
  <si>
    <t>kWh/100km</t>
  </si>
  <si>
    <t>Stadtzyklus</t>
  </si>
  <si>
    <t>Landzyklus</t>
  </si>
  <si>
    <t>NEFZ = 4*Stadt+1Land</t>
  </si>
  <si>
    <t>NEFZ vom 15.2.2012 Quelle EUR-Lex - 42012X0215(01) - EN - EUR-Lex.pdf</t>
  </si>
  <si>
    <t>NEFZ - NEFZ vom 15.2.2012 Quell</t>
  </si>
  <si>
    <t>NEFZ Punkt</t>
  </si>
  <si>
    <t>Betriebszustand</t>
  </si>
  <si>
    <t>Beschleunigung</t>
  </si>
  <si>
    <t>Anfangsgeschwindigkeit in km/h</t>
  </si>
  <si>
    <t>Berechnete Ausgangsgeschwindigkeit</t>
  </si>
  <si>
    <t>Ausgangsgeschwindigkeit km/h</t>
  </si>
  <si>
    <t>Dauer in s</t>
  </si>
  <si>
    <t>Gesamtdauer in s</t>
  </si>
  <si>
    <t>Startgeschwindigkeit in m/s</t>
  </si>
  <si>
    <t>Endgeschwindigkeit in m/s</t>
  </si>
  <si>
    <t>Durschnittsgeschwindigkeit in m/s</t>
  </si>
  <si>
    <t>Weg im m</t>
  </si>
  <si>
    <t>delta kin. Energie Auto in Ws</t>
  </si>
  <si>
    <t>Energie Rollwiderstand in Ws</t>
  </si>
  <si>
    <t>Durchschnittsgeschwindigkeit im Quadrat in m^2/s^2</t>
  </si>
  <si>
    <t>F Air in N</t>
  </si>
  <si>
    <t>Energie Air in Ws</t>
  </si>
  <si>
    <t>NEFZ Stadt</t>
  </si>
  <si>
    <t>Leerlauf</t>
  </si>
  <si>
    <t>konstante Geschwindigkeit</t>
  </si>
  <si>
    <t>Verzögerung</t>
  </si>
  <si>
    <t>Verzögerung Ausgekuppelt</t>
  </si>
  <si>
    <t>Schaltvorgang</t>
  </si>
  <si>
    <t>NEFZ Land</t>
  </si>
  <si>
    <t>NEFZ - Drawings</t>
  </si>
  <si>
    <t>NEFZ-2</t>
  </si>
  <si>
    <t>Konstanten</t>
  </si>
  <si>
    <t>NEFZ-2 - Konstanten</t>
  </si>
  <si>
    <t>Startwerte</t>
  </si>
  <si>
    <t>NEFZ-2 - Startwerte</t>
  </si>
  <si>
    <t>Werte zum Einsetzen:</t>
  </si>
  <si>
    <t>Tesla Model 70D</t>
  </si>
  <si>
    <t>Tesla Model S90D</t>
  </si>
  <si>
    <t>Nissan Leaf</t>
  </si>
  <si>
    <t>BMW i3 94Ah</t>
  </si>
  <si>
    <t>BMW i3 60Ah</t>
  </si>
  <si>
    <t>VW eGolf</t>
  </si>
  <si>
    <t>Renault Zoe</t>
  </si>
  <si>
    <t>Fahrzeuggewicht in kg</t>
  </si>
  <si>
    <t>Luftwiderstandsbeiwert cw</t>
  </si>
  <si>
    <t>Stirnfläche in m²</t>
  </si>
  <si>
    <t>Rollwiderstandsbeiwert cr</t>
  </si>
  <si>
    <t xml:space="preserve">Batteriegröße </t>
  </si>
  <si>
    <t>Nutzbare Batteriegröße</t>
  </si>
  <si>
    <t>NEFZ Reichweite</t>
  </si>
  <si>
    <t>NEFZ Berechnung Zusammenfassung</t>
  </si>
  <si>
    <t>NEFZ-2 - NEFZ Berechnung Zusamm</t>
  </si>
  <si>
    <t>NEFZ Verbrauch kWh/100km</t>
  </si>
  <si>
    <t>Wirkungsgrad NEFZ Real/Theoretisch</t>
  </si>
  <si>
    <t>Realer NEFZ Verbrauch /100km</t>
  </si>
  <si>
    <t>cw * Stirnfläche</t>
  </si>
  <si>
    <t>NEFZ-2 - NEFZ vom 15.2.2012 Que</t>
  </si>
  <si>
    <t>NEFZ-2 - Drawings</t>
  </si>
  <si>
    <t>User reported ranges</t>
  </si>
  <si>
    <t>Reichweite in km</t>
  </si>
  <si>
    <t>Zeit in h:m</t>
  </si>
  <si>
    <t>Akkukapazität in kWh</t>
  </si>
  <si>
    <t>http://www.goingelectric.de/forum/bmw-i3-batterie-reichweite/hypermiling-the-i3-t11039.html</t>
  </si>
  <si>
    <t>mit Klima bei 31C</t>
  </si>
  <si>
    <t>rex</t>
  </si>
  <si>
    <t>https://dl.dropboxusercontent.com/u/35513642/Hilden_BMW_i3.pdf</t>
  </si>
  <si>
    <t>tempomat 90</t>
  </si>
  <si>
    <t>tempomat 120</t>
  </si>
  <si>
    <t xml:space="preserve">https://www.youtube.com/watch?v=0EMMG8ir5Mw&amp;list=FL0GsfN9h_zCIF2tP7yAi7Mg
17:21 min,12.23 km -&gt;= 42.2 km/h
with 9.2 kWh/100km
</t>
  </si>
  <si>
    <r>
      <rPr>
        <b val="1"/>
        <u val="single"/>
        <sz val="10"/>
        <color indexed="8"/>
        <rFont val="Helvetica"/>
      </rPr>
      <t>http://www.goingelectric.de/forum/bmw-i3-allgemeines/i3-ein-wochenende-bei-sixt-gemietet-750-km-spass-t6298.html</t>
    </r>
  </si>
  <si>
    <t>Old calculations</t>
  </si>
  <si>
    <t>Batterieinhalt</t>
  </si>
  <si>
    <t>Luftdichte bei</t>
  </si>
  <si>
    <t xml:space="preserve">Recovery </t>
  </si>
  <si>
    <t>%</t>
  </si>
  <si>
    <t>Rollwiderstand</t>
  </si>
  <si>
    <t>Sommerreifen</t>
  </si>
  <si>
    <t>Rekuperation</t>
  </si>
  <si>
    <t>Antriebsstrang</t>
  </si>
  <si>
    <t>cw SC</t>
  </si>
  <si>
    <t xml:space="preserve">F Reibung = </t>
  </si>
  <si>
    <t>Konstante Verbraucher</t>
  </si>
  <si>
    <t>Zusatzverbraucher</t>
  </si>
  <si>
    <t>Zusatzverbrauch Klima</t>
  </si>
  <si>
    <t>Gesamtverbraucher</t>
  </si>
  <si>
    <t>Batteriekapazität</t>
  </si>
  <si>
    <t xml:space="preserve">F luft </t>
  </si>
  <si>
    <t>F Gesamt</t>
  </si>
  <si>
    <t>Fahr Leistung in kW</t>
  </si>
  <si>
    <t>Gesamt Leistung incl. Verbraucher</t>
  </si>
  <si>
    <t>Verbrauch kWh/100km</t>
  </si>
  <si>
    <t>Reichweite</t>
  </si>
  <si>
    <t>Reichweite bei Temperatur</t>
  </si>
</sst>
</file>

<file path=xl/styles.xml><?xml version="1.0" encoding="utf-8"?>
<styleSheet xmlns="http://schemas.openxmlformats.org/spreadsheetml/2006/main">
  <numFmts count="7">
    <numFmt numFmtId="0" formatCode="General"/>
    <numFmt numFmtId="59" formatCode="0.0"/>
    <numFmt numFmtId="60" formatCode="0.0000"/>
    <numFmt numFmtId="61" formatCode="0.0000%"/>
    <numFmt numFmtId="62" formatCode="0.000"/>
    <numFmt numFmtId="63" formatCode="0.0%"/>
    <numFmt numFmtId="64" formatCode="[h]:mm"/>
  </numFmts>
  <fonts count="12">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b val="1"/>
      <sz val="10"/>
      <color indexed="16"/>
      <name val="Helvetica"/>
    </font>
    <font>
      <sz val="11"/>
      <color indexed="8"/>
      <name val="Helvetica"/>
    </font>
    <font>
      <shadow val="1"/>
      <sz val="12"/>
      <color indexed="16"/>
      <name val="Helvetica"/>
    </font>
    <font>
      <shadow val="1"/>
      <sz val="12"/>
      <color indexed="8"/>
      <name val="Helvetica"/>
    </font>
    <font>
      <sz val="10"/>
      <color indexed="8"/>
      <name val="Arial"/>
    </font>
    <font>
      <b val="1"/>
      <sz val="10"/>
      <color indexed="8"/>
      <name val="Arial"/>
    </font>
    <font>
      <b val="1"/>
      <u val="single"/>
      <sz val="10"/>
      <color indexed="8"/>
      <name val="Helvetica"/>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4"/>
        <bgColor auto="1"/>
      </patternFill>
    </fill>
    <fill>
      <patternFill patternType="solid">
        <fgColor indexed="18"/>
        <bgColor auto="1"/>
      </patternFill>
    </fill>
    <fill>
      <patternFill patternType="solid">
        <fgColor indexed="19"/>
        <bgColor auto="1"/>
      </patternFill>
    </fill>
    <fill>
      <patternFill patternType="solid">
        <fgColor indexed="22"/>
        <bgColor auto="1"/>
      </patternFill>
    </fill>
  </fills>
  <borders count="3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7"/>
      </left>
      <right style="thin">
        <color indexed="18"/>
      </right>
      <top style="thin">
        <color indexed="17"/>
      </top>
      <bottom style="thin">
        <color indexed="18"/>
      </bottom>
      <diagonal/>
    </border>
    <border>
      <left style="thin">
        <color indexed="18"/>
      </left>
      <right style="thin">
        <color indexed="18"/>
      </right>
      <top style="thin">
        <color indexed="17"/>
      </top>
      <bottom style="thin">
        <color indexed="18"/>
      </bottom>
      <diagonal/>
    </border>
    <border>
      <left style="thin">
        <color indexed="18"/>
      </left>
      <right style="thin">
        <color indexed="17"/>
      </right>
      <top style="thin">
        <color indexed="17"/>
      </top>
      <bottom style="thin">
        <color indexed="18"/>
      </bottom>
      <diagonal/>
    </border>
    <border>
      <left style="thin">
        <color indexed="17"/>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medium">
        <color indexed="8"/>
      </right>
      <top style="thin">
        <color indexed="18"/>
      </top>
      <bottom style="thin">
        <color indexed="18"/>
      </bottom>
      <diagonal/>
    </border>
    <border>
      <left style="medium">
        <color indexed="8"/>
      </left>
      <right style="thin">
        <color indexed="18"/>
      </right>
      <top style="thin">
        <color indexed="18"/>
      </top>
      <bottom style="thin">
        <color indexed="18"/>
      </bottom>
      <diagonal/>
    </border>
    <border>
      <left style="thin">
        <color indexed="18"/>
      </left>
      <right style="thin">
        <color indexed="17"/>
      </right>
      <top style="thin">
        <color indexed="18"/>
      </top>
      <bottom style="thin">
        <color indexed="18"/>
      </bottom>
      <diagonal/>
    </border>
    <border>
      <left style="thin">
        <color indexed="17"/>
      </left>
      <right style="thin">
        <color indexed="18"/>
      </right>
      <top style="thin">
        <color indexed="18"/>
      </top>
      <bottom style="thin">
        <color indexed="17"/>
      </bottom>
      <diagonal/>
    </border>
    <border>
      <left style="thin">
        <color indexed="18"/>
      </left>
      <right style="dotted">
        <color indexed="18"/>
      </right>
      <top style="thin">
        <color indexed="18"/>
      </top>
      <bottom style="dotted">
        <color indexed="18"/>
      </bottom>
      <diagonal/>
    </border>
    <border>
      <left style="dotted">
        <color indexed="18"/>
      </left>
      <right style="dotted">
        <color indexed="18"/>
      </right>
      <top style="thin">
        <color indexed="18"/>
      </top>
      <bottom style="dotted">
        <color indexed="18"/>
      </bottom>
      <diagonal/>
    </border>
    <border>
      <left style="dotted">
        <color indexed="18"/>
      </left>
      <right style="dotted">
        <color indexed="8"/>
      </right>
      <top style="thin">
        <color indexed="18"/>
      </top>
      <bottom style="dotted">
        <color indexed="18"/>
      </bottom>
      <diagonal/>
    </border>
    <border>
      <left style="dotted">
        <color indexed="8"/>
      </left>
      <right style="dotted">
        <color indexed="18"/>
      </right>
      <top style="thin">
        <color indexed="18"/>
      </top>
      <bottom style="dotted">
        <color indexed="18"/>
      </bottom>
      <diagonal/>
    </border>
    <border>
      <left style="dotted">
        <color indexed="18"/>
      </left>
      <right style="thin">
        <color indexed="17"/>
      </right>
      <top style="thin">
        <color indexed="18"/>
      </top>
      <bottom style="dotted">
        <color indexed="18"/>
      </bottom>
      <diagonal/>
    </border>
    <border>
      <left style="thin">
        <color indexed="17"/>
      </left>
      <right style="thin">
        <color indexed="18"/>
      </right>
      <top style="thin">
        <color indexed="17"/>
      </top>
      <bottom style="thin">
        <color indexed="17"/>
      </bottom>
      <diagonal/>
    </border>
    <border>
      <left style="thin">
        <color indexed="18"/>
      </left>
      <right style="dotted">
        <color indexed="18"/>
      </right>
      <top style="dotted">
        <color indexed="18"/>
      </top>
      <bottom style="dotted">
        <color indexed="18"/>
      </bottom>
      <diagonal/>
    </border>
    <border>
      <left style="dotted">
        <color indexed="18"/>
      </left>
      <right style="dotted">
        <color indexed="18"/>
      </right>
      <top style="dotted">
        <color indexed="18"/>
      </top>
      <bottom style="dotted">
        <color indexed="18"/>
      </bottom>
      <diagonal/>
    </border>
    <border>
      <left style="dotted">
        <color indexed="18"/>
      </left>
      <right style="dotted">
        <color indexed="8"/>
      </right>
      <top style="dotted">
        <color indexed="18"/>
      </top>
      <bottom style="dotted">
        <color indexed="18"/>
      </bottom>
      <diagonal/>
    </border>
    <border>
      <left style="dotted">
        <color indexed="8"/>
      </left>
      <right style="dotted">
        <color indexed="18"/>
      </right>
      <top style="dotted">
        <color indexed="18"/>
      </top>
      <bottom style="dotted">
        <color indexed="18"/>
      </bottom>
      <diagonal/>
    </border>
    <border>
      <left style="dotted">
        <color indexed="18"/>
      </left>
      <right style="thin">
        <color indexed="17"/>
      </right>
      <top style="dotted">
        <color indexed="18"/>
      </top>
      <bottom style="dotted">
        <color indexed="18"/>
      </bottom>
      <diagonal/>
    </border>
    <border>
      <left style="thin">
        <color indexed="18"/>
      </left>
      <right style="dotted">
        <color indexed="18"/>
      </right>
      <top style="dotted">
        <color indexed="18"/>
      </top>
      <bottom style="thin">
        <color indexed="17"/>
      </bottom>
      <diagonal/>
    </border>
    <border>
      <left style="dotted">
        <color indexed="18"/>
      </left>
      <right style="dotted">
        <color indexed="18"/>
      </right>
      <top style="dotted">
        <color indexed="18"/>
      </top>
      <bottom style="thin">
        <color indexed="17"/>
      </bottom>
      <diagonal/>
    </border>
    <border>
      <left style="dotted">
        <color indexed="18"/>
      </left>
      <right style="dotted">
        <color indexed="8"/>
      </right>
      <top style="dotted">
        <color indexed="18"/>
      </top>
      <bottom style="thin">
        <color indexed="17"/>
      </bottom>
      <diagonal/>
    </border>
    <border>
      <left style="dotted">
        <color indexed="8"/>
      </left>
      <right style="dotted">
        <color indexed="18"/>
      </right>
      <top style="dotted">
        <color indexed="18"/>
      </top>
      <bottom style="thin">
        <color indexed="17"/>
      </bottom>
      <diagonal/>
    </border>
    <border>
      <left style="dotted">
        <color indexed="18"/>
      </left>
      <right style="thin">
        <color indexed="17"/>
      </right>
      <top style="dotted">
        <color indexed="18"/>
      </top>
      <bottom style="thin">
        <color indexed="17"/>
      </bottom>
      <diagonal/>
    </border>
  </borders>
  <cellStyleXfs count="1">
    <xf numFmtId="0" fontId="0" applyNumberFormat="0" applyFont="1" applyFill="0" applyBorder="0" applyAlignment="1" applyProtection="0">
      <alignment vertical="top" wrapText="1"/>
    </xf>
  </cellStyleXfs>
  <cellXfs count="121">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9" fontId="0" borderId="6" applyNumberFormat="1" applyFont="1" applyFill="0" applyBorder="1" applyAlignment="1" applyProtection="0">
      <alignment vertical="top" wrapText="1"/>
    </xf>
    <xf numFmtId="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1" applyFont="1" applyFill="1" applyBorder="1" applyAlignment="1" applyProtection="0">
      <alignment vertical="top" wrapText="1"/>
    </xf>
    <xf numFmtId="2" fontId="0" borderId="6"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0" applyNumberFormat="1" applyFont="1" applyFill="0" applyBorder="0" applyAlignment="1" applyProtection="0">
      <alignment vertical="top" wrapText="1"/>
    </xf>
    <xf numFmtId="0" fontId="0" fillId="6" borderId="4" applyNumberFormat="1" applyFont="1" applyFill="1" applyBorder="1" applyAlignment="1" applyProtection="0">
      <alignment vertical="top" wrapText="1"/>
    </xf>
    <xf numFmtId="9" fontId="0" fillId="6" borderId="4"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59" fontId="0" borderId="4"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5" fillId="7" borderId="8" applyNumberFormat="1" applyFont="1" applyFill="1" applyBorder="1" applyAlignment="1" applyProtection="0">
      <alignment vertical="top" wrapText="1"/>
    </xf>
    <xf numFmtId="0" fontId="5" fillId="7" borderId="9" applyNumberFormat="0" applyFont="1" applyFill="1" applyBorder="1" applyAlignment="1" applyProtection="0">
      <alignment vertical="top" wrapText="1"/>
    </xf>
    <xf numFmtId="49" fontId="5" fillId="7" borderId="9" applyNumberFormat="1" applyFont="1" applyFill="1" applyBorder="1" applyAlignment="1" applyProtection="0">
      <alignment vertical="top" wrapText="1"/>
    </xf>
    <xf numFmtId="0" fontId="5" fillId="7" borderId="10" applyNumberFormat="1" applyFont="1" applyFill="1" applyBorder="1" applyAlignment="1" applyProtection="0">
      <alignment vertical="top" wrapText="1"/>
    </xf>
    <xf numFmtId="49" fontId="5" fillId="7" borderId="11" applyNumberFormat="1" applyFont="1" applyFill="1" applyBorder="1" applyAlignment="1" applyProtection="0">
      <alignment vertical="top" wrapText="1"/>
    </xf>
    <xf numFmtId="0" fontId="5" fillId="7" borderId="12" applyNumberFormat="0" applyFont="1" applyFill="1" applyBorder="1" applyAlignment="1" applyProtection="0">
      <alignment vertical="top" wrapText="1"/>
    </xf>
    <xf numFmtId="0" fontId="5" fillId="7" borderId="12" applyNumberFormat="1" applyFont="1" applyFill="1" applyBorder="1" applyAlignment="1" applyProtection="0">
      <alignment vertical="top" wrapText="1"/>
    </xf>
    <xf numFmtId="0" fontId="5" fillId="7" borderId="13" applyNumberFormat="1" applyFont="1" applyFill="1" applyBorder="1" applyAlignment="1" applyProtection="0">
      <alignment vertical="top" wrapText="1"/>
    </xf>
    <xf numFmtId="0" fontId="5" fillId="7" borderId="14" applyNumberFormat="1" applyFont="1" applyFill="1" applyBorder="1" applyAlignment="1" applyProtection="0">
      <alignment vertical="top" wrapText="1"/>
    </xf>
    <xf numFmtId="0" fontId="5" fillId="7" borderId="15" applyNumberFormat="1" applyFont="1" applyFill="1" applyBorder="1" applyAlignment="1" applyProtection="0">
      <alignment vertical="top" wrapText="1"/>
    </xf>
    <xf numFmtId="49" fontId="5" fillId="7" borderId="12" applyNumberFormat="1" applyFont="1" applyFill="1" applyBorder="1" applyAlignment="1" applyProtection="0">
      <alignment vertical="top" wrapText="1"/>
    </xf>
    <xf numFmtId="0" fontId="5" fillId="8" borderId="16" applyNumberFormat="1" applyFont="1" applyFill="1" applyBorder="1" applyAlignment="1" applyProtection="0">
      <alignment vertical="top" wrapText="1"/>
    </xf>
    <xf numFmtId="2" fontId="0" borderId="17" applyNumberFormat="1" applyFont="1" applyFill="0" applyBorder="1" applyAlignment="1" applyProtection="0">
      <alignment vertical="top" wrapText="1"/>
    </xf>
    <xf numFmtId="59" fontId="0" borderId="18" applyNumberFormat="1" applyFont="1" applyFill="0" applyBorder="1" applyAlignment="1" applyProtection="0">
      <alignment vertical="top" wrapText="1"/>
    </xf>
    <xf numFmtId="2" fontId="0" borderId="18" applyNumberFormat="1" applyFont="1" applyFill="0" applyBorder="1" applyAlignment="1" applyProtection="0">
      <alignment vertical="top" wrapText="1"/>
    </xf>
    <xf numFmtId="59" fontId="0" borderId="19" applyNumberFormat="1" applyFont="1" applyFill="0" applyBorder="1" applyAlignment="1" applyProtection="0">
      <alignment vertical="top" wrapText="1"/>
    </xf>
    <xf numFmtId="59" fontId="0" borderId="20" applyNumberFormat="1" applyFont="1" applyFill="0" applyBorder="1" applyAlignment="1" applyProtection="0">
      <alignment vertical="top" wrapText="1"/>
    </xf>
    <xf numFmtId="59" fontId="0" borderId="21" applyNumberFormat="1" applyFont="1" applyFill="0" applyBorder="1" applyAlignment="1" applyProtection="0">
      <alignment vertical="top" wrapText="1"/>
    </xf>
    <xf numFmtId="0" fontId="5" fillId="8" borderId="22" applyNumberFormat="1" applyFont="1" applyFill="1" applyBorder="1" applyAlignment="1" applyProtection="0">
      <alignment vertical="top" wrapText="1"/>
    </xf>
    <xf numFmtId="2" fontId="0" fillId="9" borderId="23" applyNumberFormat="1" applyFont="1" applyFill="1" applyBorder="1" applyAlignment="1" applyProtection="0">
      <alignment vertical="top" wrapText="1"/>
    </xf>
    <xf numFmtId="59" fontId="0" fillId="9" borderId="24" applyNumberFormat="1" applyFont="1" applyFill="1" applyBorder="1" applyAlignment="1" applyProtection="0">
      <alignment vertical="top" wrapText="1"/>
    </xf>
    <xf numFmtId="2" fontId="0" fillId="9" borderId="24" applyNumberFormat="1" applyFont="1" applyFill="1" applyBorder="1" applyAlignment="1" applyProtection="0">
      <alignment vertical="top" wrapText="1"/>
    </xf>
    <xf numFmtId="59" fontId="0" fillId="9" borderId="25" applyNumberFormat="1" applyFont="1" applyFill="1" applyBorder="1" applyAlignment="1" applyProtection="0">
      <alignment vertical="top" wrapText="1"/>
    </xf>
    <xf numFmtId="59" fontId="0" fillId="9" borderId="26" applyNumberFormat="1" applyFont="1" applyFill="1" applyBorder="1" applyAlignment="1" applyProtection="0">
      <alignment vertical="top" wrapText="1"/>
    </xf>
    <xf numFmtId="59" fontId="0" fillId="9" borderId="27" applyNumberFormat="1" applyFont="1" applyFill="1" applyBorder="1" applyAlignment="1" applyProtection="0">
      <alignment vertical="top" wrapText="1"/>
    </xf>
    <xf numFmtId="2" fontId="0" borderId="23" applyNumberFormat="1" applyFont="1" applyFill="0" applyBorder="1" applyAlignment="1" applyProtection="0">
      <alignment vertical="top" wrapText="1"/>
    </xf>
    <xf numFmtId="59" fontId="0" borderId="24" applyNumberFormat="1" applyFont="1" applyFill="0" applyBorder="1" applyAlignment="1" applyProtection="0">
      <alignment vertical="top" wrapText="1"/>
    </xf>
    <xf numFmtId="2" fontId="0" borderId="24" applyNumberFormat="1" applyFont="1" applyFill="0" applyBorder="1" applyAlignment="1" applyProtection="0">
      <alignment vertical="top" wrapText="1"/>
    </xf>
    <xf numFmtId="59" fontId="0" borderId="25" applyNumberFormat="1" applyFont="1" applyFill="0" applyBorder="1" applyAlignment="1" applyProtection="0">
      <alignment vertical="top" wrapText="1"/>
    </xf>
    <xf numFmtId="59" fontId="0" borderId="26" applyNumberFormat="1" applyFont="1" applyFill="0" applyBorder="1" applyAlignment="1" applyProtection="0">
      <alignment vertical="top" wrapText="1"/>
    </xf>
    <xf numFmtId="59" fontId="0" borderId="27" applyNumberFormat="1" applyFont="1" applyFill="0" applyBorder="1" applyAlignment="1" applyProtection="0">
      <alignment vertical="top" wrapText="1"/>
    </xf>
    <xf numFmtId="2" fontId="0" fillId="9" borderId="28" applyNumberFormat="1" applyFont="1" applyFill="1" applyBorder="1" applyAlignment="1" applyProtection="0">
      <alignment vertical="top" wrapText="1"/>
    </xf>
    <xf numFmtId="59" fontId="0" fillId="9" borderId="29" applyNumberFormat="1" applyFont="1" applyFill="1" applyBorder="1" applyAlignment="1" applyProtection="0">
      <alignment vertical="top" wrapText="1"/>
    </xf>
    <xf numFmtId="2" fontId="0" fillId="9" borderId="29" applyNumberFormat="1" applyFont="1" applyFill="1" applyBorder="1" applyAlignment="1" applyProtection="0">
      <alignment vertical="top" wrapText="1"/>
    </xf>
    <xf numFmtId="59" fontId="0" fillId="9" borderId="30" applyNumberFormat="1" applyFont="1" applyFill="1" applyBorder="1" applyAlignment="1" applyProtection="0">
      <alignment vertical="top" wrapText="1"/>
    </xf>
    <xf numFmtId="59" fontId="0" fillId="9" borderId="31" applyNumberFormat="1" applyFont="1" applyFill="1" applyBorder="1" applyAlignment="1" applyProtection="0">
      <alignment vertical="top" wrapText="1"/>
    </xf>
    <xf numFmtId="59" fontId="0" fillId="9" borderId="32"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5" applyNumberFormat="1" applyFont="1" applyFill="1" applyBorder="1" applyAlignment="1" applyProtection="0">
      <alignment vertical="top" wrapText="1"/>
    </xf>
    <xf numFmtId="0" fontId="0" borderId="6" applyNumberFormat="0"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5" borderId="4" applyNumberFormat="1" applyFont="1" applyFill="1" applyBorder="1" applyAlignment="1" applyProtection="0">
      <alignment vertical="top" wrapText="1"/>
    </xf>
    <xf numFmtId="60" fontId="0" borderId="2" applyNumberFormat="1" applyFont="1" applyFill="0" applyBorder="1" applyAlignment="1" applyProtection="0">
      <alignment vertical="top" wrapText="1"/>
    </xf>
    <xf numFmtId="60" fontId="0" borderId="3"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4" fillId="5" borderId="7" applyNumberFormat="1" applyFont="1" applyFill="1" applyBorder="1" applyAlignment="1" applyProtection="0">
      <alignment vertical="top" wrapText="1"/>
    </xf>
    <xf numFmtId="60" fontId="0" borderId="5"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4" fillId="5" borderId="7" applyNumberFormat="0" applyFont="1" applyFill="1" applyBorder="1" applyAlignment="1" applyProtection="0">
      <alignment vertical="top" wrapText="1"/>
    </xf>
    <xf numFmtId="61" fontId="0" borderId="7" applyNumberFormat="1" applyFont="1" applyFill="0" applyBorder="1" applyAlignment="1" applyProtection="0">
      <alignment vertical="top" wrapText="1"/>
    </xf>
    <xf numFmtId="60" fontId="4"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borderId="3"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1" fontId="0" borderId="4"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9" fillId="6" borderId="1" applyNumberFormat="1" applyFont="1" applyFill="1" applyBorder="1" applyAlignment="1" applyProtection="0">
      <alignment vertical="bottom"/>
    </xf>
    <xf numFmtId="49" fontId="10" fillId="4" borderId="1" applyNumberFormat="1" applyFont="1" applyFill="1" applyBorder="1" applyAlignment="1" applyProtection="0">
      <alignment vertical="top" wrapText="1"/>
    </xf>
    <xf numFmtId="49" fontId="10" fillId="4" borderId="2" applyNumberFormat="1" applyFont="1" applyFill="1" applyBorder="1" applyAlignment="1" applyProtection="0">
      <alignment vertical="top" wrapText="1"/>
    </xf>
    <xf numFmtId="0" fontId="0" fillId="6" borderId="3" applyNumberFormat="1" applyFont="1" applyFill="1" applyBorder="1" applyAlignment="1" applyProtection="0">
      <alignment vertical="bottom"/>
    </xf>
    <xf numFmtId="0" fontId="0" fillId="6" borderId="4" applyNumberFormat="1" applyFont="1" applyFill="1" applyBorder="1" applyAlignment="1" applyProtection="0">
      <alignment vertical="bottom"/>
    </xf>
    <xf numFmtId="49" fontId="10" fillId="4" borderId="5" applyNumberFormat="1" applyFont="1" applyFill="1" applyBorder="1" applyAlignment="1" applyProtection="0">
      <alignment vertical="top" wrapText="1"/>
    </xf>
    <xf numFmtId="0" fontId="0" fillId="6" borderId="6" applyNumberFormat="1" applyFont="1" applyFill="1" applyBorder="1" applyAlignment="1" applyProtection="0">
      <alignment vertical="bottom"/>
    </xf>
    <xf numFmtId="0" fontId="0" fillId="6" borderId="7" applyNumberFormat="1" applyFont="1" applyFill="1" applyBorder="1" applyAlignment="1" applyProtection="0">
      <alignment vertical="bottom"/>
    </xf>
    <xf numFmtId="62" fontId="0" fillId="6" borderId="6" applyNumberFormat="1" applyFont="1" applyFill="1" applyBorder="1" applyAlignment="1" applyProtection="0">
      <alignment vertical="bottom"/>
    </xf>
    <xf numFmtId="62" fontId="0" fillId="6" borderId="7" applyNumberFormat="1" applyFont="1" applyFill="1" applyBorder="1" applyAlignment="1" applyProtection="0">
      <alignment vertical="bottom"/>
    </xf>
    <xf numFmtId="0" fontId="0" applyNumberFormat="1" applyFont="1" applyFill="0" applyBorder="0" applyAlignment="1" applyProtection="0">
      <alignment vertical="top" wrapText="1"/>
    </xf>
    <xf numFmtId="63" fontId="0" borderId="7" applyNumberFormat="1" applyFont="1" applyFill="0" applyBorder="1" applyAlignment="1" applyProtection="0">
      <alignment vertical="top" wrapText="1"/>
    </xf>
    <xf numFmtId="2" fontId="0" fillId="10" borderId="7" applyNumberFormat="1" applyFont="1" applyFill="1" applyBorder="1" applyAlignment="1" applyProtection="0">
      <alignment vertical="top" wrapText="1"/>
    </xf>
    <xf numFmtId="63" fontId="4" fillId="10" borderId="7" applyNumberFormat="1" applyFont="1" applyFill="1" applyBorder="1" applyAlignment="1" applyProtection="0">
      <alignment vertical="top" wrapText="1"/>
    </xf>
    <xf numFmtId="60" fontId="0" fillId="10"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2" applyNumberFormat="0" applyFont="1" applyFill="1" applyBorder="1" applyAlignment="1" applyProtection="0">
      <alignment vertical="top" wrapText="1"/>
    </xf>
    <xf numFmtId="64" fontId="0" borderId="4" applyNumberFormat="1" applyFont="1" applyFill="0" applyBorder="1" applyAlignment="1" applyProtection="0">
      <alignment vertical="top" wrapText="1"/>
    </xf>
    <xf numFmtId="0" fontId="4" fillId="5" borderId="7" applyNumberFormat="1" applyFont="1" applyFill="1" applyBorder="1" applyAlignment="1" applyProtection="0">
      <alignment vertical="top" wrapText="1"/>
    </xf>
    <xf numFmtId="6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borderId="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rgbColor rgb="ffbfbfbf"/>
      <rgbColor rgb="ff7f7f7f"/>
      <rgbColor rgb="ffececec"/>
      <rgbColor rgb="ffb8b8b8"/>
      <rgbColor rgb="ff51a7f9"/>
      <rgbColor rgb="fffdfcc3"/>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Verbrauch in Abhängigkeit von der Temperatur und Geschwindigkeit in kWh/100km</a:t>
            </a:r>
          </a:p>
        </c:rich>
      </c:tx>
      <c:layout>
        <c:manualLayout>
          <c:xMode val="edge"/>
          <c:yMode val="edge"/>
          <c:x val="0.13735"/>
          <c:y val="0"/>
          <c:w val="0.725301"/>
          <c:h val="0.0456422"/>
        </c:manualLayout>
      </c:layout>
      <c:overlay val="1"/>
      <c:spPr>
        <a:noFill/>
        <a:effectLst/>
      </c:spPr>
    </c:title>
    <c:autoTitleDeleted val="1"/>
    <c:plotArea>
      <c:layout>
        <c:manualLayout>
          <c:layoutTarget val="inner"/>
          <c:xMode val="edge"/>
          <c:yMode val="edge"/>
          <c:x val="0.0815268"/>
          <c:y val="0.0456422"/>
          <c:w val="0.903899"/>
          <c:h val="0.881294"/>
        </c:manualLayout>
      </c:layout>
      <c:lineChart>
        <c:grouping val="standard"/>
        <c:varyColors val="0"/>
        <c:ser>
          <c:idx val="0"/>
          <c:order val="0"/>
          <c:tx>
            <c:v>-10</c:v>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in'!$P$5:$P$34</c:f>
              <c:numCache>
                <c:ptCount val="30"/>
                <c:pt idx="0">
                  <c:v>23.786865</c:v>
                </c:pt>
                <c:pt idx="1">
                  <c:v>13.347966</c:v>
                </c:pt>
                <c:pt idx="2">
                  <c:v>9.973235</c:v>
                </c:pt>
                <c:pt idx="3">
                  <c:v>8.410046</c:v>
                </c:pt>
                <c:pt idx="4">
                  <c:v>7.605916</c:v>
                </c:pt>
                <c:pt idx="5">
                  <c:v>7.208492</c:v>
                </c:pt>
                <c:pt idx="6">
                  <c:v>7.065546</c:v>
                </c:pt>
                <c:pt idx="7">
                  <c:v>7.099964</c:v>
                </c:pt>
                <c:pt idx="8">
                  <c:v>7.268075</c:v>
                </c:pt>
                <c:pt idx="9">
                  <c:v>7.542974</c:v>
                </c:pt>
                <c:pt idx="10">
                  <c:v>7.906943</c:v>
                </c:pt>
                <c:pt idx="11">
                  <c:v>8.347654</c:v>
                </c:pt>
                <c:pt idx="12">
                  <c:v>8.856129</c:v>
                </c:pt>
                <c:pt idx="13">
                  <c:v>9.521826</c:v>
                </c:pt>
                <c:pt idx="14">
                  <c:v>10.260765</c:v>
                </c:pt>
                <c:pt idx="15">
                  <c:v>11.070063</c:v>
                </c:pt>
                <c:pt idx="16">
                  <c:v>11.947512</c:v>
                </c:pt>
                <c:pt idx="17">
                  <c:v>12.891397</c:v>
                </c:pt>
                <c:pt idx="18">
                  <c:v>13.900365</c:v>
                </c:pt>
                <c:pt idx="19">
                  <c:v>14.973331</c:v>
                </c:pt>
                <c:pt idx="20">
                  <c:v>16.109417</c:v>
                </c:pt>
                <c:pt idx="21">
                  <c:v>17.307907</c:v>
                </c:pt>
                <c:pt idx="22">
                  <c:v>18.568208</c:v>
                </c:pt>
                <c:pt idx="23">
                  <c:v>19.889825</c:v>
                </c:pt>
                <c:pt idx="24">
                  <c:v>21.272343</c:v>
                </c:pt>
                <c:pt idx="25">
                  <c:v>22.715411</c:v>
                </c:pt>
                <c:pt idx="26">
                  <c:v>24.218731</c:v>
                </c:pt>
                <c:pt idx="27">
                  <c:v>25.782045</c:v>
                </c:pt>
                <c:pt idx="28">
                  <c:v>27.405133</c:v>
                </c:pt>
                <c:pt idx="29">
                  <c:v>29.087802</c:v>
                </c:pt>
              </c:numCache>
            </c:numRef>
          </c:val>
          <c:smooth val="1"/>
        </c:ser>
        <c:ser>
          <c:idx val="1"/>
          <c:order val="1"/>
          <c:tx>
            <c:v>- 5</c:v>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in'!$Q$5:$Q$34</c:f>
              <c:numCache>
                <c:ptCount val="30"/>
                <c:pt idx="0">
                  <c:v>19.937497</c:v>
                </c:pt>
                <c:pt idx="1">
                  <c:v>11.494620</c:v>
                </c:pt>
                <c:pt idx="2">
                  <c:v>8.781460</c:v>
                </c:pt>
                <c:pt idx="3">
                  <c:v>7.545436</c:v>
                </c:pt>
                <c:pt idx="4">
                  <c:v>6.934109</c:v>
                </c:pt>
                <c:pt idx="5">
                  <c:v>6.661835</c:v>
                </c:pt>
                <c:pt idx="6">
                  <c:v>6.604994</c:v>
                </c:pt>
                <c:pt idx="7">
                  <c:v>6.700797</c:v>
                </c:pt>
                <c:pt idx="8">
                  <c:v>6.913541</c:v>
                </c:pt>
                <c:pt idx="9">
                  <c:v>7.221119</c:v>
                </c:pt>
                <c:pt idx="10">
                  <c:v>7.608874</c:v>
                </c:pt>
                <c:pt idx="11">
                  <c:v>8.066528</c:v>
                </c:pt>
                <c:pt idx="12">
                  <c:v>8.586530</c:v>
                </c:pt>
                <c:pt idx="13">
                  <c:v>9.259647</c:v>
                </c:pt>
                <c:pt idx="14">
                  <c:v>10.001997</c:v>
                </c:pt>
                <c:pt idx="15">
                  <c:v>10.811246</c:v>
                </c:pt>
                <c:pt idx="16">
                  <c:v>11.685607</c:v>
                </c:pt>
                <c:pt idx="17">
                  <c:v>12.623693</c:v>
                </c:pt>
                <c:pt idx="18">
                  <c:v>13.624406</c:v>
                </c:pt>
                <c:pt idx="19">
                  <c:v>14.686869</c:v>
                </c:pt>
                <c:pt idx="20">
                  <c:v>15.810373</c:v>
                </c:pt>
                <c:pt idx="21">
                  <c:v>16.994335</c:v>
                </c:pt>
                <c:pt idx="22">
                  <c:v>18.238277</c:v>
                </c:pt>
                <c:pt idx="23">
                  <c:v>19.541798</c:v>
                </c:pt>
                <c:pt idx="24">
                  <c:v>20.904563</c:v>
                </c:pt>
                <c:pt idx="25">
                  <c:v>22.326286</c:v>
                </c:pt>
                <c:pt idx="26">
                  <c:v>23.806726</c:v>
                </c:pt>
                <c:pt idx="27">
                  <c:v>25.345675</c:v>
                </c:pt>
                <c:pt idx="28">
                  <c:v>26.942955</c:v>
                </c:pt>
                <c:pt idx="29">
                  <c:v>28.598410</c:v>
                </c:pt>
              </c:numCache>
            </c:numRef>
          </c:val>
          <c:smooth val="1"/>
        </c:ser>
        <c:ser>
          <c:idx val="2"/>
          <c:order val="2"/>
          <c:tx>
            <c:v>0</c:v>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in'!$R$5:$R$34</c:f>
              <c:numCache>
                <c:ptCount val="30"/>
                <c:pt idx="0">
                  <c:v>14.088148</c:v>
                </c:pt>
                <c:pt idx="1">
                  <c:v>8.641344</c:v>
                </c:pt>
                <c:pt idx="2">
                  <c:v>6.923172</c:v>
                </c:pt>
                <c:pt idx="3">
                  <c:v>6.181097</c:v>
                </c:pt>
                <c:pt idx="4">
                  <c:v>5.862721</c:v>
                </c:pt>
                <c:pt idx="5">
                  <c:v>5.782438</c:v>
                </c:pt>
                <c:pt idx="6">
                  <c:v>5.859526</c:v>
                </c:pt>
                <c:pt idx="7">
                  <c:v>6.052657</c:v>
                </c:pt>
                <c:pt idx="8">
                  <c:v>6.338071</c:v>
                </c:pt>
                <c:pt idx="9">
                  <c:v>6.700831</c:v>
                </c:pt>
                <c:pt idx="10">
                  <c:v>7.130859</c:v>
                </c:pt>
                <c:pt idx="11">
                  <c:v>7.620936</c:v>
                </c:pt>
                <c:pt idx="12">
                  <c:v>8.165636</c:v>
                </c:pt>
                <c:pt idx="13">
                  <c:v>8.857569</c:v>
                </c:pt>
                <c:pt idx="14">
                  <c:v>9.613292</c:v>
                </c:pt>
                <c:pt idx="15">
                  <c:v>10.431294</c:v>
                </c:pt>
                <c:pt idx="16">
                  <c:v>11.310419</c:v>
                </c:pt>
                <c:pt idx="17">
                  <c:v>12.249769</c:v>
                </c:pt>
                <c:pt idx="18">
                  <c:v>13.248634</c:v>
                </c:pt>
                <c:pt idx="19">
                  <c:v>14.306447</c:v>
                </c:pt>
                <c:pt idx="20">
                  <c:v>15.422748</c:v>
                </c:pt>
                <c:pt idx="21">
                  <c:v>16.597162</c:v>
                </c:pt>
                <c:pt idx="22">
                  <c:v>17.829377</c:v>
                </c:pt>
                <c:pt idx="23">
                  <c:v>19.119135</c:v>
                </c:pt>
                <c:pt idx="24">
                  <c:v>20.466218</c:v>
                </c:pt>
                <c:pt idx="25">
                  <c:v>21.870443</c:v>
                </c:pt>
                <c:pt idx="26">
                  <c:v>23.331653</c:v>
                </c:pt>
                <c:pt idx="27">
                  <c:v>24.849714</c:v>
                </c:pt>
                <c:pt idx="28">
                  <c:v>26.424509</c:v>
                </c:pt>
                <c:pt idx="29">
                  <c:v>28.055938</c:v>
                </c:pt>
              </c:numCache>
            </c:numRef>
          </c:val>
          <c:smooth val="1"/>
        </c:ser>
        <c:ser>
          <c:idx val="3"/>
          <c:order val="3"/>
          <c:tx>
            <c:v>5</c:v>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in'!$S$5:$S$34</c:f>
              <c:numCache>
                <c:ptCount val="30"/>
                <c:pt idx="0">
                  <c:v>10.238831</c:v>
                </c:pt>
                <c:pt idx="1">
                  <c:v>6.788197</c:v>
                </c:pt>
                <c:pt idx="2">
                  <c:v>5.731838</c:v>
                </c:pt>
                <c:pt idx="3">
                  <c:v>5.317262</c:v>
                </c:pt>
                <c:pt idx="4">
                  <c:v>5.192108</c:v>
                </c:pt>
                <c:pt idx="5">
                  <c:v>5.237478</c:v>
                </c:pt>
                <c:pt idx="6">
                  <c:v>5.401254</c:v>
                </c:pt>
                <c:pt idx="7">
                  <c:v>5.656429</c:v>
                </c:pt>
                <c:pt idx="8">
                  <c:v>5.987209</c:v>
                </c:pt>
                <c:pt idx="9">
                  <c:v>6.383453</c:v>
                </c:pt>
                <c:pt idx="10">
                  <c:v>6.838139</c:v>
                </c:pt>
                <c:pt idx="11">
                  <c:v>7.346098</c:v>
                </c:pt>
                <c:pt idx="12">
                  <c:v>7.903327</c:v>
                </c:pt>
                <c:pt idx="13">
                  <c:v>8.603844</c:v>
                </c:pt>
                <c:pt idx="14">
                  <c:v>9.364229</c:v>
                </c:pt>
                <c:pt idx="15">
                  <c:v>10.183519</c:v>
                </c:pt>
                <c:pt idx="16">
                  <c:v>11.060981</c:v>
                </c:pt>
                <c:pt idx="17">
                  <c:v>11.996040</c:v>
                </c:pt>
                <c:pt idx="18">
                  <c:v>12.988247</c:v>
                </c:pt>
                <c:pt idx="19">
                  <c:v>14.037240</c:v>
                </c:pt>
                <c:pt idx="20">
                  <c:v>15.142727</c:v>
                </c:pt>
                <c:pt idx="21">
                  <c:v>16.304467</c:v>
                </c:pt>
                <c:pt idx="22">
                  <c:v>17.522265</c:v>
                </c:pt>
                <c:pt idx="23">
                  <c:v>18.795955</c:v>
                </c:pt>
                <c:pt idx="24">
                  <c:v>20.125398</c:v>
                </c:pt>
                <c:pt idx="25">
                  <c:v>21.510477</c:v>
                </c:pt>
                <c:pt idx="26">
                  <c:v>22.951094</c:v>
                </c:pt>
                <c:pt idx="27">
                  <c:v>24.447162</c:v>
                </c:pt>
                <c:pt idx="28">
                  <c:v>25.998608</c:v>
                </c:pt>
                <c:pt idx="29">
                  <c:v>27.605368</c:v>
                </c:pt>
              </c:numCache>
            </c:numRef>
          </c:val>
          <c:smooth val="1"/>
        </c:ser>
        <c:ser>
          <c:idx val="4"/>
          <c:order val="4"/>
          <c:tx>
            <c:v>10</c:v>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in'!$T$5:$T$34</c:f>
              <c:numCache>
                <c:ptCount val="30"/>
                <c:pt idx="0">
                  <c:v>8.389529</c:v>
                </c:pt>
                <c:pt idx="1">
                  <c:v>5.935110</c:v>
                </c:pt>
                <c:pt idx="2">
                  <c:v>5.207304</c:v>
                </c:pt>
                <c:pt idx="3">
                  <c:v>4.953659</c:v>
                </c:pt>
                <c:pt idx="4">
                  <c:v>4.921855</c:v>
                </c:pt>
                <c:pt idx="5">
                  <c:v>5.026360</c:v>
                </c:pt>
                <c:pt idx="6">
                  <c:v>5.229380</c:v>
                </c:pt>
                <c:pt idx="7">
                  <c:v>5.511082</c:v>
                </c:pt>
                <c:pt idx="8">
                  <c:v>5.859671</c:v>
                </c:pt>
                <c:pt idx="9">
                  <c:v>6.267418</c:v>
                </c:pt>
                <c:pt idx="10">
                  <c:v>6.728842</c:v>
                </c:pt>
                <c:pt idx="11">
                  <c:v>7.239812</c:v>
                </c:pt>
                <c:pt idx="12">
                  <c:v>7.797051</c:v>
                </c:pt>
                <c:pt idx="13">
                  <c:v>8.495513</c:v>
                </c:pt>
                <c:pt idx="14">
                  <c:v>9.251411</c:v>
                </c:pt>
                <c:pt idx="15">
                  <c:v>10.064058</c:v>
                </c:pt>
                <c:pt idx="16">
                  <c:v>10.932929</c:v>
                </c:pt>
                <c:pt idx="17">
                  <c:v>11.857616</c:v>
                </c:pt>
                <c:pt idx="18">
                  <c:v>12.837795</c:v>
                </c:pt>
                <c:pt idx="19">
                  <c:v>13.873210</c:v>
                </c:pt>
                <c:pt idx="20">
                  <c:v>14.963650</c:v>
                </c:pt>
                <c:pt idx="21">
                  <c:v>16.108946</c:v>
                </c:pt>
                <c:pt idx="22">
                  <c:v>17.308955</c:v>
                </c:pt>
                <c:pt idx="23">
                  <c:v>18.563561</c:v>
                </c:pt>
                <c:pt idx="24">
                  <c:v>19.872665</c:v>
                </c:pt>
                <c:pt idx="25">
                  <c:v>21.236183</c:v>
                </c:pt>
                <c:pt idx="26">
                  <c:v>22.654043</c:v>
                </c:pt>
                <c:pt idx="27">
                  <c:v>24.126185</c:v>
                </c:pt>
                <c:pt idx="28">
                  <c:v>25.652556</c:v>
                </c:pt>
                <c:pt idx="29">
                  <c:v>27.233111</c:v>
                </c:pt>
              </c:numCache>
            </c:numRef>
          </c:val>
          <c:smooth val="1"/>
        </c:ser>
        <c:ser>
          <c:idx val="5"/>
          <c:order val="5"/>
          <c:tx>
            <c:v>15</c:v>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in'!$U$5:$U$34</c:f>
              <c:numCache>
                <c:ptCount val="30"/>
                <c:pt idx="0">
                  <c:v>4.540247</c:v>
                </c:pt>
                <c:pt idx="1">
                  <c:v>4.082102</c:v>
                </c:pt>
                <c:pt idx="2">
                  <c:v>4.016279</c:v>
                </c:pt>
                <c:pt idx="3">
                  <c:v>4.090366</c:v>
                </c:pt>
                <c:pt idx="4">
                  <c:v>4.252078</c:v>
                </c:pt>
                <c:pt idx="5">
                  <c:v>4.482588</c:v>
                </c:pt>
                <c:pt idx="6">
                  <c:v>4.772704</c:v>
                </c:pt>
                <c:pt idx="7">
                  <c:v>5.116910</c:v>
                </c:pt>
                <c:pt idx="8">
                  <c:v>5.511380</c:v>
                </c:pt>
                <c:pt idx="9">
                  <c:v>5.953173</c:v>
                </c:pt>
                <c:pt idx="10">
                  <c:v>6.439867</c:v>
                </c:pt>
                <c:pt idx="11">
                  <c:v>6.969376</c:v>
                </c:pt>
                <c:pt idx="12">
                  <c:v>7.539844</c:v>
                </c:pt>
                <c:pt idx="13">
                  <c:v>8.247706</c:v>
                </c:pt>
                <c:pt idx="14">
                  <c:v>9.009142</c:v>
                </c:pt>
                <c:pt idx="15">
                  <c:v>9.824014</c:v>
                </c:pt>
                <c:pt idx="16">
                  <c:v>10.692217</c:v>
                </c:pt>
                <c:pt idx="17">
                  <c:v>11.613670</c:v>
                </c:pt>
                <c:pt idx="18">
                  <c:v>12.588309</c:v>
                </c:pt>
                <c:pt idx="19">
                  <c:v>13.616081</c:v>
                </c:pt>
                <c:pt idx="20">
                  <c:v>14.696944</c:v>
                </c:pt>
                <c:pt idx="21">
                  <c:v>15.830866</c:v>
                </c:pt>
                <c:pt idx="22">
                  <c:v>17.017817</c:v>
                </c:pt>
                <c:pt idx="23">
                  <c:v>18.257774</c:v>
                </c:pt>
                <c:pt idx="24">
                  <c:v>19.550717</c:v>
                </c:pt>
                <c:pt idx="25">
                  <c:v>20.896629</c:v>
                </c:pt>
                <c:pt idx="26">
                  <c:v>22.295496</c:v>
                </c:pt>
                <c:pt idx="27">
                  <c:v>23.747307</c:v>
                </c:pt>
                <c:pt idx="28">
                  <c:v>25.252050</c:v>
                </c:pt>
                <c:pt idx="29">
                  <c:v>26.809716</c:v>
                </c:pt>
              </c:numCache>
            </c:numRef>
          </c:val>
          <c:smooth val="1"/>
        </c:ser>
        <c:ser>
          <c:idx val="6"/>
          <c:order val="6"/>
          <c:tx>
            <c:v>20</c:v>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in'!$V$5:$V$34</c:f>
              <c:numCache>
                <c:ptCount val="30"/>
                <c:pt idx="0">
                  <c:v>4.690983</c:v>
                </c:pt>
                <c:pt idx="1">
                  <c:v>4.229164</c:v>
                </c:pt>
                <c:pt idx="2">
                  <c:v>4.158743</c:v>
                </c:pt>
                <c:pt idx="3">
                  <c:v>4.227344</c:v>
                </c:pt>
                <c:pt idx="4">
                  <c:v>4.382720</c:v>
                </c:pt>
                <c:pt idx="5">
                  <c:v>4.606077</c:v>
                </c:pt>
                <c:pt idx="6">
                  <c:v>4.888254</c:v>
                </c:pt>
                <c:pt idx="7">
                  <c:v>5.223768</c:v>
                </c:pt>
                <c:pt idx="8">
                  <c:v>5.608819</c:v>
                </c:pt>
                <c:pt idx="9">
                  <c:v>6.040495</c:v>
                </c:pt>
                <c:pt idx="10">
                  <c:v>6.516400</c:v>
                </c:pt>
                <c:pt idx="11">
                  <c:v>7.034473</c:v>
                </c:pt>
                <c:pt idx="12">
                  <c:v>7.592882</c:v>
                </c:pt>
                <c:pt idx="13">
                  <c:v>8.288573</c:v>
                </c:pt>
                <c:pt idx="14">
                  <c:v>9.036936</c:v>
                </c:pt>
                <c:pt idx="15">
                  <c:v>9.837834</c:v>
                </c:pt>
                <c:pt idx="16">
                  <c:v>10.691162</c:v>
                </c:pt>
                <c:pt idx="17">
                  <c:v>11.596839</c:v>
                </c:pt>
                <c:pt idx="18">
                  <c:v>12.554799</c:v>
                </c:pt>
                <c:pt idx="19">
                  <c:v>13.564991</c:v>
                </c:pt>
                <c:pt idx="20">
                  <c:v>14.627373</c:v>
                </c:pt>
                <c:pt idx="21">
                  <c:v>15.741911</c:v>
                </c:pt>
                <c:pt idx="22">
                  <c:v>16.908578</c:v>
                </c:pt>
                <c:pt idx="23">
                  <c:v>18.127349</c:v>
                </c:pt>
                <c:pt idx="24">
                  <c:v>19.398204</c:v>
                </c:pt>
                <c:pt idx="25">
                  <c:v>20.721127</c:v>
                </c:pt>
                <c:pt idx="26">
                  <c:v>22.096104</c:v>
                </c:pt>
                <c:pt idx="27">
                  <c:v>23.523122</c:v>
                </c:pt>
                <c:pt idx="28">
                  <c:v>25.002171</c:v>
                </c:pt>
                <c:pt idx="29">
                  <c:v>26.533242</c:v>
                </c:pt>
              </c:numCache>
            </c:numRef>
          </c:val>
          <c:smooth val="1"/>
        </c:ser>
        <c:ser>
          <c:idx val="7"/>
          <c:order val="7"/>
          <c:tx>
            <c:v>25</c:v>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in'!$W$5:$W$34</c:f>
              <c:numCache>
                <c:ptCount val="30"/>
                <c:pt idx="0">
                  <c:v>6.841737</c:v>
                </c:pt>
                <c:pt idx="1">
                  <c:v>5.376296</c:v>
                </c:pt>
                <c:pt idx="2">
                  <c:v>4.968028</c:v>
                </c:pt>
                <c:pt idx="3">
                  <c:v>4.864594</c:v>
                </c:pt>
                <c:pt idx="4">
                  <c:v>4.913780</c:v>
                </c:pt>
                <c:pt idx="5">
                  <c:v>5.063493</c:v>
                </c:pt>
                <c:pt idx="6">
                  <c:v>5.290316</c:v>
                </c:pt>
                <c:pt idx="7">
                  <c:v>5.581654</c:v>
                </c:pt>
                <c:pt idx="8">
                  <c:v>5.929766</c:v>
                </c:pt>
                <c:pt idx="9">
                  <c:v>6.329384</c:v>
                </c:pt>
                <c:pt idx="10">
                  <c:v>6.776624</c:v>
                </c:pt>
                <c:pt idx="11">
                  <c:v>7.268438</c:v>
                </c:pt>
                <c:pt idx="12">
                  <c:v>7.802317</c:v>
                </c:pt>
                <c:pt idx="13">
                  <c:v>8.475256</c:v>
                </c:pt>
                <c:pt idx="14">
                  <c:v>9.201461</c:v>
                </c:pt>
                <c:pt idx="15">
                  <c:v>9.980520</c:v>
                </c:pt>
                <c:pt idx="16">
                  <c:v>10.812118</c:v>
                </c:pt>
                <c:pt idx="17">
                  <c:v>11.696010</c:v>
                </c:pt>
                <c:pt idx="18">
                  <c:v>12.632002</c:v>
                </c:pt>
                <c:pt idx="19">
                  <c:v>13.619940</c:v>
                </c:pt>
                <c:pt idx="20">
                  <c:v>14.659698</c:v>
                </c:pt>
                <c:pt idx="21">
                  <c:v>15.751173</c:v>
                </c:pt>
                <c:pt idx="22">
                  <c:v>16.894282</c:v>
                </c:pt>
                <c:pt idx="23">
                  <c:v>18.088953</c:v>
                </c:pt>
                <c:pt idx="24">
                  <c:v>19.335127</c:v>
                </c:pt>
                <c:pt idx="25">
                  <c:v>20.632754</c:v>
                </c:pt>
                <c:pt idx="26">
                  <c:v>21.981791</c:v>
                </c:pt>
                <c:pt idx="27">
                  <c:v>23.382202</c:v>
                </c:pt>
                <c:pt idx="28">
                  <c:v>24.833955</c:v>
                </c:pt>
                <c:pt idx="29">
                  <c:v>26.337023</c:v>
                </c:pt>
              </c:numCache>
            </c:numRef>
          </c:val>
          <c:smooth val="1"/>
        </c:ser>
        <c:ser>
          <c:idx val="8"/>
          <c:order val="8"/>
          <c:tx>
            <c:v>30</c:v>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in'!$X$5:$X$34</c:f>
              <c:numCache>
                <c:ptCount val="30"/>
                <c:pt idx="0">
                  <c:v>12.992508</c:v>
                </c:pt>
                <c:pt idx="1">
                  <c:v>8.523497</c:v>
                </c:pt>
                <c:pt idx="2">
                  <c:v>7.110801</c:v>
                </c:pt>
                <c:pt idx="3">
                  <c:v>6.502114</c:v>
                </c:pt>
                <c:pt idx="4">
                  <c:v>6.245259</c:v>
                </c:pt>
                <c:pt idx="5">
                  <c:v>6.188169</c:v>
                </c:pt>
                <c:pt idx="6">
                  <c:v>6.264605</c:v>
                </c:pt>
                <c:pt idx="7">
                  <c:v>6.440568</c:v>
                </c:pt>
                <c:pt idx="8">
                  <c:v>6.696442</c:v>
                </c:pt>
                <c:pt idx="9">
                  <c:v>7.019840</c:v>
                </c:pt>
                <c:pt idx="10">
                  <c:v>7.402357</c:v>
                </c:pt>
                <c:pt idx="11">
                  <c:v>7.837936</c:v>
                </c:pt>
                <c:pt idx="12">
                  <c:v>8.321996</c:v>
                </c:pt>
                <c:pt idx="13">
                  <c:v>8.950612</c:v>
                </c:pt>
                <c:pt idx="14">
                  <c:v>9.636049</c:v>
                </c:pt>
                <c:pt idx="15">
                  <c:v>10.377070</c:v>
                </c:pt>
                <c:pt idx="16">
                  <c:v>11.172731</c:v>
                </c:pt>
                <c:pt idx="17">
                  <c:v>12.022295</c:v>
                </c:pt>
                <c:pt idx="18">
                  <c:v>12.925182</c:v>
                </c:pt>
                <c:pt idx="19">
                  <c:v>13.880928</c:v>
                </c:pt>
                <c:pt idx="20">
                  <c:v>14.889157</c:v>
                </c:pt>
                <c:pt idx="21">
                  <c:v>15.949561</c:v>
                </c:pt>
                <c:pt idx="22">
                  <c:v>17.061886</c:v>
                </c:pt>
                <c:pt idx="23">
                  <c:v>18.225920</c:v>
                </c:pt>
                <c:pt idx="24">
                  <c:v>19.441486</c:v>
                </c:pt>
                <c:pt idx="25">
                  <c:v>20.708433</c:v>
                </c:pt>
                <c:pt idx="26">
                  <c:v>22.026633</c:v>
                </c:pt>
                <c:pt idx="27">
                  <c:v>23.395976</c:v>
                </c:pt>
                <c:pt idx="28">
                  <c:v>24.816367</c:v>
                </c:pt>
                <c:pt idx="29">
                  <c:v>26.287724</c:v>
                </c:pt>
              </c:numCache>
            </c:numRef>
          </c:val>
          <c:smooth val="1"/>
        </c:ser>
        <c:ser>
          <c:idx val="9"/>
          <c:order val="9"/>
          <c:tx>
            <c:v>35</c:v>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in'!$Y$5:$Y$34</c:f>
              <c:numCache>
                <c:ptCount val="30"/>
                <c:pt idx="0">
                  <c:v>25.143295</c:v>
                </c:pt>
                <c:pt idx="1">
                  <c:v>14.670759</c:v>
                </c:pt>
                <c:pt idx="2">
                  <c:v>11.253706</c:v>
                </c:pt>
                <c:pt idx="3">
                  <c:v>9.639867</c:v>
                </c:pt>
                <c:pt idx="4">
                  <c:v>8.777095</c:v>
                </c:pt>
                <c:pt idx="5">
                  <c:v>8.313355</c:v>
                </c:pt>
                <c:pt idx="6">
                  <c:v>8.096721</c:v>
                </c:pt>
                <c:pt idx="7">
                  <c:v>8.050365</c:v>
                </c:pt>
                <c:pt idx="8">
                  <c:v>8.130887</c:v>
                </c:pt>
                <c:pt idx="9">
                  <c:v>8.311639</c:v>
                </c:pt>
                <c:pt idx="10">
                  <c:v>8.575149</c:v>
                </c:pt>
                <c:pt idx="11">
                  <c:v>8.909322</c:v>
                </c:pt>
                <c:pt idx="12">
                  <c:v>9.305400</c:v>
                </c:pt>
                <c:pt idx="13">
                  <c:v>9.857076</c:v>
                </c:pt>
                <c:pt idx="14">
                  <c:v>10.473549</c:v>
                </c:pt>
                <c:pt idx="15">
                  <c:v>11.151934</c:v>
                </c:pt>
                <c:pt idx="16">
                  <c:v>11.890025</c:v>
                </c:pt>
                <c:pt idx="17">
                  <c:v>12.686106</c:v>
                </c:pt>
                <c:pt idx="18">
                  <c:v>13.538823</c:v>
                </c:pt>
                <c:pt idx="19">
                  <c:v>14.447092</c:v>
                </c:pt>
                <c:pt idx="20">
                  <c:v>15.410037</c:v>
                </c:pt>
                <c:pt idx="21">
                  <c:v>16.426938</c:v>
                </c:pt>
                <c:pt idx="22">
                  <c:v>17.497205</c:v>
                </c:pt>
                <c:pt idx="23">
                  <c:v>18.620341</c:v>
                </c:pt>
                <c:pt idx="24">
                  <c:v>19.795933</c:v>
                </c:pt>
                <c:pt idx="25">
                  <c:v>21.023630</c:v>
                </c:pt>
                <c:pt idx="26">
                  <c:v>22.303131</c:v>
                </c:pt>
                <c:pt idx="27">
                  <c:v>23.634181</c:v>
                </c:pt>
                <c:pt idx="28">
                  <c:v>25.016559</c:v>
                </c:pt>
                <c:pt idx="29">
                  <c:v>26.450072</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max val="40"/>
          <c:min val="1"/>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Verbrauch in kWh/100km</a:t>
                </a:r>
              </a:p>
            </c:rich>
          </c:tx>
          <c:layout/>
          <c:overlay val="1"/>
        </c:title>
        <c:numFmt formatCode="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0.975"/>
        <c:minorUnit val="0.4875"/>
      </c:valAx>
      <c:spPr>
        <a:noFill/>
        <a:ln w="12700" cap="flat">
          <a:noFill/>
          <a:miter lim="400000"/>
        </a:ln>
        <a:effectLst/>
      </c:spPr>
    </c:plotArea>
    <c:legend>
      <c:legendPos val="r"/>
      <c:layout>
        <c:manualLayout>
          <c:xMode val="edge"/>
          <c:yMode val="edge"/>
          <c:x val="0.397382"/>
          <c:y val="0.16031"/>
          <c:w val="0.0675779"/>
          <c:h val="0.23565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36454"/>
          <c:y val="0.0677045"/>
          <c:w val="0.931355"/>
          <c:h val="0.892179"/>
        </c:manualLayout>
      </c:layout>
      <c:lineChart>
        <c:grouping val="standard"/>
        <c:varyColors val="0"/>
        <c:ser>
          <c:idx val="0"/>
          <c:order val="0"/>
          <c:tx>
            <c:strRef>
              <c:f>'Old calculations'!$J$2</c:f>
              <c:strCache/>
            </c:strRef>
          </c:tx>
          <c:spPr>
            <a:solidFill>
              <a:srgbClr val="FFFFFF"/>
            </a:solidFill>
            <a:ln w="508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calculations'!$J$21:$J$50</c:f>
              <c:numCache>
                <c:ptCount val="30"/>
                <c:pt idx="0">
                  <c:v>37.289930</c:v>
                </c:pt>
                <c:pt idx="1">
                  <c:v>39.284509</c:v>
                </c:pt>
                <c:pt idx="2">
                  <c:v>41.420195</c:v>
                </c:pt>
                <c:pt idx="3">
                  <c:v>43.707121</c:v>
                </c:pt>
                <c:pt idx="4">
                  <c:v>46.155603</c:v>
                </c:pt>
                <c:pt idx="5">
                  <c:v>48.775896</c:v>
                </c:pt>
                <c:pt idx="6">
                  <c:v>51.577840</c:v>
                </c:pt>
                <c:pt idx="7">
                  <c:v>54.570360</c:v>
                </c:pt>
                <c:pt idx="8">
                  <c:v>57.760775</c:v>
                </c:pt>
                <c:pt idx="9">
                  <c:v>61.153861</c:v>
                </c:pt>
                <c:pt idx="10">
                  <c:v>64.750603</c:v>
                </c:pt>
                <c:pt idx="11">
                  <c:v>68.546543</c:v>
                </c:pt>
                <c:pt idx="12">
                  <c:v>72.529650</c:v>
                </c:pt>
                <c:pt idx="13">
                  <c:v>76.677606</c:v>
                </c:pt>
                <c:pt idx="14">
                  <c:v>80.954434</c:v>
                </c:pt>
                <c:pt idx="15">
                  <c:v>85.306393</c:v>
                </c:pt>
                <c:pt idx="16">
                  <c:v>89.657161</c:v>
                </c:pt>
                <c:pt idx="17">
                  <c:v>93.902379</c:v>
                </c:pt>
                <c:pt idx="18">
                  <c:v>97.903802</c:v>
                </c:pt>
                <c:pt idx="19">
                  <c:v>101.483441</c:v>
                </c:pt>
                <c:pt idx="20">
                  <c:v>104.418247</c:v>
                </c:pt>
                <c:pt idx="21">
                  <c:v>106.435894</c:v>
                </c:pt>
                <c:pt idx="22">
                  <c:v>107.211988</c:v>
                </c:pt>
                <c:pt idx="23">
                  <c:v>106.368132</c:v>
                </c:pt>
                <c:pt idx="24">
                  <c:v>103.468490</c:v>
                </c:pt>
                <c:pt idx="25">
                  <c:v>98.009014</c:v>
                </c:pt>
                <c:pt idx="26">
                  <c:v>89.387344</c:v>
                </c:pt>
                <c:pt idx="27">
                  <c:v>76.829594</c:v>
                </c:pt>
                <c:pt idx="28">
                  <c:v>59.224823</c:v>
                </c:pt>
                <c:pt idx="29">
                  <c:v>34.753217</c:v>
                </c:pt>
              </c:numCache>
            </c:numRef>
          </c:val>
          <c:smooth val="1"/>
        </c:ser>
        <c:ser>
          <c:idx val="1"/>
          <c:order val="1"/>
          <c:tx>
            <c:strRef>
              <c:f>'Old calculations'!$K$2</c:f>
              <c:strCache/>
            </c:strRef>
          </c:tx>
          <c:spPr>
            <a:solidFill>
              <a:srgbClr val="FFFFFF"/>
            </a:solidFill>
            <a:ln w="508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calculations'!$K$21:$K$50</c:f>
              <c:numCache>
                <c:ptCount val="30"/>
                <c:pt idx="0">
                  <c:v>45.646353</c:v>
                </c:pt>
                <c:pt idx="1">
                  <c:v>48.098488</c:v>
                </c:pt>
                <c:pt idx="2">
                  <c:v>50.726236</c:v>
                </c:pt>
                <c:pt idx="3">
                  <c:v>53.542713</c:v>
                </c:pt>
                <c:pt idx="4">
                  <c:v>56.561441</c:v>
                </c:pt>
                <c:pt idx="5">
                  <c:v>59.796092</c:v>
                </c:pt>
                <c:pt idx="6">
                  <c:v>63.260110</c:v>
                </c:pt>
                <c:pt idx="7">
                  <c:v>66.966166</c:v>
                </c:pt>
                <c:pt idx="8">
                  <c:v>70.925399</c:v>
                </c:pt>
                <c:pt idx="9">
                  <c:v>75.146367</c:v>
                </c:pt>
                <c:pt idx="10">
                  <c:v>79.633635</c:v>
                </c:pt>
                <c:pt idx="11">
                  <c:v>84.385883</c:v>
                </c:pt>
                <c:pt idx="12">
                  <c:v>89.393436</c:v>
                </c:pt>
                <c:pt idx="13">
                  <c:v>94.635082</c:v>
                </c:pt>
                <c:pt idx="14">
                  <c:v>100.074043</c:v>
                </c:pt>
                <c:pt idx="15">
                  <c:v>105.652996</c:v>
                </c:pt>
                <c:pt idx="16">
                  <c:v>111.288083</c:v>
                </c:pt>
                <c:pt idx="17">
                  <c:v>116.861937</c:v>
                </c:pt>
                <c:pt idx="18">
                  <c:v>122.215866</c:v>
                </c:pt>
                <c:pt idx="19">
                  <c:v>127.141551</c:v>
                </c:pt>
                <c:pt idx="20">
                  <c:v>131.372705</c:v>
                </c:pt>
                <c:pt idx="21">
                  <c:v>134.577205</c:v>
                </c:pt>
                <c:pt idx="22">
                  <c:v>136.349815</c:v>
                </c:pt>
                <c:pt idx="23">
                  <c:v>136.204527</c:v>
                </c:pt>
                <c:pt idx="24">
                  <c:v>133.562929</c:v>
                </c:pt>
                <c:pt idx="25">
                  <c:v>127.729818</c:v>
                </c:pt>
                <c:pt idx="26">
                  <c:v>117.836901</c:v>
                </c:pt>
                <c:pt idx="27">
                  <c:v>102.713653</c:v>
                </c:pt>
                <c:pt idx="28">
                  <c:v>80.592618</c:v>
                </c:pt>
                <c:pt idx="29">
                  <c:v>48.412152</c:v>
                </c:pt>
              </c:numCache>
            </c:numRef>
          </c:val>
          <c:smooth val="1"/>
        </c:ser>
        <c:ser>
          <c:idx val="2"/>
          <c:order val="2"/>
          <c:tx>
            <c:strRef>
              <c:f>'Old calculations'!$L$2</c:f>
              <c:strCache/>
            </c:strRef>
          </c:tx>
          <c:spPr>
            <a:solidFill>
              <a:srgbClr val="FFFFFF"/>
            </a:solidFill>
            <a:ln w="508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calculations'!$L$21:$L$50</c:f>
              <c:numCache>
                <c:ptCount val="30"/>
                <c:pt idx="0">
                  <c:v>54.228683</c:v>
                </c:pt>
                <c:pt idx="1">
                  <c:v>57.146475</c:v>
                </c:pt>
                <c:pt idx="2">
                  <c:v>60.274481</c:v>
                </c:pt>
                <c:pt idx="3">
                  <c:v>63.628739</c:v>
                </c:pt>
                <c:pt idx="4">
                  <c:v>67.225891</c:v>
                </c:pt>
                <c:pt idx="5">
                  <c:v>71.082920</c:v>
                </c:pt>
                <c:pt idx="6">
                  <c:v>75.216744</c:v>
                </c:pt>
                <c:pt idx="7">
                  <c:v>79.643625</c:v>
                </c:pt>
                <c:pt idx="8">
                  <c:v>84.378338</c:v>
                </c:pt>
                <c:pt idx="9">
                  <c:v>89.433017</c:v>
                </c:pt>
                <c:pt idx="10">
                  <c:v>94.815571</c:v>
                </c:pt>
                <c:pt idx="11">
                  <c:v>100.527581</c:v>
                </c:pt>
                <c:pt idx="12">
                  <c:v>106.561503</c:v>
                </c:pt>
                <c:pt idx="13">
                  <c:v>112.897050</c:v>
                </c:pt>
                <c:pt idx="14">
                  <c:v>119.496576</c:v>
                </c:pt>
                <c:pt idx="15">
                  <c:v>126.299304</c:v>
                </c:pt>
                <c:pt idx="16">
                  <c:v>133.214297</c:v>
                </c:pt>
                <c:pt idx="17">
                  <c:v>140.112129</c:v>
                </c:pt>
                <c:pt idx="18">
                  <c:v>146.815340</c:v>
                </c:pt>
                <c:pt idx="19">
                  <c:v>153.087943</c:v>
                </c:pt>
                <c:pt idx="20">
                  <c:v>158.624341</c:v>
                </c:pt>
                <c:pt idx="21">
                  <c:v>163.038025</c:v>
                </c:pt>
                <c:pt idx="22">
                  <c:v>165.849892</c:v>
                </c:pt>
                <c:pt idx="23">
                  <c:v>166.474564</c:v>
                </c:pt>
                <c:pt idx="24">
                  <c:v>164.199645</c:v>
                </c:pt>
                <c:pt idx="25">
                  <c:v>158.145525</c:v>
                </c:pt>
                <c:pt idx="26">
                  <c:v>147.178005</c:v>
                </c:pt>
                <c:pt idx="27">
                  <c:v>129.711416</c:v>
                </c:pt>
                <c:pt idx="28">
                  <c:v>103.251757</c:v>
                </c:pt>
                <c:pt idx="29">
                  <c:v>63.265596</c:v>
                </c:pt>
              </c:numCache>
            </c:numRef>
          </c:val>
          <c:smooth val="1"/>
        </c:ser>
        <c:ser>
          <c:idx val="3"/>
          <c:order val="3"/>
          <c:tx>
            <c:strRef>
              <c:f>'Old calculations'!$M$2</c:f>
              <c:strCache/>
            </c:strRef>
          </c:tx>
          <c:spPr>
            <a:solidFill>
              <a:srgbClr val="FFFFFF"/>
            </a:solidFill>
            <a:ln w="508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calculations'!$M$21:$M$50</c:f>
              <c:numCache>
                <c:ptCount val="30"/>
                <c:pt idx="0">
                  <c:v>59.448857</c:v>
                </c:pt>
                <c:pt idx="1">
                  <c:v>62.683331</c:v>
                </c:pt>
                <c:pt idx="2">
                  <c:v>66.157218</c:v>
                </c:pt>
                <c:pt idx="3">
                  <c:v>69.890197</c:v>
                </c:pt>
                <c:pt idx="4">
                  <c:v>73.903121</c:v>
                </c:pt>
                <c:pt idx="5">
                  <c:v>78.217853</c:v>
                </c:pt>
                <c:pt idx="6">
                  <c:v>82.856977</c:v>
                </c:pt>
                <c:pt idx="7">
                  <c:v>87.843355</c:v>
                </c:pt>
                <c:pt idx="8">
                  <c:v>93.199446</c:v>
                </c:pt>
                <c:pt idx="9">
                  <c:v>98.946342</c:v>
                </c:pt>
                <c:pt idx="10">
                  <c:v>105.102393</c:v>
                </c:pt>
                <c:pt idx="11">
                  <c:v>111.681306</c:v>
                </c:pt>
                <c:pt idx="12">
                  <c:v>118.689567</c:v>
                </c:pt>
                <c:pt idx="13">
                  <c:v>126.123002</c:v>
                </c:pt>
                <c:pt idx="14">
                  <c:v>133.962248</c:v>
                </c:pt>
                <c:pt idx="15">
                  <c:v>142.166927</c:v>
                </c:pt>
                <c:pt idx="16">
                  <c:v>150.668264</c:v>
                </c:pt>
                <c:pt idx="17">
                  <c:v>159.359956</c:v>
                </c:pt>
                <c:pt idx="18">
                  <c:v>168.087115</c:v>
                </c:pt>
                <c:pt idx="19">
                  <c:v>176.633213</c:v>
                </c:pt>
                <c:pt idx="20">
                  <c:v>184.704933</c:v>
                </c:pt>
                <c:pt idx="21">
                  <c:v>191.914674</c:v>
                </c:pt>
                <c:pt idx="22">
                  <c:v>197.759623</c:v>
                </c:pt>
                <c:pt idx="23">
                  <c:v>201.594088</c:v>
                </c:pt>
                <c:pt idx="24">
                  <c:v>202.586279</c:v>
                </c:pt>
                <c:pt idx="25">
                  <c:v>199.637739</c:v>
                </c:pt>
                <c:pt idx="26">
                  <c:v>191.211853</c:v>
                </c:pt>
                <c:pt idx="27">
                  <c:v>174.932878</c:v>
                </c:pt>
                <c:pt idx="28">
                  <c:v>146.552823</c:v>
                </c:pt>
                <c:pt idx="29">
                  <c:v>96.874136</c:v>
                </c:pt>
              </c:numCache>
            </c:numRef>
          </c:val>
          <c:smooth val="1"/>
        </c:ser>
        <c:ser>
          <c:idx val="4"/>
          <c:order val="4"/>
          <c:tx>
            <c:strRef>
              <c:f>'Old calculations'!$N$2</c:f>
              <c:strCache/>
            </c:strRef>
          </c:tx>
          <c:spPr>
            <a:solidFill>
              <a:srgbClr val="FFFFFF"/>
            </a:solidFill>
            <a:ln w="50800" cap="flat">
              <a:solidFill>
                <a:schemeClr val="accent2">
                  <a:hueOff val="-344320"/>
                  <a:satOff val="14681"/>
                  <a:lumOff val="12979"/>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calculations'!$N$21:$N$50</c:f>
              <c:numCache>
                <c:ptCount val="30"/>
                <c:pt idx="0">
                  <c:v>64.314083</c:v>
                </c:pt>
                <c:pt idx="1">
                  <c:v>67.799073</c:v>
                </c:pt>
                <c:pt idx="2">
                  <c:v>71.540321</c:v>
                </c:pt>
                <c:pt idx="3">
                  <c:v>75.558628</c:v>
                </c:pt>
                <c:pt idx="4">
                  <c:v>79.875980</c:v>
                </c:pt>
                <c:pt idx="5">
                  <c:v>84.515358</c:v>
                </c:pt>
                <c:pt idx="6">
                  <c:v>89.500410</c:v>
                </c:pt>
                <c:pt idx="7">
                  <c:v>94.854957</c:v>
                </c:pt>
                <c:pt idx="8">
                  <c:v>100.602246</c:v>
                </c:pt>
                <c:pt idx="9">
                  <c:v>106.763896</c:v>
                </c:pt>
                <c:pt idx="10">
                  <c:v>113.358402</c:v>
                </c:pt>
                <c:pt idx="11">
                  <c:v>120.399088</c:v>
                </c:pt>
                <c:pt idx="12">
                  <c:v>127.891340</c:v>
                </c:pt>
                <c:pt idx="13">
                  <c:v>135.828931</c:v>
                </c:pt>
                <c:pt idx="14">
                  <c:v>144.189214</c:v>
                </c:pt>
                <c:pt idx="15">
                  <c:v>152.926949</c:v>
                </c:pt>
                <c:pt idx="16">
                  <c:v>161.966542</c:v>
                </c:pt>
                <c:pt idx="17">
                  <c:v>171.192463</c:v>
                </c:pt>
                <c:pt idx="18">
                  <c:v>180.437707</c:v>
                </c:pt>
                <c:pt idx="19">
                  <c:v>189.470207</c:v>
                </c:pt>
                <c:pt idx="20">
                  <c:v>197.977097</c:v>
                </c:pt>
                <c:pt idx="21">
                  <c:v>205.546521</c:v>
                </c:pt>
                <c:pt idx="22">
                  <c:v>211.645743</c:v>
                </c:pt>
                <c:pt idx="23">
                  <c:v>215.591914</c:v>
                </c:pt>
                <c:pt idx="24">
                  <c:v>216.505918</c:v>
                </c:pt>
                <c:pt idx="25">
                  <c:v>213.225869</c:v>
                </c:pt>
                <c:pt idx="26">
                  <c:v>204.123002</c:v>
                </c:pt>
                <c:pt idx="27">
                  <c:v>186.672105</c:v>
                </c:pt>
                <c:pt idx="28">
                  <c:v>156.347035</c:v>
                </c:pt>
                <c:pt idx="29">
                  <c:v>103.335036</c:v>
                </c:pt>
              </c:numCache>
            </c:numRef>
          </c:val>
          <c:smooth val="1"/>
        </c:ser>
        <c:ser>
          <c:idx val="5"/>
          <c:order val="5"/>
          <c:tx>
            <c:strRef>
              <c:f>'Old calculations'!$O$2</c:f>
              <c:strCache/>
            </c:strRef>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calculations'!$O$21:$O$50</c:f>
              <c:numCache>
                <c:ptCount val="30"/>
                <c:pt idx="0">
                  <c:v>78.168875</c:v>
                </c:pt>
                <c:pt idx="1">
                  <c:v>82.709064</c:v>
                </c:pt>
                <c:pt idx="2">
                  <c:v>87.623957</c:v>
                </c:pt>
                <c:pt idx="3">
                  <c:v>92.951247</c:v>
                </c:pt>
                <c:pt idx="4">
                  <c:v>98.732586</c:v>
                </c:pt>
                <c:pt idx="5">
                  <c:v>105.013864</c:v>
                </c:pt>
                <c:pt idx="6">
                  <c:v>111.845424</c:v>
                </c:pt>
                <c:pt idx="7">
                  <c:v>119.282175</c:v>
                </c:pt>
                <c:pt idx="8">
                  <c:v>127.383518</c:v>
                </c:pt>
                <c:pt idx="9">
                  <c:v>136.212982</c:v>
                </c:pt>
                <c:pt idx="10">
                  <c:v>145.837443</c:v>
                </c:pt>
                <c:pt idx="11">
                  <c:v>156.325688</c:v>
                </c:pt>
                <c:pt idx="12">
                  <c:v>167.746064</c:v>
                </c:pt>
                <c:pt idx="13">
                  <c:v>180.162807</c:v>
                </c:pt>
                <c:pt idx="14">
                  <c:v>193.630543</c:v>
                </c:pt>
                <c:pt idx="15">
                  <c:v>208.186274</c:v>
                </c:pt>
                <c:pt idx="16">
                  <c:v>223.838022</c:v>
                </c:pt>
                <c:pt idx="17">
                  <c:v>240.549092</c:v>
                </c:pt>
                <c:pt idx="18">
                  <c:v>258.216829</c:v>
                </c:pt>
                <c:pt idx="19">
                  <c:v>276.644650</c:v>
                </c:pt>
                <c:pt idx="20">
                  <c:v>295.506210</c:v>
                </c:pt>
                <c:pt idx="21">
                  <c:v>314.300616</c:v>
                </c:pt>
                <c:pt idx="22">
                  <c:v>332.297179</c:v>
                </c:pt>
                <c:pt idx="23">
                  <c:v>348.465837</c:v>
                </c:pt>
                <c:pt idx="24">
                  <c:v>361.380852</c:v>
                </c:pt>
                <c:pt idx="25">
                  <c:v>369.059446</c:v>
                </c:pt>
                <c:pt idx="26">
                  <c:v>368.619765</c:v>
                </c:pt>
                <c:pt idx="27">
                  <c:v>355.394626</c:v>
                </c:pt>
                <c:pt idx="28">
                  <c:v>320.185897</c:v>
                </c:pt>
                <c:pt idx="29">
                  <c:v>238.392168</c:v>
                </c:pt>
              </c:numCache>
            </c:numRef>
          </c:val>
          <c:smooth val="1"/>
        </c:ser>
        <c:ser>
          <c:idx val="6"/>
          <c:order val="6"/>
          <c:tx>
            <c:strRef>
              <c:f>'Old calculations'!$P$2</c:f>
              <c:strCache/>
            </c:strRef>
          </c:tx>
          <c:spPr>
            <a:solidFill>
              <a:srgbClr val="FFFFFF"/>
            </a:solidFill>
            <a:ln w="508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calculations'!$P$21:$P$50</c:f>
              <c:numCache>
                <c:ptCount val="30"/>
                <c:pt idx="0">
                  <c:v>83.711863</c:v>
                </c:pt>
                <c:pt idx="1">
                  <c:v>88.559466</c:v>
                </c:pt>
                <c:pt idx="2">
                  <c:v>93.805312</c:v>
                </c:pt>
                <c:pt idx="3">
                  <c:v>99.489169</c:v>
                </c:pt>
                <c:pt idx="4">
                  <c:v>105.654918</c:v>
                </c:pt>
                <c:pt idx="5">
                  <c:v>112.350831</c:v>
                </c:pt>
                <c:pt idx="6">
                  <c:v>119.629771</c:v>
                </c:pt>
                <c:pt idx="7">
                  <c:v>127.549273</c:v>
                </c:pt>
                <c:pt idx="8">
                  <c:v>136.171424</c:v>
                </c:pt>
                <c:pt idx="9">
                  <c:v>145.562433</c:v>
                </c:pt>
                <c:pt idx="10">
                  <c:v>155.791733</c:v>
                </c:pt>
                <c:pt idx="11">
                  <c:v>166.930398</c:v>
                </c:pt>
                <c:pt idx="12">
                  <c:v>179.048574</c:v>
                </c:pt>
                <c:pt idx="13">
                  <c:v>192.211518</c:v>
                </c:pt>
                <c:pt idx="14">
                  <c:v>206.473704</c:v>
                </c:pt>
                <c:pt idx="15">
                  <c:v>221.870298</c:v>
                </c:pt>
                <c:pt idx="16">
                  <c:v>238.405148</c:v>
                </c:pt>
                <c:pt idx="17">
                  <c:v>256.034245</c:v>
                </c:pt>
                <c:pt idx="18">
                  <c:v>274.643500</c:v>
                </c:pt>
                <c:pt idx="19">
                  <c:v>294.019658</c:v>
                </c:pt>
                <c:pt idx="20">
                  <c:v>313.813190</c:v>
                </c:pt>
                <c:pt idx="21">
                  <c:v>333.492106</c:v>
                </c:pt>
                <c:pt idx="22">
                  <c:v>352.285058</c:v>
                </c:pt>
                <c:pt idx="23">
                  <c:v>369.109533</c:v>
                </c:pt>
                <c:pt idx="24">
                  <c:v>382.471673</c:v>
                </c:pt>
                <c:pt idx="25">
                  <c:v>390.296667</c:v>
                </c:pt>
                <c:pt idx="26">
                  <c:v>389.566912</c:v>
                </c:pt>
                <c:pt idx="27">
                  <c:v>375.383479</c:v>
                </c:pt>
                <c:pt idx="28">
                  <c:v>338.062244</c:v>
                </c:pt>
                <c:pt idx="29">
                  <c:v>251.648403</c:v>
                </c:pt>
              </c:numCache>
            </c:numRef>
          </c:val>
          <c:smooth val="1"/>
        </c:ser>
        <c:ser>
          <c:idx val="7"/>
          <c:order val="7"/>
          <c:tx>
            <c:strRef>
              <c:f>'Old calculations'!$Q$2</c:f>
              <c:strCache/>
            </c:strRef>
          </c:tx>
          <c:spPr>
            <a:solidFill>
              <a:srgbClr val="FFFFFF"/>
            </a:solidFill>
            <a:ln w="508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calculations'!$Q$21:$Q$50</c:f>
              <c:numCache>
                <c:ptCount val="30"/>
                <c:pt idx="0">
                  <c:v>89.374310</c:v>
                </c:pt>
                <c:pt idx="1">
                  <c:v>94.534388</c:v>
                </c:pt>
                <c:pt idx="2">
                  <c:v>100.116443</c:v>
                </c:pt>
                <c:pt idx="3">
                  <c:v>106.162301</c:v>
                </c:pt>
                <c:pt idx="4">
                  <c:v>112.718052</c:v>
                </c:pt>
                <c:pt idx="5">
                  <c:v>119.834317</c:v>
                </c:pt>
                <c:pt idx="6">
                  <c:v>127.566434</c:v>
                </c:pt>
                <c:pt idx="7">
                  <c:v>135.974503</c:v>
                </c:pt>
                <c:pt idx="8">
                  <c:v>145.123221</c:v>
                </c:pt>
                <c:pt idx="9">
                  <c:v>155.081368</c:v>
                </c:pt>
                <c:pt idx="10">
                  <c:v>165.920803</c:v>
                </c:pt>
                <c:pt idx="11">
                  <c:v>177.714720</c:v>
                </c:pt>
                <c:pt idx="12">
                  <c:v>190.534859</c:v>
                </c:pt>
                <c:pt idx="13">
                  <c:v>204.447247</c:v>
                </c:pt>
                <c:pt idx="14">
                  <c:v>219.505909</c:v>
                </c:pt>
                <c:pt idx="15">
                  <c:v>235.743836</c:v>
                </c:pt>
                <c:pt idx="16">
                  <c:v>253.160325</c:v>
                </c:pt>
                <c:pt idx="17">
                  <c:v>271.703652</c:v>
                </c:pt>
                <c:pt idx="18">
                  <c:v>291.247911</c:v>
                </c:pt>
                <c:pt idx="19">
                  <c:v>311.562841</c:v>
                </c:pt>
                <c:pt idx="20">
                  <c:v>332.275528</c:v>
                </c:pt>
                <c:pt idx="21">
                  <c:v>352.822880</c:v>
                </c:pt>
                <c:pt idx="22">
                  <c:v>372.393188</c:v>
                </c:pt>
                <c:pt idx="23">
                  <c:v>389.852157</c:v>
                </c:pt>
                <c:pt idx="24">
                  <c:v>403.638897</c:v>
                </c:pt>
                <c:pt idx="25">
                  <c:v>411.588039</c:v>
                </c:pt>
                <c:pt idx="26">
                  <c:v>410.547970</c:v>
                </c:pt>
                <c:pt idx="27">
                  <c:v>395.389782</c:v>
                </c:pt>
                <c:pt idx="28">
                  <c:v>355.944815</c:v>
                </c:pt>
                <c:pt idx="29">
                  <c:v>264.905496</c:v>
                </c:pt>
              </c:numCache>
            </c:numRef>
          </c:val>
          <c:smooth val="1"/>
        </c:ser>
        <c:ser>
          <c:idx val="8"/>
          <c:order val="8"/>
          <c:tx>
            <c:strRef>
              <c:f>'Old calculations'!$R$2</c:f>
              <c:strCache/>
            </c:strRef>
          </c:tx>
          <c:spPr>
            <a:solidFill>
              <a:srgbClr val="FFFFFF"/>
            </a:solidFill>
            <a:ln w="508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calculations'!$R$21:$R$50</c:f>
              <c:numCache>
                <c:ptCount val="30"/>
                <c:pt idx="0">
                  <c:v>84.396755</c:v>
                </c:pt>
                <c:pt idx="1">
                  <c:v>89.090158</c:v>
                </c:pt>
                <c:pt idx="2">
                  <c:v>94.138623</c:v>
                </c:pt>
                <c:pt idx="3">
                  <c:v>99.571601</c:v>
                </c:pt>
                <c:pt idx="4">
                  <c:v>105.420123</c:v>
                </c:pt>
                <c:pt idx="5">
                  <c:v>111.716415</c:v>
                </c:pt>
                <c:pt idx="6">
                  <c:v>118.493285</c:v>
                </c:pt>
                <c:pt idx="7">
                  <c:v>125.783169</c:v>
                </c:pt>
                <c:pt idx="8">
                  <c:v>133.616721</c:v>
                </c:pt>
                <c:pt idx="9">
                  <c:v>142.020791</c:v>
                </c:pt>
                <c:pt idx="10">
                  <c:v>151.015564</c:v>
                </c:pt>
                <c:pt idx="11">
                  <c:v>160.610620</c:v>
                </c:pt>
                <c:pt idx="12">
                  <c:v>170.799582</c:v>
                </c:pt>
                <c:pt idx="13">
                  <c:v>181.552982</c:v>
                </c:pt>
                <c:pt idx="14">
                  <c:v>192.808958</c:v>
                </c:pt>
                <c:pt idx="15">
                  <c:v>204.461382</c:v>
                </c:pt>
                <c:pt idx="16">
                  <c:v>216.345157</c:v>
                </c:pt>
                <c:pt idx="17">
                  <c:v>228.218638</c:v>
                </c:pt>
                <c:pt idx="18">
                  <c:v>239.743584</c:v>
                </c:pt>
                <c:pt idx="19">
                  <c:v>250.463705</c:v>
                </c:pt>
                <c:pt idx="20">
                  <c:v>259.783690</c:v>
                </c:pt>
                <c:pt idx="21">
                  <c:v>266.951347</c:v>
                </c:pt>
                <c:pt idx="22">
                  <c:v>271.045570</c:v>
                </c:pt>
                <c:pt idx="23">
                  <c:v>270.971322</c:v>
                </c:pt>
                <c:pt idx="24">
                  <c:v>265.457992</c:v>
                </c:pt>
                <c:pt idx="25">
                  <c:v>253.047286</c:v>
                </c:pt>
                <c:pt idx="26">
                  <c:v>232.037812</c:v>
                </c:pt>
                <c:pt idx="27">
                  <c:v>200.318443</c:v>
                </c:pt>
                <c:pt idx="28">
                  <c:v>154.950282</c:v>
                </c:pt>
                <c:pt idx="29">
                  <c:v>91.177141</c:v>
                </c:pt>
              </c:numCache>
            </c:numRef>
          </c:val>
          <c:smooth val="1"/>
        </c:ser>
        <c:ser>
          <c:idx val="9"/>
          <c:order val="9"/>
          <c:tx>
            <c:strRef>
              <c:f>'Old calculations'!$S$2</c:f>
              <c:strCache/>
            </c:strRef>
          </c:tx>
          <c:spPr>
            <a:solidFill>
              <a:srgbClr val="FFFFFF"/>
            </a:solidFill>
            <a:ln w="50800" cap="flat">
              <a:solidFill>
                <a:schemeClr val="accent6">
                  <a:satOff val="8378"/>
                  <a:lumOff val="-7528"/>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'Old calculations'!$A$21:$A$50</c:f>
              <c:strCache>
                <c:ptCount val="30"/>
                <c:pt idx="0">
                  <c:v>150</c:v>
                </c:pt>
                <c:pt idx="1">
                  <c:v>145</c:v>
                </c:pt>
                <c:pt idx="2">
                  <c:v>140</c:v>
                </c:pt>
                <c:pt idx="3">
                  <c:v>135</c:v>
                </c:pt>
                <c:pt idx="4">
                  <c:v>130</c:v>
                </c:pt>
                <c:pt idx="5">
                  <c:v>125</c:v>
                </c:pt>
                <c:pt idx="6">
                  <c:v>120</c:v>
                </c:pt>
                <c:pt idx="7">
                  <c:v>115</c:v>
                </c:pt>
                <c:pt idx="8">
                  <c:v>110</c:v>
                </c:pt>
                <c:pt idx="9">
                  <c:v>105</c:v>
                </c:pt>
                <c:pt idx="10">
                  <c:v>100</c:v>
                </c:pt>
                <c:pt idx="11">
                  <c:v>95</c:v>
                </c:pt>
                <c:pt idx="12">
                  <c:v>90</c:v>
                </c:pt>
                <c:pt idx="13">
                  <c:v>85</c:v>
                </c:pt>
                <c:pt idx="14">
                  <c:v>80</c:v>
                </c:pt>
                <c:pt idx="15">
                  <c:v>75</c:v>
                </c:pt>
                <c:pt idx="16">
                  <c:v>70</c:v>
                </c:pt>
                <c:pt idx="17">
                  <c:v>65</c:v>
                </c:pt>
                <c:pt idx="18">
                  <c:v>60</c:v>
                </c:pt>
                <c:pt idx="19">
                  <c:v>55</c:v>
                </c:pt>
                <c:pt idx="20">
                  <c:v>50</c:v>
                </c:pt>
                <c:pt idx="21">
                  <c:v>45</c:v>
                </c:pt>
                <c:pt idx="22">
                  <c:v>40</c:v>
                </c:pt>
                <c:pt idx="23">
                  <c:v>35</c:v>
                </c:pt>
                <c:pt idx="24">
                  <c:v>30</c:v>
                </c:pt>
                <c:pt idx="25">
                  <c:v>25</c:v>
                </c:pt>
                <c:pt idx="26">
                  <c:v>20</c:v>
                </c:pt>
                <c:pt idx="27">
                  <c:v>15</c:v>
                </c:pt>
                <c:pt idx="28">
                  <c:v>10</c:v>
                </c:pt>
                <c:pt idx="29">
                  <c:v>5</c:v>
                </c:pt>
              </c:strCache>
            </c:strRef>
          </c:cat>
          <c:val>
            <c:numRef>
              <c:f>'Old calculations'!$S$21:$S$50</c:f>
              <c:numCache>
                <c:ptCount val="30"/>
                <c:pt idx="0">
                  <c:v>81.029459</c:v>
                </c:pt>
                <c:pt idx="1">
                  <c:v>85.519982</c:v>
                </c:pt>
                <c:pt idx="2">
                  <c:v>90.348231</c:v>
                </c:pt>
                <c:pt idx="3">
                  <c:v>95.541890</c:v>
                </c:pt>
                <c:pt idx="4">
                  <c:v>101.130046</c:v>
                </c:pt>
                <c:pt idx="5">
                  <c:v>107.142808</c:v>
                </c:pt>
                <c:pt idx="6">
                  <c:v>113.610697</c:v>
                </c:pt>
                <c:pt idx="7">
                  <c:v>120.563705</c:v>
                </c:pt>
                <c:pt idx="8">
                  <c:v>128.029931</c:v>
                </c:pt>
                <c:pt idx="9">
                  <c:v>136.033618</c:v>
                </c:pt>
                <c:pt idx="10">
                  <c:v>144.592406</c:v>
                </c:pt>
                <c:pt idx="11">
                  <c:v>153.713556</c:v>
                </c:pt>
                <c:pt idx="12">
                  <c:v>163.388851</c:v>
                </c:pt>
                <c:pt idx="13">
                  <c:v>173.587835</c:v>
                </c:pt>
                <c:pt idx="14">
                  <c:v>184.249019</c:v>
                </c:pt>
                <c:pt idx="15">
                  <c:v>195.268731</c:v>
                </c:pt>
                <c:pt idx="16">
                  <c:v>206.487360</c:v>
                </c:pt>
                <c:pt idx="17">
                  <c:v>217.672994</c:v>
                </c:pt>
                <c:pt idx="18">
                  <c:v>228.502876</c:v>
                </c:pt>
                <c:pt idx="19">
                  <c:v>238.543665</c:v>
                </c:pt>
                <c:pt idx="20">
                  <c:v>247.232284</c:v>
                </c:pt>
                <c:pt idx="21">
                  <c:v>253.859709</c:v>
                </c:pt>
                <c:pt idx="22">
                  <c:v>257.560117</c:v>
                </c:pt>
                <c:pt idx="23">
                  <c:v>257.306188</c:v>
                </c:pt>
                <c:pt idx="24">
                  <c:v>251.906848</c:v>
                </c:pt>
                <c:pt idx="25">
                  <c:v>239.994098</c:v>
                </c:pt>
                <c:pt idx="26">
                  <c:v>219.967886</c:v>
                </c:pt>
                <c:pt idx="27">
                  <c:v>189.835124</c:v>
                </c:pt>
                <c:pt idx="28">
                  <c:v>146.810892</c:v>
                </c:pt>
                <c:pt idx="29">
                  <c:v>86.379719</c:v>
                </c:pt>
              </c:numCache>
            </c:numRef>
          </c:val>
          <c:smooth val="1"/>
        </c:ser>
        <c:marker val="1"/>
        <c:axId val="2094734552"/>
        <c:axId val="2094734553"/>
      </c:lineChart>
      <c:catAx>
        <c:axId val="2094734552"/>
        <c:scaling>
          <c:orientation val="minMax"/>
        </c:scaling>
        <c:delete val="0"/>
        <c:axPos val="b"/>
        <c:numFmt formatCode="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0.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25"/>
        <c:minorUnit val="62.5"/>
      </c:valAx>
      <c:spPr>
        <a:noFill/>
        <a:ln w="12700" cap="flat">
          <a:noFill/>
          <a:miter lim="400000"/>
        </a:ln>
        <a:effectLst/>
      </c:spPr>
    </c:plotArea>
    <c:legend>
      <c:legendPos val="t"/>
      <c:layout>
        <c:manualLayout>
          <c:xMode val="edge"/>
          <c:yMode val="edge"/>
          <c:x val="0.0753282"/>
          <c:y val="0"/>
          <c:w val="0.906135"/>
          <c:h val="0.0463804"/>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Reichweite in Abhängigkeit von der Temperatur und Geschwindigkeit in km</a:t>
            </a:r>
          </a:p>
        </c:rich>
      </c:tx>
      <c:layout>
        <c:manualLayout>
          <c:xMode val="edge"/>
          <c:yMode val="edge"/>
          <c:x val="0.176062"/>
          <c:y val="0"/>
          <c:w val="0.647876"/>
          <c:h val="0.0455111"/>
        </c:manualLayout>
      </c:layout>
      <c:overlay val="1"/>
      <c:spPr>
        <a:noFill/>
        <a:effectLst/>
      </c:spPr>
    </c:title>
    <c:autoTitleDeleted val="1"/>
    <c:plotArea>
      <c:layout>
        <c:manualLayout>
          <c:layoutTarget val="inner"/>
          <c:xMode val="edge"/>
          <c:yMode val="edge"/>
          <c:x val="0.0898697"/>
          <c:y val="0.0455111"/>
          <c:w val="0.895688"/>
          <c:h val="0.881599"/>
        </c:manualLayout>
      </c:layout>
      <c:lineChart>
        <c:grouping val="standard"/>
        <c:varyColors val="0"/>
        <c:ser>
          <c:idx val="0"/>
          <c:order val="0"/>
          <c:tx>
            <c:v>-10</c:v>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in'!$Z$5:$Z$34</c:f>
              <c:numCache>
                <c:ptCount val="30"/>
                <c:pt idx="0">
                  <c:v>74.915295</c:v>
                </c:pt>
                <c:pt idx="1">
                  <c:v>133.503482</c:v>
                </c:pt>
                <c:pt idx="2">
                  <c:v>178.678227</c:v>
                </c:pt>
                <c:pt idx="3">
                  <c:v>211.889438</c:v>
                </c:pt>
                <c:pt idx="4">
                  <c:v>234.291310</c:v>
                </c:pt>
                <c:pt idx="5">
                  <c:v>247.208433</c:v>
                </c:pt>
                <c:pt idx="6">
                  <c:v>252.209810</c:v>
                </c:pt>
                <c:pt idx="7">
                  <c:v>250.987171</c:v>
                </c:pt>
                <c:pt idx="8">
                  <c:v>245.181825</c:v>
                </c:pt>
                <c:pt idx="9">
                  <c:v>236.246325</c:v>
                </c:pt>
                <c:pt idx="10">
                  <c:v>225.371550</c:v>
                </c:pt>
                <c:pt idx="11">
                  <c:v>213.473140</c:v>
                </c:pt>
                <c:pt idx="12">
                  <c:v>201.216577</c:v>
                </c:pt>
                <c:pt idx="13">
                  <c:v>187.148977</c:v>
                </c:pt>
                <c:pt idx="14">
                  <c:v>173.671254</c:v>
                </c:pt>
                <c:pt idx="15">
                  <c:v>160.974699</c:v>
                </c:pt>
                <c:pt idx="16">
                  <c:v>149.152394</c:v>
                </c:pt>
                <c:pt idx="17">
                  <c:v>138.231716</c:v>
                </c:pt>
                <c:pt idx="18">
                  <c:v>128.198073</c:v>
                </c:pt>
                <c:pt idx="19">
                  <c:v>119.011598</c:v>
                </c:pt>
                <c:pt idx="20">
                  <c:v>110.618527</c:v>
                </c:pt>
                <c:pt idx="21">
                  <c:v>102.958721</c:v>
                </c:pt>
                <c:pt idx="22">
                  <c:v>95.970490</c:v>
                </c:pt>
                <c:pt idx="23">
                  <c:v>89.593550</c:v>
                </c:pt>
                <c:pt idx="24">
                  <c:v>83.770745</c:v>
                </c:pt>
                <c:pt idx="25">
                  <c:v>78.448943</c:v>
                </c:pt>
                <c:pt idx="26">
                  <c:v>73.579413</c:v>
                </c:pt>
                <c:pt idx="27">
                  <c:v>69.117869</c:v>
                </c:pt>
                <c:pt idx="28">
                  <c:v>65.024316</c:v>
                </c:pt>
                <c:pt idx="29">
                  <c:v>61.262793</c:v>
                </c:pt>
              </c:numCache>
            </c:numRef>
          </c:val>
          <c:smooth val="1"/>
        </c:ser>
        <c:ser>
          <c:idx val="1"/>
          <c:order val="1"/>
          <c:tx>
            <c:strRef>
              <c:f>'RangeCalculation - Verbrauch in'!$AA$2:$AA$4</c:f>
              <c:strCache>
                <c:ptCount val="1"/>
                <c:pt idx="0">
                  <c:v>-5</c:v>
                </c:pt>
              </c:strCache>
            </c:strRef>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in'!$AA$5:$AA$34</c:f>
              <c:numCache>
                <c:ptCount val="30"/>
                <c:pt idx="0">
                  <c:v>104.275876</c:v>
                </c:pt>
                <c:pt idx="1">
                  <c:v>180.867219</c:v>
                </c:pt>
                <c:pt idx="2">
                  <c:v>236.748796</c:v>
                </c:pt>
                <c:pt idx="3">
                  <c:v>275.530793</c:v>
                </c:pt>
                <c:pt idx="4">
                  <c:v>299.822217</c:v>
                </c:pt>
                <c:pt idx="5">
                  <c:v>312.076193</c:v>
                </c:pt>
                <c:pt idx="6">
                  <c:v>314.761828</c:v>
                </c:pt>
                <c:pt idx="7">
                  <c:v>310.261622</c:v>
                </c:pt>
                <c:pt idx="8">
                  <c:v>300.714189</c:v>
                </c:pt>
                <c:pt idx="9">
                  <c:v>287.905499</c:v>
                </c:pt>
                <c:pt idx="10">
                  <c:v>273.233601</c:v>
                </c:pt>
                <c:pt idx="11">
                  <c:v>257.731697</c:v>
                </c:pt>
                <c:pt idx="12">
                  <c:v>242.123420</c:v>
                </c:pt>
                <c:pt idx="13">
                  <c:v>224.522609</c:v>
                </c:pt>
                <c:pt idx="14">
                  <c:v>207.858494</c:v>
                </c:pt>
                <c:pt idx="15">
                  <c:v>192.299764</c:v>
                </c:pt>
                <c:pt idx="16">
                  <c:v>177.911163</c:v>
                </c:pt>
                <c:pt idx="17">
                  <c:v>164.690317</c:v>
                </c:pt>
                <c:pt idx="18">
                  <c:v>152.593808</c:v>
                </c:pt>
                <c:pt idx="19">
                  <c:v>141.555014</c:v>
                </c:pt>
                <c:pt idx="20">
                  <c:v>131.495951</c:v>
                </c:pt>
                <c:pt idx="21">
                  <c:v>122.334881</c:v>
                </c:pt>
                <c:pt idx="22">
                  <c:v>113.991030</c:v>
                </c:pt>
                <c:pt idx="23">
                  <c:v>106.387343</c:v>
                </c:pt>
                <c:pt idx="24">
                  <c:v>99.451973</c:v>
                </c:pt>
                <c:pt idx="25">
                  <c:v>93.118937</c:v>
                </c:pt>
                <c:pt idx="26">
                  <c:v>87.328262</c:v>
                </c:pt>
                <c:pt idx="27">
                  <c:v>82.025828</c:v>
                </c:pt>
                <c:pt idx="28">
                  <c:v>77.163029</c:v>
                </c:pt>
                <c:pt idx="29">
                  <c:v>72.696350</c:v>
                </c:pt>
              </c:numCache>
            </c:numRef>
          </c:val>
          <c:smooth val="1"/>
        </c:ser>
        <c:ser>
          <c:idx val="2"/>
          <c:order val="2"/>
          <c:tx>
            <c:strRef>
              <c:f>'RangeCalculation - Verbrauch in'!$AB$2:$AB$4</c:f>
              <c:strCache>
                <c:ptCount val="1"/>
                <c:pt idx="0">
                  <c:v>0</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in'!$AB$5:$AB$34</c:f>
              <c:numCache>
                <c:ptCount val="30"/>
                <c:pt idx="0">
                  <c:v>158.111632</c:v>
                </c:pt>
                <c:pt idx="1">
                  <c:v>257.772407</c:v>
                </c:pt>
                <c:pt idx="2">
                  <c:v>321.745582</c:v>
                </c:pt>
                <c:pt idx="3">
                  <c:v>360.372918</c:v>
                </c:pt>
                <c:pt idx="4">
                  <c:v>379.943058</c:v>
                </c:pt>
                <c:pt idx="5">
                  <c:v>385.218134</c:v>
                </c:pt>
                <c:pt idx="6">
                  <c:v>380.150216</c:v>
                </c:pt>
                <c:pt idx="7">
                  <c:v>368.020174</c:v>
                </c:pt>
                <c:pt idx="8">
                  <c:v>351.447650</c:v>
                </c:pt>
                <c:pt idx="9">
                  <c:v>332.421442</c:v>
                </c:pt>
                <c:pt idx="10">
                  <c:v>312.374717</c:v>
                </c:pt>
                <c:pt idx="11">
                  <c:v>292.286931</c:v>
                </c:pt>
                <c:pt idx="12">
                  <c:v>272.789527</c:v>
                </c:pt>
                <c:pt idx="13">
                  <c:v>251.479836</c:v>
                </c:pt>
                <c:pt idx="14">
                  <c:v>231.710430</c:v>
                </c:pt>
                <c:pt idx="15">
                  <c:v>213.540148</c:v>
                </c:pt>
                <c:pt idx="16">
                  <c:v>196.942307</c:v>
                </c:pt>
                <c:pt idx="17">
                  <c:v>181.840165</c:v>
                </c:pt>
                <c:pt idx="18">
                  <c:v>168.130538</c:v>
                </c:pt>
                <c:pt idx="19">
                  <c:v>155.699034</c:v>
                </c:pt>
                <c:pt idx="20">
                  <c:v>144.429512</c:v>
                </c:pt>
                <c:pt idx="21">
                  <c:v>134.209695</c:v>
                </c:pt>
                <c:pt idx="22">
                  <c:v>124.934261</c:v>
                </c:pt>
                <c:pt idx="23">
                  <c:v>116.506319</c:v>
                </c:pt>
                <c:pt idx="24">
                  <c:v>108.837890</c:v>
                </c:pt>
                <c:pt idx="25">
                  <c:v>101.849788</c:v>
                </c:pt>
                <c:pt idx="26">
                  <c:v>95.471161</c:v>
                </c:pt>
                <c:pt idx="27">
                  <c:v>89.638860</c:v>
                </c:pt>
                <c:pt idx="28">
                  <c:v>84.296742</c:v>
                </c:pt>
                <c:pt idx="29">
                  <c:v>79.394956</c:v>
                </c:pt>
              </c:numCache>
            </c:numRef>
          </c:val>
          <c:smooth val="1"/>
        </c:ser>
        <c:ser>
          <c:idx val="3"/>
          <c:order val="3"/>
          <c:tx>
            <c:strRef>
              <c:f>'RangeCalculation - Verbrauch in'!$AC$2:$AC$4</c:f>
              <c:strCache>
                <c:ptCount val="1"/>
                <c:pt idx="0">
                  <c:v>5</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in'!$AC$5:$AC$34</c:f>
              <c:numCache>
                <c:ptCount val="30"/>
                <c:pt idx="0">
                  <c:v>246.561361</c:v>
                </c:pt>
                <c:pt idx="1">
                  <c:v>371.895522</c:v>
                </c:pt>
                <c:pt idx="2">
                  <c:v>440.434622</c:v>
                </c:pt>
                <c:pt idx="3">
                  <c:v>474.774448</c:v>
                </c:pt>
                <c:pt idx="4">
                  <c:v>486.218661</c:v>
                </c:pt>
                <c:pt idx="5">
                  <c:v>482.006803</c:v>
                </c:pt>
                <c:pt idx="6">
                  <c:v>467.391487</c:v>
                </c:pt>
                <c:pt idx="7">
                  <c:v>446.306353</c:v>
                </c:pt>
                <c:pt idx="8">
                  <c:v>421.648888</c:v>
                </c:pt>
                <c:pt idx="9">
                  <c:v>395.475617</c:v>
                </c:pt>
                <c:pt idx="10">
                  <c:v>369.179392</c:v>
                </c:pt>
                <c:pt idx="11">
                  <c:v>343.651843</c:v>
                </c:pt>
                <c:pt idx="12">
                  <c:v>319.422451</c:v>
                </c:pt>
                <c:pt idx="13">
                  <c:v>293.415358</c:v>
                </c:pt>
                <c:pt idx="14">
                  <c:v>269.589738</c:v>
                </c:pt>
                <c:pt idx="15">
                  <c:v>247.900543</c:v>
                </c:pt>
                <c:pt idx="16">
                  <c:v>228.234738</c:v>
                </c:pt>
                <c:pt idx="17">
                  <c:v>210.444440</c:v>
                </c:pt>
                <c:pt idx="18">
                  <c:v>194.368027</c:v>
                </c:pt>
                <c:pt idx="19">
                  <c:v>179.843043</c:v>
                </c:pt>
                <c:pt idx="20">
                  <c:v>166.713700</c:v>
                </c:pt>
                <c:pt idx="21">
                  <c:v>154.834864</c:v>
                </c:pt>
                <c:pt idx="22">
                  <c:v>144.073840</c:v>
                </c:pt>
                <c:pt idx="23">
                  <c:v>134.310817</c:v>
                </c:pt>
                <c:pt idx="24">
                  <c:v>125.438515</c:v>
                </c:pt>
                <c:pt idx="25">
                  <c:v>117.361412</c:v>
                </c:pt>
                <c:pt idx="26">
                  <c:v>109.994756</c:v>
                </c:pt>
                <c:pt idx="27">
                  <c:v>103.263519</c:v>
                </c:pt>
                <c:pt idx="28">
                  <c:v>97.101352</c:v>
                </c:pt>
                <c:pt idx="29">
                  <c:v>91.449605</c:v>
                </c:pt>
              </c:numCache>
            </c:numRef>
          </c:val>
          <c:smooth val="1"/>
        </c:ser>
        <c:ser>
          <c:idx val="4"/>
          <c:order val="4"/>
          <c:tx>
            <c:strRef>
              <c:f>'RangeCalculation - Verbrauch in'!$AD$2:$AD$4</c:f>
              <c:strCache>
                <c:ptCount val="1"/>
                <c:pt idx="0">
                  <c:v>10</c:v>
                </c:pt>
              </c:strCache>
            </c:strRef>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in'!$AD$5:$AD$34</c:f>
              <c:numCache>
                <c:ptCount val="30"/>
                <c:pt idx="0">
                  <c:v>318.611458</c:v>
                </c:pt>
                <c:pt idx="1">
                  <c:v>450.370793</c:v>
                </c:pt>
                <c:pt idx="2">
                  <c:v>513.317478</c:v>
                </c:pt>
                <c:pt idx="3">
                  <c:v>539.601151</c:v>
                </c:pt>
                <c:pt idx="4">
                  <c:v>543.087972</c:v>
                </c:pt>
                <c:pt idx="5">
                  <c:v>531.796336</c:v>
                </c:pt>
                <c:pt idx="6">
                  <c:v>511.150479</c:v>
                </c:pt>
                <c:pt idx="7">
                  <c:v>485.022763</c:v>
                </c:pt>
                <c:pt idx="8">
                  <c:v>456.168931</c:v>
                </c:pt>
                <c:pt idx="9">
                  <c:v>426.491443</c:v>
                </c:pt>
                <c:pt idx="10">
                  <c:v>397.245160</c:v>
                </c:pt>
                <c:pt idx="11">
                  <c:v>369.208464</c:v>
                </c:pt>
                <c:pt idx="12">
                  <c:v>342.821939</c:v>
                </c:pt>
                <c:pt idx="13">
                  <c:v>314.636689</c:v>
                </c:pt>
                <c:pt idx="14">
                  <c:v>288.928905</c:v>
                </c:pt>
                <c:pt idx="15">
                  <c:v>265.598628</c:v>
                </c:pt>
                <c:pt idx="16">
                  <c:v>244.490746</c:v>
                </c:pt>
                <c:pt idx="17">
                  <c:v>225.424745</c:v>
                </c:pt>
                <c:pt idx="18">
                  <c:v>208.213323</c:v>
                </c:pt>
                <c:pt idx="19">
                  <c:v>192.673511</c:v>
                </c:pt>
                <c:pt idx="20">
                  <c:v>178.632886</c:v>
                </c:pt>
                <c:pt idx="21">
                  <c:v>165.932647</c:v>
                </c:pt>
                <c:pt idx="22">
                  <c:v>154.428730</c:v>
                </c:pt>
                <c:pt idx="23">
                  <c:v>143.991766</c:v>
                </c:pt>
                <c:pt idx="24">
                  <c:v>134.506368</c:v>
                </c:pt>
                <c:pt idx="25">
                  <c:v>125.870079</c:v>
                </c:pt>
                <c:pt idx="26">
                  <c:v>117.992183</c:v>
                </c:pt>
                <c:pt idx="27">
                  <c:v>110.792485</c:v>
                </c:pt>
                <c:pt idx="28">
                  <c:v>104.200142</c:v>
                </c:pt>
                <c:pt idx="29">
                  <c:v>98.152577</c:v>
                </c:pt>
              </c:numCache>
            </c:numRef>
          </c:val>
          <c:smooth val="1"/>
        </c:ser>
        <c:ser>
          <c:idx val="5"/>
          <c:order val="5"/>
          <c:tx>
            <c:strRef>
              <c:f>'RangeCalculation - Verbrauch in'!$AE$2:$AE$4</c:f>
              <c:strCache>
                <c:ptCount val="1"/>
                <c:pt idx="0">
                  <c:v>15</c:v>
                </c:pt>
              </c:strCache>
            </c:strRef>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in'!$AE$5:$AE$34</c:f>
              <c:numCache>
                <c:ptCount val="30"/>
                <c:pt idx="0">
                  <c:v>621.441938</c:v>
                </c:pt>
                <c:pt idx="1">
                  <c:v>691.188026</c:v>
                </c:pt>
                <c:pt idx="2">
                  <c:v>702.515890</c:v>
                </c:pt>
                <c:pt idx="3">
                  <c:v>689.791597</c:v>
                </c:pt>
                <c:pt idx="4">
                  <c:v>663.557843</c:v>
                </c:pt>
                <c:pt idx="5">
                  <c:v>629.435464</c:v>
                </c:pt>
                <c:pt idx="6">
                  <c:v>591.174365</c:v>
                </c:pt>
                <c:pt idx="7">
                  <c:v>551.406979</c:v>
                </c:pt>
                <c:pt idx="8">
                  <c:v>511.940710</c:v>
                </c:pt>
                <c:pt idx="9">
                  <c:v>473.948933</c:v>
                </c:pt>
                <c:pt idx="10">
                  <c:v>438.130168</c:v>
                </c:pt>
                <c:pt idx="11">
                  <c:v>404.842583</c:v>
                </c:pt>
                <c:pt idx="12">
                  <c:v>374.211974</c:v>
                </c:pt>
                <c:pt idx="13">
                  <c:v>342.095121</c:v>
                </c:pt>
                <c:pt idx="14">
                  <c:v>313.181889</c:v>
                </c:pt>
                <c:pt idx="15">
                  <c:v>287.204404</c:v>
                </c:pt>
                <c:pt idx="16">
                  <c:v>263.883529</c:v>
                </c:pt>
                <c:pt idx="17">
                  <c:v>242.946452</c:v>
                </c:pt>
                <c:pt idx="18">
                  <c:v>224.136544</c:v>
                </c:pt>
                <c:pt idx="19">
                  <c:v>207.218220</c:v>
                </c:pt>
                <c:pt idx="20">
                  <c:v>191.978680</c:v>
                </c:pt>
                <c:pt idx="21">
                  <c:v>178.227775</c:v>
                </c:pt>
                <c:pt idx="22">
                  <c:v>165.796825</c:v>
                </c:pt>
                <c:pt idx="23">
                  <c:v>154.536915</c:v>
                </c:pt>
                <c:pt idx="24">
                  <c:v>144.316961</c:v>
                </c:pt>
                <c:pt idx="25">
                  <c:v>135.021779</c:v>
                </c:pt>
                <c:pt idx="26">
                  <c:v>126.550222</c:v>
                </c:pt>
                <c:pt idx="27">
                  <c:v>118.813473</c:v>
                </c:pt>
                <c:pt idx="28">
                  <c:v>111.733504</c:v>
                </c:pt>
                <c:pt idx="29">
                  <c:v>105.241697</c:v>
                </c:pt>
              </c:numCache>
            </c:numRef>
          </c:val>
          <c:smooth val="1"/>
        </c:ser>
        <c:ser>
          <c:idx val="6"/>
          <c:order val="6"/>
          <c:tx>
            <c:strRef>
              <c:f>'RangeCalculation - Verbrauch in'!$AF$2:$AF$4</c:f>
              <c:strCache>
                <c:ptCount val="1"/>
                <c:pt idx="0">
                  <c:v>20</c:v>
                </c:pt>
              </c:strCache>
            </c:strRef>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in'!$AF$5:$AF$34</c:f>
              <c:numCache>
                <c:ptCount val="30"/>
                <c:pt idx="0">
                  <c:v>614.135642</c:v>
                </c:pt>
                <c:pt idx="1">
                  <c:v>681.198448</c:v>
                </c:pt>
                <c:pt idx="2">
                  <c:v>692.733387</c:v>
                </c:pt>
                <c:pt idx="3">
                  <c:v>681.491717</c:v>
                </c:pt>
                <c:pt idx="4">
                  <c:v>657.331459</c:v>
                </c:pt>
                <c:pt idx="5">
                  <c:v>625.456351</c:v>
                </c:pt>
                <c:pt idx="6">
                  <c:v>589.351558</c:v>
                </c:pt>
                <c:pt idx="7">
                  <c:v>551.498502</c:v>
                </c:pt>
                <c:pt idx="8">
                  <c:v>513.637515</c:v>
                </c:pt>
                <c:pt idx="9">
                  <c:v>476.931095</c:v>
                </c:pt>
                <c:pt idx="10">
                  <c:v>442.099907</c:v>
                </c:pt>
                <c:pt idx="11">
                  <c:v>409.540284</c:v>
                </c:pt>
                <c:pt idx="12">
                  <c:v>379.421163</c:v>
                </c:pt>
                <c:pt idx="13">
                  <c:v>347.574919</c:v>
                </c:pt>
                <c:pt idx="14">
                  <c:v>318.791676</c:v>
                </c:pt>
                <c:pt idx="15">
                  <c:v>292.838841</c:v>
                </c:pt>
                <c:pt idx="16">
                  <c:v>269.465553</c:v>
                </c:pt>
                <c:pt idx="17">
                  <c:v>248.421149</c:v>
                </c:pt>
                <c:pt idx="18">
                  <c:v>229.466045</c:v>
                </c:pt>
                <c:pt idx="19">
                  <c:v>212.377587</c:v>
                </c:pt>
                <c:pt idx="20">
                  <c:v>196.952658</c:v>
                </c:pt>
                <c:pt idx="21">
                  <c:v>183.008271</c:v>
                </c:pt>
                <c:pt idx="22">
                  <c:v>170.380977</c:v>
                </c:pt>
                <c:pt idx="23">
                  <c:v>158.925615</c:v>
                </c:pt>
                <c:pt idx="24">
                  <c:v>148.513751</c:v>
                </c:pt>
                <c:pt idx="25">
                  <c:v>139.032013</c:v>
                </c:pt>
                <c:pt idx="26">
                  <c:v>130.380452</c:v>
                </c:pt>
                <c:pt idx="27">
                  <c:v>122.470988</c:v>
                </c:pt>
                <c:pt idx="28">
                  <c:v>115.225993</c:v>
                </c:pt>
                <c:pt idx="29">
                  <c:v>108.577007</c:v>
                </c:pt>
              </c:numCache>
            </c:numRef>
          </c:val>
          <c:smooth val="1"/>
        </c:ser>
        <c:ser>
          <c:idx val="7"/>
          <c:order val="7"/>
          <c:tx>
            <c:strRef>
              <c:f>'RangeCalculation - Verbrauch in'!$AG$2:$AG$4</c:f>
              <c:strCache>
                <c:ptCount val="1"/>
                <c:pt idx="0">
                  <c:v>25</c:v>
                </c:pt>
              </c:strCache>
            </c:strRef>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in'!$AG$5:$AG$34</c:f>
              <c:numCache>
                <c:ptCount val="30"/>
                <c:pt idx="0">
                  <c:v>434.100289</c:v>
                </c:pt>
                <c:pt idx="1">
                  <c:v>552.424953</c:v>
                </c:pt>
                <c:pt idx="2">
                  <c:v>597.822753</c:v>
                </c:pt>
                <c:pt idx="3">
                  <c:v>610.534047</c:v>
                </c:pt>
                <c:pt idx="4">
                  <c:v>604.422612</c:v>
                </c:pt>
                <c:pt idx="5">
                  <c:v>586.551644</c:v>
                </c:pt>
                <c:pt idx="6">
                  <c:v>561.403109</c:v>
                </c:pt>
                <c:pt idx="7">
                  <c:v>532.100373</c:v>
                </c:pt>
                <c:pt idx="8">
                  <c:v>500.862957</c:v>
                </c:pt>
                <c:pt idx="9">
                  <c:v>469.239958</c:v>
                </c:pt>
                <c:pt idx="10">
                  <c:v>438.271312</c:v>
                </c:pt>
                <c:pt idx="11">
                  <c:v>408.616016</c:v>
                </c:pt>
                <c:pt idx="12">
                  <c:v>380.656169</c:v>
                </c:pt>
                <c:pt idx="13">
                  <c:v>350.431905</c:v>
                </c:pt>
                <c:pt idx="14">
                  <c:v>322.774836</c:v>
                </c:pt>
                <c:pt idx="15">
                  <c:v>297.579688</c:v>
                </c:pt>
                <c:pt idx="16">
                  <c:v>274.691786</c:v>
                </c:pt>
                <c:pt idx="17">
                  <c:v>253.932755</c:v>
                </c:pt>
                <c:pt idx="18">
                  <c:v>235.117125</c:v>
                </c:pt>
                <c:pt idx="19">
                  <c:v>218.062638</c:v>
                </c:pt>
                <c:pt idx="20">
                  <c:v>202.596265</c:v>
                </c:pt>
                <c:pt idx="21">
                  <c:v>188.557382</c:v>
                </c:pt>
                <c:pt idx="22">
                  <c:v>175.799126</c:v>
                </c:pt>
                <c:pt idx="23">
                  <c:v>164.188608</c:v>
                </c:pt>
                <c:pt idx="24">
                  <c:v>153.606439</c:v>
                </c:pt>
                <c:pt idx="25">
                  <c:v>143.945883</c:v>
                </c:pt>
                <c:pt idx="26">
                  <c:v>135.111827</c:v>
                </c:pt>
                <c:pt idx="27">
                  <c:v>127.019687</c:v>
                </c:pt>
                <c:pt idx="28">
                  <c:v>119.594321</c:v>
                </c:pt>
                <c:pt idx="29">
                  <c:v>112.769012</c:v>
                </c:pt>
              </c:numCache>
            </c:numRef>
          </c:val>
          <c:smooth val="1"/>
        </c:ser>
        <c:ser>
          <c:idx val="8"/>
          <c:order val="8"/>
          <c:tx>
            <c:strRef>
              <c:f>'RangeCalculation - Verbrauch in'!$AH$2:$AH$4</c:f>
              <c:strCache>
                <c:ptCount val="1"/>
                <c:pt idx="0">
                  <c:v>30</c:v>
                </c:pt>
              </c:strCache>
            </c:strRef>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in'!$AH$5:$AH$34</c:f>
              <c:numCache>
                <c:ptCount val="30"/>
                <c:pt idx="0">
                  <c:v>226.307339</c:v>
                </c:pt>
                <c:pt idx="1">
                  <c:v>344.964029</c:v>
                </c:pt>
                <c:pt idx="2">
                  <c:v>413.497744</c:v>
                </c:pt>
                <c:pt idx="3">
                  <c:v>452.206759</c:v>
                </c:pt>
                <c:pt idx="4">
                  <c:v>470.805171</c:v>
                </c:pt>
                <c:pt idx="5">
                  <c:v>475.148598</c:v>
                </c:pt>
                <c:pt idx="6">
                  <c:v>469.351203</c:v>
                </c:pt>
                <c:pt idx="7">
                  <c:v>456.528024</c:v>
                </c:pt>
                <c:pt idx="8">
                  <c:v>439.083922</c:v>
                </c:pt>
                <c:pt idx="9">
                  <c:v>418.855692</c:v>
                </c:pt>
                <c:pt idx="10">
                  <c:v>397.211334</c:v>
                </c:pt>
                <c:pt idx="11">
                  <c:v>375.137008</c:v>
                </c:pt>
                <c:pt idx="12">
                  <c:v>353.316697</c:v>
                </c:pt>
                <c:pt idx="13">
                  <c:v>328.502675</c:v>
                </c:pt>
                <c:pt idx="14">
                  <c:v>305.135432</c:v>
                </c:pt>
                <c:pt idx="15">
                  <c:v>283.345864</c:v>
                </c:pt>
                <c:pt idx="16">
                  <c:v>263.167533</c:v>
                </c:pt>
                <c:pt idx="17">
                  <c:v>244.570613</c:v>
                </c:pt>
                <c:pt idx="18">
                  <c:v>227.486160</c:v>
                </c:pt>
                <c:pt idx="19">
                  <c:v>211.823016</c:v>
                </c:pt>
                <c:pt idx="20">
                  <c:v>197.479286</c:v>
                </c:pt>
                <c:pt idx="21">
                  <c:v>184.349907</c:v>
                </c:pt>
                <c:pt idx="22">
                  <c:v>172.331480</c:v>
                </c:pt>
                <c:pt idx="23">
                  <c:v>161.325188</c:v>
                </c:pt>
                <c:pt idx="24">
                  <c:v>151.238438</c:v>
                </c:pt>
                <c:pt idx="25">
                  <c:v>141.985633</c:v>
                </c:pt>
                <c:pt idx="26">
                  <c:v>133.488399</c:v>
                </c:pt>
                <c:pt idx="27">
                  <c:v>125.675458</c:v>
                </c:pt>
                <c:pt idx="28">
                  <c:v>118.482290</c:v>
                </c:pt>
                <c:pt idx="29">
                  <c:v>111.850687</c:v>
                </c:pt>
              </c:numCache>
            </c:numRef>
          </c:val>
          <c:smooth val="1"/>
        </c:ser>
        <c:ser>
          <c:idx val="9"/>
          <c:order val="9"/>
          <c:tx>
            <c:strRef>
              <c:f>'RangeCalculation - Verbrauch in'!$AI$2:$AI$4</c:f>
              <c:strCache>
                <c:ptCount val="1"/>
                <c:pt idx="0">
                  <c:v>35</c:v>
                </c:pt>
              </c:strCache>
            </c:strRef>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in'!$AI$5:$AI$34</c:f>
              <c:numCache>
                <c:ptCount val="30"/>
                <c:pt idx="0">
                  <c:v>115.760484</c:v>
                </c:pt>
                <c:pt idx="1">
                  <c:v>198.394648</c:v>
                </c:pt>
                <c:pt idx="2">
                  <c:v>258.634799</c:v>
                </c:pt>
                <c:pt idx="3">
                  <c:v>301.933615</c:v>
                </c:pt>
                <c:pt idx="4">
                  <c:v>331.613139</c:v>
                </c:pt>
                <c:pt idx="5">
                  <c:v>350.111351</c:v>
                </c:pt>
                <c:pt idx="6">
                  <c:v>359.478857</c:v>
                </c:pt>
                <c:pt idx="7">
                  <c:v>361.548823</c:v>
                </c:pt>
                <c:pt idx="8">
                  <c:v>357.968343</c:v>
                </c:pt>
                <c:pt idx="9">
                  <c:v>350.183639</c:v>
                </c:pt>
                <c:pt idx="10">
                  <c:v>339.422689</c:v>
                </c:pt>
                <c:pt idx="11">
                  <c:v>326.691541</c:v>
                </c:pt>
                <c:pt idx="12">
                  <c:v>312.786128</c:v>
                </c:pt>
                <c:pt idx="13">
                  <c:v>295.280258</c:v>
                </c:pt>
                <c:pt idx="14">
                  <c:v>277.900068</c:v>
                </c:pt>
                <c:pt idx="15">
                  <c:v>260.995092</c:v>
                </c:pt>
                <c:pt idx="16">
                  <c:v>244.793437</c:v>
                </c:pt>
                <c:pt idx="17">
                  <c:v>229.432108</c:v>
                </c:pt>
                <c:pt idx="18">
                  <c:v>214.981763</c:v>
                </c:pt>
                <c:pt idx="19">
                  <c:v>201.466148</c:v>
                </c:pt>
                <c:pt idx="20">
                  <c:v>188.876905</c:v>
                </c:pt>
                <c:pt idx="21">
                  <c:v>177.184570</c:v>
                </c:pt>
                <c:pt idx="22">
                  <c:v>166.346572</c:v>
                </c:pt>
                <c:pt idx="23">
                  <c:v>156.312925</c:v>
                </c:pt>
                <c:pt idx="24">
                  <c:v>147.030199</c:v>
                </c:pt>
                <c:pt idx="25">
                  <c:v>138.444220</c:v>
                </c:pt>
                <c:pt idx="26">
                  <c:v>130.501857</c:v>
                </c:pt>
                <c:pt idx="27">
                  <c:v>123.152141</c:v>
                </c:pt>
                <c:pt idx="28">
                  <c:v>116.346938</c:v>
                </c:pt>
                <c:pt idx="29">
                  <c:v>110.041287</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max val="500"/>
          <c:min val="0"/>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Reichweite in km</a:t>
                </a:r>
              </a:p>
            </c:rich>
          </c:tx>
          <c:layout/>
          <c:overlay val="1"/>
        </c:title>
        <c:numFmt formatCode="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0"/>
        <c:minorUnit val="5"/>
      </c:valAx>
      <c:spPr>
        <a:noFill/>
        <a:ln w="12700" cap="flat">
          <a:noFill/>
          <a:miter lim="400000"/>
        </a:ln>
        <a:effectLst/>
      </c:spPr>
    </c:plotArea>
    <c:legend>
      <c:legendPos val="r"/>
      <c:layout>
        <c:manualLayout>
          <c:xMode val="edge"/>
          <c:yMode val="edge"/>
          <c:x val="0.512424"/>
          <c:y val="0.124956"/>
          <c:w val="0.0888792"/>
          <c:h val="0.235051"/>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47963"/>
          <c:y val="0.0409556"/>
          <c:w val="0.837366"/>
          <c:h val="0.828797"/>
        </c:manualLayout>
      </c:layout>
      <c:scatterChart>
        <c:scatterStyle val="lineMarker"/>
        <c:varyColors val="0"/>
        <c:ser>
          <c:idx val="0"/>
          <c:order val="0"/>
          <c:tx>
            <c:strRef>
              <c:f>'RangeCalculation - Cell dischar'!$B$2</c:f>
              <c:strCache>
                <c:ptCount val="1"/>
                <c:pt idx="0">
                  <c:v>Discharge cap</c:v>
                </c:pt>
              </c:strCache>
            </c:strRef>
          </c:tx>
          <c:spPr>
            <a:solidFill>
              <a:srgbClr val="FFFFFF"/>
            </a:solidFill>
            <a:ln w="12700" cap="flat">
              <a:solidFill>
                <a:srgbClr val="51A7F9"/>
              </a:solidFill>
              <a:prstDash val="solid"/>
              <a:miter lim="400000"/>
            </a:ln>
            <a:effectLst/>
          </c:spPr>
          <c:marker>
            <c:symbol val="x"/>
            <c:size val="10"/>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'RangeCalculation - Cell dischar'!$A$3:$A$6</c:f>
              <c:numCache>
                <c:ptCount val="4"/>
                <c:pt idx="0">
                  <c:v>-10.000000</c:v>
                </c:pt>
                <c:pt idx="1">
                  <c:v>0.000000</c:v>
                </c:pt>
                <c:pt idx="2">
                  <c:v>25.000000</c:v>
                </c:pt>
                <c:pt idx="3">
                  <c:v>60.000000</c:v>
                </c:pt>
              </c:numCache>
            </c:numRef>
          </c:xVal>
          <c:yVal>
            <c:numRef>
              <c:f>'RangeCalculation - Cell dischar'!$B$3:$B$6</c:f>
              <c:numCache>
                <c:ptCount val="4"/>
                <c:pt idx="0">
                  <c:v>0.600000</c:v>
                </c:pt>
                <c:pt idx="1">
                  <c:v>0.750000</c:v>
                </c:pt>
                <c:pt idx="2">
                  <c:v>1.000000</c:v>
                </c:pt>
                <c:pt idx="3">
                  <c:v>0.950000</c:v>
                </c:pt>
              </c:numCache>
            </c:numRef>
          </c:yVal>
          <c:smooth val="0"/>
        </c:ser>
        <c:axId val="2094734552"/>
        <c:axId val="2094734553"/>
      </c:scatterChart>
      <c:valAx>
        <c:axId val="2094734552"/>
        <c:scaling>
          <c:orientation val="minMax"/>
        </c:scaling>
        <c:delete val="0"/>
        <c:axPos val="b"/>
        <c:majorGridlines>
          <c:spPr>
            <a:ln w="3175" cap="flat">
              <a:solidFill>
                <a:srgbClr val="B8B8B8"/>
              </a:solidFill>
              <a:prstDash val="solid"/>
              <a:miter lim="400000"/>
            </a:ln>
          </c:spPr>
        </c:majorGridlines>
        <c:minorGridlines>
          <c:spPr>
            <a:ln w="3175" cap="flat">
              <a:solidFill>
                <a:srgbClr val="B8B8B8"/>
              </a:solidFill>
              <a:prstDash val="solid"/>
              <a:miter lim="400000"/>
            </a:ln>
          </c:spPr>
        </c:min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Temperature in C</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83333"/>
        <c:minorUnit val="2.91667"/>
      </c:valAx>
      <c:valAx>
        <c:axId val="2094734553"/>
        <c:scaling>
          <c:orientation val="minMax"/>
          <c:min val="0.5"/>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Charge Capacity</a:t>
                </a:r>
              </a:p>
            </c:rich>
          </c:tx>
          <c:layout/>
          <c:overlay val="1"/>
        </c:title>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025"/>
        <c:minorUnit val="0.0125"/>
      </c:valAx>
      <c:spPr>
        <a:noFill/>
        <a:ln w="12700" cap="flat">
          <a:noFill/>
          <a:miter lim="400000"/>
        </a:ln>
        <a:effectLst/>
      </c:spPr>
    </c:plotArea>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Windwiderstand in N in Abhängigkeitt von Temperatur und Geschwindigkeit</a:t>
            </a:r>
          </a:p>
        </c:rich>
      </c:tx>
      <c:layout>
        <c:manualLayout>
          <c:xMode val="edge"/>
          <c:yMode val="edge"/>
          <c:x val="0.174426"/>
          <c:y val="0"/>
          <c:w val="0.651149"/>
          <c:h val="0.0455111"/>
        </c:manualLayout>
      </c:layout>
      <c:overlay val="1"/>
      <c:spPr>
        <a:noFill/>
        <a:effectLst/>
      </c:spPr>
    </c:title>
    <c:autoTitleDeleted val="1"/>
    <c:plotArea>
      <c:layout>
        <c:manualLayout>
          <c:layoutTarget val="inner"/>
          <c:xMode val="edge"/>
          <c:yMode val="edge"/>
          <c:x val="0.0898697"/>
          <c:y val="0.0455111"/>
          <c:w val="0.895688"/>
          <c:h val="0.881599"/>
        </c:manualLayout>
      </c:layout>
      <c:lineChart>
        <c:grouping val="standard"/>
        <c:varyColors val="0"/>
        <c:ser>
          <c:idx val="0"/>
          <c:order val="0"/>
          <c:tx>
            <c:strRef>
              <c:f>'RangeCalculation - Verbrauch in'!$C$2:$C$4</c:f>
              <c:strCache>
                <c:ptCount val="1"/>
                <c:pt idx="0">
                  <c:v>Luftwiderstand in Abhängigkeit zur Temperatur in N -10</c:v>
                </c:pt>
              </c:strCache>
            </c:strRef>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in'!$C$5:$C$34</c:f>
              <c:numCache>
                <c:ptCount val="30"/>
                <c:pt idx="0">
                  <c:v>0.892906</c:v>
                </c:pt>
                <c:pt idx="1">
                  <c:v>3.571625</c:v>
                </c:pt>
                <c:pt idx="2">
                  <c:v>8.036157</c:v>
                </c:pt>
                <c:pt idx="3">
                  <c:v>14.286501</c:v>
                </c:pt>
                <c:pt idx="4">
                  <c:v>22.322658</c:v>
                </c:pt>
                <c:pt idx="5">
                  <c:v>32.144627</c:v>
                </c:pt>
                <c:pt idx="6">
                  <c:v>43.752409</c:v>
                </c:pt>
                <c:pt idx="7">
                  <c:v>57.146004</c:v>
                </c:pt>
                <c:pt idx="8">
                  <c:v>72.325411</c:v>
                </c:pt>
                <c:pt idx="9">
                  <c:v>89.290631</c:v>
                </c:pt>
                <c:pt idx="10">
                  <c:v>108.041663</c:v>
                </c:pt>
                <c:pt idx="11">
                  <c:v>128.578508</c:v>
                </c:pt>
                <c:pt idx="12">
                  <c:v>150.901166</c:v>
                </c:pt>
                <c:pt idx="13">
                  <c:v>175.009636</c:v>
                </c:pt>
                <c:pt idx="14">
                  <c:v>200.903919</c:v>
                </c:pt>
                <c:pt idx="15">
                  <c:v>228.584015</c:v>
                </c:pt>
                <c:pt idx="16">
                  <c:v>258.049923</c:v>
                </c:pt>
                <c:pt idx="17">
                  <c:v>289.301644</c:v>
                </c:pt>
                <c:pt idx="18">
                  <c:v>322.339177</c:v>
                </c:pt>
                <c:pt idx="19">
                  <c:v>357.162523</c:v>
                </c:pt>
                <c:pt idx="20">
                  <c:v>393.771682</c:v>
                </c:pt>
                <c:pt idx="21">
                  <c:v>432.166653</c:v>
                </c:pt>
                <c:pt idx="22">
                  <c:v>472.347437</c:v>
                </c:pt>
                <c:pt idx="23">
                  <c:v>514.314033</c:v>
                </c:pt>
                <c:pt idx="24">
                  <c:v>558.066442</c:v>
                </c:pt>
                <c:pt idx="25">
                  <c:v>603.604664</c:v>
                </c:pt>
                <c:pt idx="26">
                  <c:v>650.928698</c:v>
                </c:pt>
                <c:pt idx="27">
                  <c:v>700.038545</c:v>
                </c:pt>
                <c:pt idx="28">
                  <c:v>750.934205</c:v>
                </c:pt>
                <c:pt idx="29">
                  <c:v>803.615677</c:v>
                </c:pt>
              </c:numCache>
            </c:numRef>
          </c:val>
          <c:smooth val="1"/>
        </c:ser>
        <c:ser>
          <c:idx val="1"/>
          <c:order val="1"/>
          <c:tx>
            <c:strRef>
              <c:f>'RangeCalculation - Verbrauch in'!$D$2:$D$4</c:f>
              <c:strCache>
                <c:ptCount val="1"/>
                <c:pt idx="0">
                  <c:v>-5</c:v>
                </c:pt>
              </c:strCache>
            </c:strRef>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in'!$D$5:$D$34</c:f>
              <c:numCache>
                <c:ptCount val="30"/>
                <c:pt idx="0">
                  <c:v>0.876264</c:v>
                </c:pt>
                <c:pt idx="1">
                  <c:v>3.505055</c:v>
                </c:pt>
                <c:pt idx="2">
                  <c:v>7.886374</c:v>
                </c:pt>
                <c:pt idx="3">
                  <c:v>14.020220</c:v>
                </c:pt>
                <c:pt idx="4">
                  <c:v>21.906594</c:v>
                </c:pt>
                <c:pt idx="5">
                  <c:v>31.545495</c:v>
                </c:pt>
                <c:pt idx="6">
                  <c:v>42.936924</c:v>
                </c:pt>
                <c:pt idx="7">
                  <c:v>56.080880</c:v>
                </c:pt>
                <c:pt idx="8">
                  <c:v>70.977364</c:v>
                </c:pt>
                <c:pt idx="9">
                  <c:v>87.626375</c:v>
                </c:pt>
                <c:pt idx="10">
                  <c:v>106.027914</c:v>
                </c:pt>
                <c:pt idx="11">
                  <c:v>126.181981</c:v>
                </c:pt>
                <c:pt idx="12">
                  <c:v>148.088574</c:v>
                </c:pt>
                <c:pt idx="13">
                  <c:v>171.747696</c:v>
                </c:pt>
                <c:pt idx="14">
                  <c:v>197.159345</c:v>
                </c:pt>
                <c:pt idx="15">
                  <c:v>224.323521</c:v>
                </c:pt>
                <c:pt idx="16">
                  <c:v>253.240225</c:v>
                </c:pt>
                <c:pt idx="17">
                  <c:v>283.909456</c:v>
                </c:pt>
                <c:pt idx="18">
                  <c:v>316.331215</c:v>
                </c:pt>
                <c:pt idx="19">
                  <c:v>350.505502</c:v>
                </c:pt>
                <c:pt idx="20">
                  <c:v>386.432315</c:v>
                </c:pt>
                <c:pt idx="21">
                  <c:v>424.111657</c:v>
                </c:pt>
                <c:pt idx="22">
                  <c:v>463.543526</c:v>
                </c:pt>
                <c:pt idx="23">
                  <c:v>504.727922</c:v>
                </c:pt>
                <c:pt idx="24">
                  <c:v>547.664846</c:v>
                </c:pt>
                <c:pt idx="25">
                  <c:v>592.354298</c:v>
                </c:pt>
                <c:pt idx="26">
                  <c:v>638.796277</c:v>
                </c:pt>
                <c:pt idx="27">
                  <c:v>686.990783</c:v>
                </c:pt>
                <c:pt idx="28">
                  <c:v>736.937817</c:v>
                </c:pt>
                <c:pt idx="29">
                  <c:v>788.637378</c:v>
                </c:pt>
              </c:numCache>
            </c:numRef>
          </c:val>
          <c:smooth val="1"/>
        </c:ser>
        <c:ser>
          <c:idx val="2"/>
          <c:order val="2"/>
          <c:tx>
            <c:strRef>
              <c:f>'RangeCalculation - Verbrauch in'!$E$2:$E$4</c:f>
              <c:strCache>
                <c:ptCount val="1"/>
                <c:pt idx="0">
                  <c:v>0</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in'!$E$5:$E$34</c:f>
              <c:numCache>
                <c:ptCount val="30"/>
                <c:pt idx="0">
                  <c:v>0.860087</c:v>
                </c:pt>
                <c:pt idx="1">
                  <c:v>3.440349</c:v>
                </c:pt>
                <c:pt idx="2">
                  <c:v>7.740785</c:v>
                </c:pt>
                <c:pt idx="3">
                  <c:v>13.761395</c:v>
                </c:pt>
                <c:pt idx="4">
                  <c:v>21.502180</c:v>
                </c:pt>
                <c:pt idx="5">
                  <c:v>30.963139</c:v>
                </c:pt>
                <c:pt idx="6">
                  <c:v>42.144272</c:v>
                </c:pt>
                <c:pt idx="7">
                  <c:v>55.045580</c:v>
                </c:pt>
                <c:pt idx="8">
                  <c:v>69.667063</c:v>
                </c:pt>
                <c:pt idx="9">
                  <c:v>86.008719</c:v>
                </c:pt>
                <c:pt idx="10">
                  <c:v>104.070550</c:v>
                </c:pt>
                <c:pt idx="11">
                  <c:v>123.852556</c:v>
                </c:pt>
                <c:pt idx="12">
                  <c:v>145.354735</c:v>
                </c:pt>
                <c:pt idx="13">
                  <c:v>168.577090</c:v>
                </c:pt>
                <c:pt idx="14">
                  <c:v>193.519618</c:v>
                </c:pt>
                <c:pt idx="15">
                  <c:v>220.182321</c:v>
                </c:pt>
                <c:pt idx="16">
                  <c:v>248.565198</c:v>
                </c:pt>
                <c:pt idx="17">
                  <c:v>278.668250</c:v>
                </c:pt>
                <c:pt idx="18">
                  <c:v>310.491476</c:v>
                </c:pt>
                <c:pt idx="19">
                  <c:v>344.034877</c:v>
                </c:pt>
                <c:pt idx="20">
                  <c:v>379.298451</c:v>
                </c:pt>
                <c:pt idx="21">
                  <c:v>416.282201</c:v>
                </c:pt>
                <c:pt idx="22">
                  <c:v>454.986124</c:v>
                </c:pt>
                <c:pt idx="23">
                  <c:v>495.410222</c:v>
                </c:pt>
                <c:pt idx="24">
                  <c:v>537.554495</c:v>
                </c:pt>
                <c:pt idx="25">
                  <c:v>581.418941</c:v>
                </c:pt>
                <c:pt idx="26">
                  <c:v>627.003562</c:v>
                </c:pt>
                <c:pt idx="27">
                  <c:v>674.308358</c:v>
                </c:pt>
                <c:pt idx="28">
                  <c:v>723.333328</c:v>
                </c:pt>
                <c:pt idx="29">
                  <c:v>774.078472</c:v>
                </c:pt>
              </c:numCache>
            </c:numRef>
          </c:val>
          <c:smooth val="1"/>
        </c:ser>
        <c:ser>
          <c:idx val="3"/>
          <c:order val="3"/>
          <c:tx>
            <c:strRef>
              <c:f>'RangeCalculation - Verbrauch in'!$F$2:$F$4</c:f>
              <c:strCache>
                <c:ptCount val="1"/>
                <c:pt idx="0">
                  <c:v>5</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in'!$F$5:$F$34</c:f>
              <c:numCache>
                <c:ptCount val="30"/>
                <c:pt idx="0">
                  <c:v>0.844776</c:v>
                </c:pt>
                <c:pt idx="1">
                  <c:v>3.379104</c:v>
                </c:pt>
                <c:pt idx="2">
                  <c:v>7.602984</c:v>
                </c:pt>
                <c:pt idx="3">
                  <c:v>13.516417</c:v>
                </c:pt>
                <c:pt idx="4">
                  <c:v>21.119401</c:v>
                </c:pt>
                <c:pt idx="5">
                  <c:v>30.411938</c:v>
                </c:pt>
                <c:pt idx="6">
                  <c:v>41.394026</c:v>
                </c:pt>
                <c:pt idx="7">
                  <c:v>54.065667</c:v>
                </c:pt>
                <c:pt idx="8">
                  <c:v>68.426859</c:v>
                </c:pt>
                <c:pt idx="9">
                  <c:v>84.477604</c:v>
                </c:pt>
                <c:pt idx="10">
                  <c:v>102.217901</c:v>
                </c:pt>
                <c:pt idx="11">
                  <c:v>121.647750</c:v>
                </c:pt>
                <c:pt idx="12">
                  <c:v>142.767151</c:v>
                </c:pt>
                <c:pt idx="13">
                  <c:v>165.576104</c:v>
                </c:pt>
                <c:pt idx="14">
                  <c:v>190.074609</c:v>
                </c:pt>
                <c:pt idx="15">
                  <c:v>216.262667</c:v>
                </c:pt>
                <c:pt idx="16">
                  <c:v>244.140276</c:v>
                </c:pt>
                <c:pt idx="17">
                  <c:v>273.707437</c:v>
                </c:pt>
                <c:pt idx="18">
                  <c:v>304.964151</c:v>
                </c:pt>
                <c:pt idx="19">
                  <c:v>337.910417</c:v>
                </c:pt>
                <c:pt idx="20">
                  <c:v>372.546234</c:v>
                </c:pt>
                <c:pt idx="21">
                  <c:v>408.871604</c:v>
                </c:pt>
                <c:pt idx="22">
                  <c:v>446.886526</c:v>
                </c:pt>
                <c:pt idx="23">
                  <c:v>486.591000</c:v>
                </c:pt>
                <c:pt idx="24">
                  <c:v>527.985026</c:v>
                </c:pt>
                <c:pt idx="25">
                  <c:v>571.068604</c:v>
                </c:pt>
                <c:pt idx="26">
                  <c:v>615.841734</c:v>
                </c:pt>
                <c:pt idx="27">
                  <c:v>662.304417</c:v>
                </c:pt>
                <c:pt idx="28">
                  <c:v>710.456651</c:v>
                </c:pt>
                <c:pt idx="29">
                  <c:v>760.298437</c:v>
                </c:pt>
              </c:numCache>
            </c:numRef>
          </c:val>
          <c:smooth val="1"/>
        </c:ser>
        <c:ser>
          <c:idx val="4"/>
          <c:order val="4"/>
          <c:tx>
            <c:strRef>
              <c:f>'RangeCalculation - Verbrauch in'!$G$2:$G$4</c:f>
              <c:strCache>
                <c:ptCount val="1"/>
                <c:pt idx="0">
                  <c:v>10</c:v>
                </c:pt>
              </c:strCache>
            </c:strRef>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in'!$G$5:$G$34</c:f>
              <c:numCache>
                <c:ptCount val="30"/>
                <c:pt idx="0">
                  <c:v>0.829864</c:v>
                </c:pt>
                <c:pt idx="1">
                  <c:v>3.319457</c:v>
                </c:pt>
                <c:pt idx="2">
                  <c:v>7.468779</c:v>
                </c:pt>
                <c:pt idx="3">
                  <c:v>13.277829</c:v>
                </c:pt>
                <c:pt idx="4">
                  <c:v>20.746608</c:v>
                </c:pt>
                <c:pt idx="5">
                  <c:v>29.875115</c:v>
                </c:pt>
                <c:pt idx="6">
                  <c:v>40.663351</c:v>
                </c:pt>
                <c:pt idx="7">
                  <c:v>53.111316</c:v>
                </c:pt>
                <c:pt idx="8">
                  <c:v>67.219009</c:v>
                </c:pt>
                <c:pt idx="9">
                  <c:v>82.986431</c:v>
                </c:pt>
                <c:pt idx="10">
                  <c:v>100.413582</c:v>
                </c:pt>
                <c:pt idx="11">
                  <c:v>119.500461</c:v>
                </c:pt>
                <c:pt idx="12">
                  <c:v>140.247069</c:v>
                </c:pt>
                <c:pt idx="13">
                  <c:v>162.653405</c:v>
                </c:pt>
                <c:pt idx="14">
                  <c:v>186.719470</c:v>
                </c:pt>
                <c:pt idx="15">
                  <c:v>212.445264</c:v>
                </c:pt>
                <c:pt idx="16">
                  <c:v>239.830787</c:v>
                </c:pt>
                <c:pt idx="17">
                  <c:v>268.876037</c:v>
                </c:pt>
                <c:pt idx="18">
                  <c:v>299.581017</c:v>
                </c:pt>
                <c:pt idx="19">
                  <c:v>331.945725</c:v>
                </c:pt>
                <c:pt idx="20">
                  <c:v>365.970162</c:v>
                </c:pt>
                <c:pt idx="21">
                  <c:v>401.654328</c:v>
                </c:pt>
                <c:pt idx="22">
                  <c:v>438.998222</c:v>
                </c:pt>
                <c:pt idx="23">
                  <c:v>478.001844</c:v>
                </c:pt>
                <c:pt idx="24">
                  <c:v>518.665196</c:v>
                </c:pt>
                <c:pt idx="25">
                  <c:v>560.988276</c:v>
                </c:pt>
                <c:pt idx="26">
                  <c:v>604.971084</c:v>
                </c:pt>
                <c:pt idx="27">
                  <c:v>650.613622</c:v>
                </c:pt>
                <c:pt idx="28">
                  <c:v>697.915887</c:v>
                </c:pt>
                <c:pt idx="29">
                  <c:v>746.877882</c:v>
                </c:pt>
              </c:numCache>
            </c:numRef>
          </c:val>
          <c:smooth val="1"/>
        </c:ser>
        <c:ser>
          <c:idx val="5"/>
          <c:order val="5"/>
          <c:tx>
            <c:strRef>
              <c:f>'RangeCalculation - Verbrauch in'!$H$2:$H$4</c:f>
              <c:strCache>
                <c:ptCount val="1"/>
                <c:pt idx="0">
                  <c:v>15</c:v>
                </c:pt>
              </c:strCache>
            </c:strRef>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in'!$H$5:$H$34</c:f>
              <c:numCache>
                <c:ptCount val="30"/>
                <c:pt idx="0">
                  <c:v>0.815485</c:v>
                </c:pt>
                <c:pt idx="1">
                  <c:v>3.261941</c:v>
                </c:pt>
                <c:pt idx="2">
                  <c:v>7.339366</c:v>
                </c:pt>
                <c:pt idx="3">
                  <c:v>13.047762</c:v>
                </c:pt>
                <c:pt idx="4">
                  <c:v>20.387129</c:v>
                </c:pt>
                <c:pt idx="5">
                  <c:v>29.357465</c:v>
                </c:pt>
                <c:pt idx="6">
                  <c:v>39.958772</c:v>
                </c:pt>
                <c:pt idx="7">
                  <c:v>52.191049</c:v>
                </c:pt>
                <c:pt idx="8">
                  <c:v>66.054297</c:v>
                </c:pt>
                <c:pt idx="9">
                  <c:v>81.548515</c:v>
                </c:pt>
                <c:pt idx="10">
                  <c:v>98.673703</c:v>
                </c:pt>
                <c:pt idx="11">
                  <c:v>117.429861</c:v>
                </c:pt>
                <c:pt idx="12">
                  <c:v>137.816990</c:v>
                </c:pt>
                <c:pt idx="13">
                  <c:v>159.835089</c:v>
                </c:pt>
                <c:pt idx="14">
                  <c:v>183.484158</c:v>
                </c:pt>
                <c:pt idx="15">
                  <c:v>208.764198</c:v>
                </c:pt>
                <c:pt idx="16">
                  <c:v>235.675207</c:v>
                </c:pt>
                <c:pt idx="17">
                  <c:v>264.217188</c:v>
                </c:pt>
                <c:pt idx="18">
                  <c:v>294.390138</c:v>
                </c:pt>
                <c:pt idx="19">
                  <c:v>326.194059</c:v>
                </c:pt>
                <c:pt idx="20">
                  <c:v>359.628950</c:v>
                </c:pt>
                <c:pt idx="21">
                  <c:v>394.694811</c:v>
                </c:pt>
                <c:pt idx="22">
                  <c:v>431.391643</c:v>
                </c:pt>
                <c:pt idx="23">
                  <c:v>469.719444</c:v>
                </c:pt>
                <c:pt idx="24">
                  <c:v>509.678217</c:v>
                </c:pt>
                <c:pt idx="25">
                  <c:v>551.267959</c:v>
                </c:pt>
                <c:pt idx="26">
                  <c:v>594.488672</c:v>
                </c:pt>
                <c:pt idx="27">
                  <c:v>639.340355</c:v>
                </c:pt>
                <c:pt idx="28">
                  <c:v>685.823008</c:v>
                </c:pt>
                <c:pt idx="29">
                  <c:v>733.936632</c:v>
                </c:pt>
              </c:numCache>
            </c:numRef>
          </c:val>
          <c:smooth val="1"/>
        </c:ser>
        <c:ser>
          <c:idx val="6"/>
          <c:order val="6"/>
          <c:tx>
            <c:strRef>
              <c:f>'RangeCalculation - Verbrauch in'!$I$2:$I$4</c:f>
              <c:strCache>
                <c:ptCount val="1"/>
                <c:pt idx="0">
                  <c:v>20</c:v>
                </c:pt>
              </c:strCache>
            </c:strRef>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in'!$I$5:$I$34</c:f>
              <c:numCache>
                <c:ptCount val="30"/>
                <c:pt idx="0">
                  <c:v>0.801572</c:v>
                </c:pt>
                <c:pt idx="1">
                  <c:v>3.206288</c:v>
                </c:pt>
                <c:pt idx="2">
                  <c:v>7.214148</c:v>
                </c:pt>
                <c:pt idx="3">
                  <c:v>12.825152</c:v>
                </c:pt>
                <c:pt idx="4">
                  <c:v>20.039299</c:v>
                </c:pt>
                <c:pt idx="5">
                  <c:v>28.856591</c:v>
                </c:pt>
                <c:pt idx="6">
                  <c:v>39.277027</c:v>
                </c:pt>
                <c:pt idx="7">
                  <c:v>51.300606</c:v>
                </c:pt>
                <c:pt idx="8">
                  <c:v>64.927330</c:v>
                </c:pt>
                <c:pt idx="9">
                  <c:v>80.157197</c:v>
                </c:pt>
                <c:pt idx="10">
                  <c:v>96.990209</c:v>
                </c:pt>
                <c:pt idx="11">
                  <c:v>115.426364</c:v>
                </c:pt>
                <c:pt idx="12">
                  <c:v>135.465663</c:v>
                </c:pt>
                <c:pt idx="13">
                  <c:v>157.108106</c:v>
                </c:pt>
                <c:pt idx="14">
                  <c:v>180.353694</c:v>
                </c:pt>
                <c:pt idx="15">
                  <c:v>205.202425</c:v>
                </c:pt>
                <c:pt idx="16">
                  <c:v>231.654300</c:v>
                </c:pt>
                <c:pt idx="17">
                  <c:v>259.709319</c:v>
                </c:pt>
                <c:pt idx="18">
                  <c:v>289.367482</c:v>
                </c:pt>
                <c:pt idx="19">
                  <c:v>320.628789</c:v>
                </c:pt>
                <c:pt idx="20">
                  <c:v>353.493239</c:v>
                </c:pt>
                <c:pt idx="21">
                  <c:v>387.960834</c:v>
                </c:pt>
                <c:pt idx="22">
                  <c:v>424.031573</c:v>
                </c:pt>
                <c:pt idx="23">
                  <c:v>461.705456</c:v>
                </c:pt>
                <c:pt idx="24">
                  <c:v>500.982482</c:v>
                </c:pt>
                <c:pt idx="25">
                  <c:v>541.862653</c:v>
                </c:pt>
                <c:pt idx="26">
                  <c:v>584.345967</c:v>
                </c:pt>
                <c:pt idx="27">
                  <c:v>628.432426</c:v>
                </c:pt>
                <c:pt idx="28">
                  <c:v>674.122028</c:v>
                </c:pt>
                <c:pt idx="29">
                  <c:v>721.414774</c:v>
                </c:pt>
              </c:numCache>
            </c:numRef>
          </c:val>
          <c:smooth val="1"/>
        </c:ser>
        <c:ser>
          <c:idx val="7"/>
          <c:order val="7"/>
          <c:tx>
            <c:strRef>
              <c:f>'RangeCalculation - Verbrauch in'!$J$2:$J$4</c:f>
              <c:strCache>
                <c:ptCount val="1"/>
                <c:pt idx="0">
                  <c:v>25</c:v>
                </c:pt>
              </c:strCache>
            </c:strRef>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in'!$J$5:$J$34</c:f>
              <c:numCache>
                <c:ptCount val="30"/>
                <c:pt idx="0">
                  <c:v>0.788125</c:v>
                </c:pt>
                <c:pt idx="1">
                  <c:v>3.152499</c:v>
                </c:pt>
                <c:pt idx="2">
                  <c:v>7.093123</c:v>
                </c:pt>
                <c:pt idx="3">
                  <c:v>12.609997</c:v>
                </c:pt>
                <c:pt idx="4">
                  <c:v>19.703120</c:v>
                </c:pt>
                <c:pt idx="5">
                  <c:v>28.372492</c:v>
                </c:pt>
                <c:pt idx="6">
                  <c:v>38.618115</c:v>
                </c:pt>
                <c:pt idx="7">
                  <c:v>50.439986</c:v>
                </c:pt>
                <c:pt idx="8">
                  <c:v>63.838108</c:v>
                </c:pt>
                <c:pt idx="9">
                  <c:v>78.812479</c:v>
                </c:pt>
                <c:pt idx="10">
                  <c:v>95.363099</c:v>
                </c:pt>
                <c:pt idx="11">
                  <c:v>113.489969</c:v>
                </c:pt>
                <c:pt idx="12">
                  <c:v>133.193089</c:v>
                </c:pt>
                <c:pt idx="13">
                  <c:v>154.472458</c:v>
                </c:pt>
                <c:pt idx="14">
                  <c:v>177.328077</c:v>
                </c:pt>
                <c:pt idx="15">
                  <c:v>201.759946</c:v>
                </c:pt>
                <c:pt idx="16">
                  <c:v>227.768064</c:v>
                </c:pt>
                <c:pt idx="17">
                  <c:v>255.352431</c:v>
                </c:pt>
                <c:pt idx="18">
                  <c:v>284.513048</c:v>
                </c:pt>
                <c:pt idx="19">
                  <c:v>315.249915</c:v>
                </c:pt>
                <c:pt idx="20">
                  <c:v>347.563031</c:v>
                </c:pt>
                <c:pt idx="21">
                  <c:v>381.452397</c:v>
                </c:pt>
                <c:pt idx="22">
                  <c:v>416.918013</c:v>
                </c:pt>
                <c:pt idx="23">
                  <c:v>453.959878</c:v>
                </c:pt>
                <c:pt idx="24">
                  <c:v>492.577992</c:v>
                </c:pt>
                <c:pt idx="25">
                  <c:v>532.772357</c:v>
                </c:pt>
                <c:pt idx="26">
                  <c:v>574.542970</c:v>
                </c:pt>
                <c:pt idx="27">
                  <c:v>617.889834</c:v>
                </c:pt>
                <c:pt idx="28">
                  <c:v>662.812947</c:v>
                </c:pt>
                <c:pt idx="29">
                  <c:v>709.312309</c:v>
                </c:pt>
              </c:numCache>
            </c:numRef>
          </c:val>
          <c:smooth val="1"/>
        </c:ser>
        <c:ser>
          <c:idx val="8"/>
          <c:order val="8"/>
          <c:tx>
            <c:strRef>
              <c:f>'RangeCalculation - Verbrauch in'!$K$2:$K$4</c:f>
              <c:strCache>
                <c:ptCount val="1"/>
                <c:pt idx="0">
                  <c:v>30</c:v>
                </c:pt>
              </c:strCache>
            </c:strRef>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in'!$K$5:$K$34</c:f>
              <c:numCache>
                <c:ptCount val="30"/>
                <c:pt idx="0">
                  <c:v>0.775144</c:v>
                </c:pt>
                <c:pt idx="1">
                  <c:v>3.100574</c:v>
                </c:pt>
                <c:pt idx="2">
                  <c:v>6.976292</c:v>
                </c:pt>
                <c:pt idx="3">
                  <c:v>12.402298</c:v>
                </c:pt>
                <c:pt idx="4">
                  <c:v>19.378590</c:v>
                </c:pt>
                <c:pt idx="5">
                  <c:v>27.905169</c:v>
                </c:pt>
                <c:pt idx="6">
                  <c:v>37.982036</c:v>
                </c:pt>
                <c:pt idx="7">
                  <c:v>49.609190</c:v>
                </c:pt>
                <c:pt idx="8">
                  <c:v>62.786631</c:v>
                </c:pt>
                <c:pt idx="9">
                  <c:v>77.514360</c:v>
                </c:pt>
                <c:pt idx="10">
                  <c:v>93.792375</c:v>
                </c:pt>
                <c:pt idx="11">
                  <c:v>111.620678</c:v>
                </c:pt>
                <c:pt idx="12">
                  <c:v>130.999268</c:v>
                </c:pt>
                <c:pt idx="13">
                  <c:v>151.928145</c:v>
                </c:pt>
                <c:pt idx="14">
                  <c:v>174.407309</c:v>
                </c:pt>
                <c:pt idx="15">
                  <c:v>198.436760</c:v>
                </c:pt>
                <c:pt idx="16">
                  <c:v>224.016499</c:v>
                </c:pt>
                <c:pt idx="17">
                  <c:v>251.146525</c:v>
                </c:pt>
                <c:pt idx="18">
                  <c:v>279.826838</c:v>
                </c:pt>
                <c:pt idx="19">
                  <c:v>310.057438</c:v>
                </c:pt>
                <c:pt idx="20">
                  <c:v>341.838326</c:v>
                </c:pt>
                <c:pt idx="21">
                  <c:v>375.169500</c:v>
                </c:pt>
                <c:pt idx="22">
                  <c:v>410.050962</c:v>
                </c:pt>
                <c:pt idx="23">
                  <c:v>446.482711</c:v>
                </c:pt>
                <c:pt idx="24">
                  <c:v>484.464747</c:v>
                </c:pt>
                <c:pt idx="25">
                  <c:v>523.997071</c:v>
                </c:pt>
                <c:pt idx="26">
                  <c:v>565.079681</c:v>
                </c:pt>
                <c:pt idx="27">
                  <c:v>607.712579</c:v>
                </c:pt>
                <c:pt idx="28">
                  <c:v>651.895764</c:v>
                </c:pt>
                <c:pt idx="29">
                  <c:v>697.629236</c:v>
                </c:pt>
              </c:numCache>
            </c:numRef>
          </c:val>
          <c:smooth val="1"/>
        </c:ser>
        <c:ser>
          <c:idx val="9"/>
          <c:order val="9"/>
          <c:tx>
            <c:strRef>
              <c:f>'RangeCalculation - Verbrauch in'!$L$2:$L$4</c:f>
              <c:strCache>
                <c:ptCount val="1"/>
                <c:pt idx="0">
                  <c:v>35</c:v>
                </c:pt>
              </c:strCache>
            </c:strRef>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in'!$L$5:$L$34</c:f>
              <c:numCache>
                <c:ptCount val="30"/>
                <c:pt idx="0">
                  <c:v>0.762562</c:v>
                </c:pt>
                <c:pt idx="1">
                  <c:v>3.050247</c:v>
                </c:pt>
                <c:pt idx="2">
                  <c:v>6.863056</c:v>
                </c:pt>
                <c:pt idx="3">
                  <c:v>12.200989</c:v>
                </c:pt>
                <c:pt idx="4">
                  <c:v>19.064046</c:v>
                </c:pt>
                <c:pt idx="5">
                  <c:v>27.452226</c:v>
                </c:pt>
                <c:pt idx="6">
                  <c:v>37.365529</c:v>
                </c:pt>
                <c:pt idx="7">
                  <c:v>48.803957</c:v>
                </c:pt>
                <c:pt idx="8">
                  <c:v>61.767508</c:v>
                </c:pt>
                <c:pt idx="9">
                  <c:v>76.256182</c:v>
                </c:pt>
                <c:pt idx="10">
                  <c:v>92.269981</c:v>
                </c:pt>
                <c:pt idx="11">
                  <c:v>109.808903</c:v>
                </c:pt>
                <c:pt idx="12">
                  <c:v>128.872948</c:v>
                </c:pt>
                <c:pt idx="13">
                  <c:v>149.462118</c:v>
                </c:pt>
                <c:pt idx="14">
                  <c:v>171.576411</c:v>
                </c:pt>
                <c:pt idx="15">
                  <c:v>195.215827</c:v>
                </c:pt>
                <c:pt idx="16">
                  <c:v>220.380367</c:v>
                </c:pt>
                <c:pt idx="17">
                  <c:v>247.070031</c:v>
                </c:pt>
                <c:pt idx="18">
                  <c:v>275.284819</c:v>
                </c:pt>
                <c:pt idx="19">
                  <c:v>305.024730</c:v>
                </c:pt>
                <c:pt idx="20">
                  <c:v>336.289765</c:v>
                </c:pt>
                <c:pt idx="21">
                  <c:v>369.079923</c:v>
                </c:pt>
                <c:pt idx="22">
                  <c:v>403.395205</c:v>
                </c:pt>
                <c:pt idx="23">
                  <c:v>439.235611</c:v>
                </c:pt>
                <c:pt idx="24">
                  <c:v>476.601141</c:v>
                </c:pt>
                <c:pt idx="25">
                  <c:v>515.491794</c:v>
                </c:pt>
                <c:pt idx="26">
                  <c:v>555.907570</c:v>
                </c:pt>
                <c:pt idx="27">
                  <c:v>597.848471</c:v>
                </c:pt>
                <c:pt idx="28">
                  <c:v>641.314495</c:v>
                </c:pt>
                <c:pt idx="29">
                  <c:v>686.305642</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Widerstand in N</a:t>
                </a:r>
              </a:p>
            </c:rich>
          </c:tx>
          <c:layout/>
          <c:overlay val="1"/>
        </c:title>
        <c:numFmt formatCode="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valAx>
      <c:spPr>
        <a:noFill/>
        <a:ln w="12700" cap="flat">
          <a:noFill/>
          <a:miter lim="400000"/>
        </a:ln>
        <a:effectLst/>
      </c:spPr>
    </c:plotArea>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Grundstadtfahrzyklus </a:t>
            </a:r>
          </a:p>
        </c:rich>
      </c:tx>
      <c:layout>
        <c:manualLayout>
          <c:xMode val="edge"/>
          <c:yMode val="edge"/>
          <c:x val="0.322657"/>
          <c:y val="0"/>
          <c:w val="0.354687"/>
          <c:h val="0.0902778"/>
        </c:manualLayout>
      </c:layout>
      <c:overlay val="1"/>
      <c:spPr>
        <a:noFill/>
        <a:effectLst/>
      </c:spPr>
    </c:title>
    <c:autoTitleDeleted val="1"/>
    <c:plotArea>
      <c:layout>
        <c:manualLayout>
          <c:layoutTarget val="inner"/>
          <c:xMode val="edge"/>
          <c:yMode val="edge"/>
          <c:x val="0.0518338"/>
          <c:y val="0.0902778"/>
          <c:w val="0.927449"/>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NEFZ vom 15.2.2012 Quell'!$H$3:$H$28</c:f>
              <c:numCache>
                <c:ptCount val="26"/>
                <c:pt idx="0">
                  <c:v>0.000000</c:v>
                </c:pt>
                <c:pt idx="1">
                  <c:v>11.000000</c:v>
                </c:pt>
                <c:pt idx="2">
                  <c:v>15.000000</c:v>
                </c:pt>
                <c:pt idx="3">
                  <c:v>23.000000</c:v>
                </c:pt>
                <c:pt idx="4">
                  <c:v>25.000000</c:v>
                </c:pt>
                <c:pt idx="5">
                  <c:v>28.000000</c:v>
                </c:pt>
                <c:pt idx="6">
                  <c:v>49.000000</c:v>
                </c:pt>
                <c:pt idx="7">
                  <c:v>54.000000</c:v>
                </c:pt>
                <c:pt idx="8">
                  <c:v>56.000000</c:v>
                </c:pt>
                <c:pt idx="9">
                  <c:v>61.000000</c:v>
                </c:pt>
                <c:pt idx="10">
                  <c:v>85.000000</c:v>
                </c:pt>
                <c:pt idx="11">
                  <c:v>93.000000</c:v>
                </c:pt>
                <c:pt idx="12">
                  <c:v>96.000000</c:v>
                </c:pt>
                <c:pt idx="13">
                  <c:v>117.000000</c:v>
                </c:pt>
                <c:pt idx="14">
                  <c:v>122.000000</c:v>
                </c:pt>
                <c:pt idx="15">
                  <c:v>124.000000</c:v>
                </c:pt>
                <c:pt idx="16">
                  <c:v>133.000000</c:v>
                </c:pt>
                <c:pt idx="17">
                  <c:v>135.000000</c:v>
                </c:pt>
                <c:pt idx="18">
                  <c:v>143.000000</c:v>
                </c:pt>
                <c:pt idx="19">
                  <c:v>155.000000</c:v>
                </c:pt>
                <c:pt idx="20">
                  <c:v>163.000000</c:v>
                </c:pt>
                <c:pt idx="21">
                  <c:v>176.000000</c:v>
                </c:pt>
                <c:pt idx="22">
                  <c:v>178.000000</c:v>
                </c:pt>
                <c:pt idx="23">
                  <c:v>185.000000</c:v>
                </c:pt>
                <c:pt idx="24">
                  <c:v>188.000000</c:v>
                </c:pt>
                <c:pt idx="25">
                  <c:v>195.000000</c:v>
                </c:pt>
              </c:numCache>
            </c:numRef>
          </c:xVal>
          <c:yVal>
            <c:numRef>
              <c:f>'NEFZ - NEFZ vom 15.2.2012 Quell'!$F$3:$F$28</c:f>
              <c:numCache>
                <c:ptCount val="25"/>
                <c:pt idx="1">
                  <c:v>0.000000</c:v>
                </c:pt>
                <c:pt idx="2">
                  <c:v>15.000000</c:v>
                </c:pt>
                <c:pt idx="3">
                  <c:v>15.000000</c:v>
                </c:pt>
                <c:pt idx="4">
                  <c:v>10.000000</c:v>
                </c:pt>
                <c:pt idx="5">
                  <c:v>0.000000</c:v>
                </c:pt>
                <c:pt idx="6">
                  <c:v>0.000000</c:v>
                </c:pt>
                <c:pt idx="7">
                  <c:v>15.000000</c:v>
                </c:pt>
                <c:pt idx="8">
                  <c:v>15.000000</c:v>
                </c:pt>
                <c:pt idx="9">
                  <c:v>32.000000</c:v>
                </c:pt>
                <c:pt idx="10">
                  <c:v>32.000000</c:v>
                </c:pt>
                <c:pt idx="11">
                  <c:v>10.000000</c:v>
                </c:pt>
                <c:pt idx="12">
                  <c:v>0.000000</c:v>
                </c:pt>
                <c:pt idx="13">
                  <c:v>0.000000</c:v>
                </c:pt>
                <c:pt idx="14">
                  <c:v>15.000000</c:v>
                </c:pt>
                <c:pt idx="15">
                  <c:v>15.000000</c:v>
                </c:pt>
                <c:pt idx="16">
                  <c:v>35.000000</c:v>
                </c:pt>
                <c:pt idx="17">
                  <c:v>35.000000</c:v>
                </c:pt>
                <c:pt idx="18">
                  <c:v>50.000000</c:v>
                </c:pt>
                <c:pt idx="19">
                  <c:v>50.000000</c:v>
                </c:pt>
                <c:pt idx="20">
                  <c:v>35.000000</c:v>
                </c:pt>
                <c:pt idx="21">
                  <c:v>35.000000</c:v>
                </c:pt>
                <c:pt idx="22">
                  <c:v>35.000000</c:v>
                </c:pt>
                <c:pt idx="23">
                  <c:v>10.000000</c:v>
                </c:pt>
                <c:pt idx="24">
                  <c:v>0.000000</c:v>
                </c:pt>
                <c:pt idx="25">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2.5"/>
        <c:minorUnit val="6.25"/>
      </c:valAx>
      <c:spPr>
        <a:noFill/>
        <a:ln w="12700" cap="flat">
          <a:noFill/>
          <a:miter lim="400000"/>
        </a:ln>
        <a:effectLst/>
      </c:spPr>
    </c:plotArea>
    <c:legend>
      <c:legendPos val="r"/>
      <c:layout>
        <c:manualLayout>
          <c:xMode val="edge"/>
          <c:yMode val="edge"/>
          <c:x val="0.0385216"/>
          <c:y val="0.123785"/>
          <c:w val="0.917586"/>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Außerstädtischer Fahrzyklus </a:t>
            </a:r>
          </a:p>
        </c:rich>
      </c:tx>
      <c:layout>
        <c:manualLayout>
          <c:xMode val="edge"/>
          <c:yMode val="edge"/>
          <c:x val="0.280982"/>
          <c:y val="0"/>
          <c:w val="0.438035"/>
          <c:h val="0.0902778"/>
        </c:manualLayout>
      </c:layout>
      <c:overlay val="1"/>
      <c:spPr>
        <a:noFill/>
        <a:effectLst/>
      </c:spPr>
    </c:title>
    <c:autoTitleDeleted val="1"/>
    <c:plotArea>
      <c:layout>
        <c:manualLayout>
          <c:layoutTarget val="inner"/>
          <c:xMode val="edge"/>
          <c:yMode val="edge"/>
          <c:x val="0.06403"/>
          <c:y val="0.0902778"/>
          <c:w val="0.915519"/>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NEFZ vom 15.2.2012 Quell'!$H$32:$H$52</c:f>
              <c:numCache>
                <c:ptCount val="21"/>
                <c:pt idx="0">
                  <c:v>20.000000</c:v>
                </c:pt>
                <c:pt idx="1">
                  <c:v>25.000000</c:v>
                </c:pt>
                <c:pt idx="2">
                  <c:v>27.000000</c:v>
                </c:pt>
                <c:pt idx="3">
                  <c:v>36.000000</c:v>
                </c:pt>
                <c:pt idx="4">
                  <c:v>38.000000</c:v>
                </c:pt>
                <c:pt idx="5">
                  <c:v>46.000000</c:v>
                </c:pt>
                <c:pt idx="6">
                  <c:v>48.000000</c:v>
                </c:pt>
                <c:pt idx="7">
                  <c:v>61.000000</c:v>
                </c:pt>
                <c:pt idx="8">
                  <c:v>111.000000</c:v>
                </c:pt>
                <c:pt idx="9">
                  <c:v>119.000000</c:v>
                </c:pt>
                <c:pt idx="10">
                  <c:v>188.000000</c:v>
                </c:pt>
                <c:pt idx="11">
                  <c:v>201.000000</c:v>
                </c:pt>
                <c:pt idx="12">
                  <c:v>251.000000</c:v>
                </c:pt>
                <c:pt idx="13">
                  <c:v>286.000000</c:v>
                </c:pt>
                <c:pt idx="14">
                  <c:v>316.000000</c:v>
                </c:pt>
                <c:pt idx="15">
                  <c:v>336.000000</c:v>
                </c:pt>
                <c:pt idx="16">
                  <c:v>346.000000</c:v>
                </c:pt>
                <c:pt idx="17">
                  <c:v>362.000000</c:v>
                </c:pt>
                <c:pt idx="18">
                  <c:v>370.000000</c:v>
                </c:pt>
                <c:pt idx="19">
                  <c:v>380.000000</c:v>
                </c:pt>
                <c:pt idx="20">
                  <c:v>400.000000</c:v>
                </c:pt>
              </c:numCache>
            </c:numRef>
          </c:xVal>
          <c:yVal>
            <c:numRef>
              <c:f>'NEFZ - NEFZ vom 15.2.2012 Quell'!$D$32:$D$52</c:f>
              <c:numCache>
                <c:ptCount val="21"/>
                <c:pt idx="0">
                  <c:v>0.000000</c:v>
                </c:pt>
                <c:pt idx="1">
                  <c:v>0.000000</c:v>
                </c:pt>
                <c:pt idx="2">
                  <c:v>15.000000</c:v>
                </c:pt>
                <c:pt idx="3">
                  <c:v>15.000000</c:v>
                </c:pt>
                <c:pt idx="4">
                  <c:v>35.000000</c:v>
                </c:pt>
                <c:pt idx="5">
                  <c:v>35.000000</c:v>
                </c:pt>
                <c:pt idx="6">
                  <c:v>50.000000</c:v>
                </c:pt>
                <c:pt idx="7">
                  <c:v>50.000000</c:v>
                </c:pt>
                <c:pt idx="8">
                  <c:v>70.000000</c:v>
                </c:pt>
                <c:pt idx="9">
                  <c:v>70.000000</c:v>
                </c:pt>
                <c:pt idx="10">
                  <c:v>50.000000</c:v>
                </c:pt>
                <c:pt idx="11">
                  <c:v>50.000000</c:v>
                </c:pt>
                <c:pt idx="12">
                  <c:v>70.000000</c:v>
                </c:pt>
                <c:pt idx="13">
                  <c:v>70.000000</c:v>
                </c:pt>
                <c:pt idx="14">
                  <c:v>100.000000</c:v>
                </c:pt>
                <c:pt idx="15">
                  <c:v>100.000000</c:v>
                </c:pt>
                <c:pt idx="16">
                  <c:v>120.000000</c:v>
                </c:pt>
                <c:pt idx="17">
                  <c:v>120.000000</c:v>
                </c:pt>
                <c:pt idx="18">
                  <c:v>80.000000</c:v>
                </c:pt>
                <c:pt idx="19">
                  <c:v>50.000000</c:v>
                </c:pt>
                <c:pt idx="20">
                  <c:v>0.000000</c:v>
                </c:pt>
              </c:numCache>
            </c:numRef>
          </c:yVal>
          <c:smooth val="0"/>
        </c:ser>
        <c:axId val="2094734552"/>
        <c:axId val="2094734553"/>
      </c:scatterChart>
      <c:valAx>
        <c:axId val="2094734552"/>
        <c:scaling>
          <c:orientation val="minMax"/>
        </c:scaling>
        <c:delete val="0"/>
        <c:axPos val="b"/>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
        <c:minorUnit val="15"/>
      </c:valAx>
      <c:spPr>
        <a:noFill/>
        <a:ln w="12700" cap="flat">
          <a:noFill/>
          <a:miter lim="400000"/>
        </a:ln>
        <a:effectLst/>
      </c:spPr>
    </c:plotArea>
    <c:legend>
      <c:legendPos val="r"/>
      <c:layout>
        <c:manualLayout>
          <c:xMode val="edge"/>
          <c:yMode val="edge"/>
          <c:x val="0.050889"/>
          <c:y val="0.157585"/>
          <c:w val="0.905783"/>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Grundstadtfahrzyklus </a:t>
            </a:r>
          </a:p>
        </c:rich>
      </c:tx>
      <c:layout>
        <c:manualLayout>
          <c:xMode val="edge"/>
          <c:yMode val="edge"/>
          <c:x val="0.324986"/>
          <c:y val="0"/>
          <c:w val="0.350027"/>
          <c:h val="0.0902778"/>
        </c:manualLayout>
      </c:layout>
      <c:overlay val="1"/>
      <c:spPr>
        <a:noFill/>
        <a:effectLst/>
      </c:spPr>
    </c:title>
    <c:autoTitleDeleted val="1"/>
    <c:plotArea>
      <c:layout>
        <c:manualLayout>
          <c:layoutTarget val="inner"/>
          <c:xMode val="edge"/>
          <c:yMode val="edge"/>
          <c:x val="0.0511529"/>
          <c:y val="0.0902778"/>
          <c:w val="0.928402"/>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'NEFZ-2 - NEFZ vom 15.2.2012 Que'!$H$3:$H$28</c:f>
              <c:numCache>
                <c:ptCount val="26"/>
                <c:pt idx="0">
                  <c:v>0.000000</c:v>
                </c:pt>
                <c:pt idx="1">
                  <c:v>11.000000</c:v>
                </c:pt>
                <c:pt idx="2">
                  <c:v>15.000000</c:v>
                </c:pt>
                <c:pt idx="3">
                  <c:v>23.000000</c:v>
                </c:pt>
                <c:pt idx="4">
                  <c:v>25.000000</c:v>
                </c:pt>
                <c:pt idx="5">
                  <c:v>28.000000</c:v>
                </c:pt>
                <c:pt idx="6">
                  <c:v>49.000000</c:v>
                </c:pt>
                <c:pt idx="7">
                  <c:v>54.000000</c:v>
                </c:pt>
                <c:pt idx="8">
                  <c:v>56.000000</c:v>
                </c:pt>
                <c:pt idx="9">
                  <c:v>61.000000</c:v>
                </c:pt>
                <c:pt idx="10">
                  <c:v>85.000000</c:v>
                </c:pt>
                <c:pt idx="11">
                  <c:v>93.000000</c:v>
                </c:pt>
                <c:pt idx="12">
                  <c:v>96.000000</c:v>
                </c:pt>
                <c:pt idx="13">
                  <c:v>117.000000</c:v>
                </c:pt>
                <c:pt idx="14">
                  <c:v>122.000000</c:v>
                </c:pt>
                <c:pt idx="15">
                  <c:v>124.000000</c:v>
                </c:pt>
                <c:pt idx="16">
                  <c:v>133.000000</c:v>
                </c:pt>
                <c:pt idx="17">
                  <c:v>135.000000</c:v>
                </c:pt>
                <c:pt idx="18">
                  <c:v>143.000000</c:v>
                </c:pt>
                <c:pt idx="19">
                  <c:v>155.000000</c:v>
                </c:pt>
                <c:pt idx="20">
                  <c:v>163.000000</c:v>
                </c:pt>
                <c:pt idx="21">
                  <c:v>176.000000</c:v>
                </c:pt>
                <c:pt idx="22">
                  <c:v>178.000000</c:v>
                </c:pt>
                <c:pt idx="23">
                  <c:v>185.000000</c:v>
                </c:pt>
                <c:pt idx="24">
                  <c:v>188.000000</c:v>
                </c:pt>
                <c:pt idx="25">
                  <c:v>195.000000</c:v>
                </c:pt>
              </c:numCache>
            </c:numRef>
          </c:xVal>
          <c:yVal>
            <c:numRef>
              <c:f>'NEFZ-2 - NEFZ vom 15.2.2012 Que'!$F$3:$F$28</c:f>
              <c:numCache>
                <c:ptCount val="25"/>
                <c:pt idx="1">
                  <c:v>0.000000</c:v>
                </c:pt>
                <c:pt idx="2">
                  <c:v>15.000000</c:v>
                </c:pt>
                <c:pt idx="3">
                  <c:v>15.000000</c:v>
                </c:pt>
                <c:pt idx="4">
                  <c:v>10.000000</c:v>
                </c:pt>
                <c:pt idx="5">
                  <c:v>0.000000</c:v>
                </c:pt>
                <c:pt idx="6">
                  <c:v>0.000000</c:v>
                </c:pt>
                <c:pt idx="7">
                  <c:v>15.000000</c:v>
                </c:pt>
                <c:pt idx="8">
                  <c:v>15.000000</c:v>
                </c:pt>
                <c:pt idx="9">
                  <c:v>32.000000</c:v>
                </c:pt>
                <c:pt idx="10">
                  <c:v>32.000000</c:v>
                </c:pt>
                <c:pt idx="11">
                  <c:v>10.000000</c:v>
                </c:pt>
                <c:pt idx="12">
                  <c:v>0.000000</c:v>
                </c:pt>
                <c:pt idx="13">
                  <c:v>0.000000</c:v>
                </c:pt>
                <c:pt idx="14">
                  <c:v>15.000000</c:v>
                </c:pt>
                <c:pt idx="15">
                  <c:v>15.000000</c:v>
                </c:pt>
                <c:pt idx="16">
                  <c:v>35.000000</c:v>
                </c:pt>
                <c:pt idx="17">
                  <c:v>35.000000</c:v>
                </c:pt>
                <c:pt idx="18">
                  <c:v>50.000000</c:v>
                </c:pt>
                <c:pt idx="19">
                  <c:v>50.000000</c:v>
                </c:pt>
                <c:pt idx="20">
                  <c:v>35.000000</c:v>
                </c:pt>
                <c:pt idx="21">
                  <c:v>35.000000</c:v>
                </c:pt>
                <c:pt idx="22">
                  <c:v>35.000000</c:v>
                </c:pt>
                <c:pt idx="23">
                  <c:v>10.000000</c:v>
                </c:pt>
                <c:pt idx="24">
                  <c:v>0.000000</c:v>
                </c:pt>
                <c:pt idx="25">
                  <c:v>0.000000</c:v>
                </c:pt>
              </c:numCache>
            </c:numRef>
          </c:yVal>
          <c:smooth val="0"/>
        </c:ser>
        <c:axId val="2094734552"/>
        <c:axId val="2094734553"/>
      </c:scatterChart>
      <c:valAx>
        <c:axId val="2094734552"/>
        <c:scaling>
          <c:orientation val="minMax"/>
        </c:scaling>
        <c:delete val="0"/>
        <c:axPos val="b"/>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5"/>
      </c:valAx>
      <c:valAx>
        <c:axId val="2094734553"/>
        <c:scaling>
          <c:orientation val="minMax"/>
        </c:scaling>
        <c:delete val="0"/>
        <c:axPos val="l"/>
        <c:majorGridlines>
          <c:spPr>
            <a:ln w="3175"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2.5"/>
        <c:minorUnit val="6.25"/>
      </c:valAx>
      <c:spPr>
        <a:noFill/>
        <a:ln w="12700" cap="flat">
          <a:noFill/>
          <a:miter lim="400000"/>
        </a:ln>
        <a:effectLst/>
      </c:spPr>
    </c:plotArea>
    <c:legend>
      <c:legendPos val="r"/>
      <c:layout>
        <c:manualLayout>
          <c:xMode val="edge"/>
          <c:yMode val="edge"/>
          <c:x val="0.0385216"/>
          <c:y val="0.123785"/>
          <c:w val="0.917586"/>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Außerstädtischer Fahrzyklus </a:t>
            </a:r>
          </a:p>
        </c:rich>
      </c:tx>
      <c:layout>
        <c:manualLayout>
          <c:xMode val="edge"/>
          <c:yMode val="edge"/>
          <c:x val="0.283823"/>
          <c:y val="0"/>
          <c:w val="0.432353"/>
          <c:h val="0.0902778"/>
        </c:manualLayout>
      </c:layout>
      <c:overlay val="1"/>
      <c:spPr>
        <a:noFill/>
        <a:effectLst/>
      </c:spPr>
    </c:title>
    <c:autoTitleDeleted val="1"/>
    <c:plotArea>
      <c:layout>
        <c:manualLayout>
          <c:layoutTarget val="inner"/>
          <c:xMode val="edge"/>
          <c:yMode val="edge"/>
          <c:x val="0.0631995"/>
          <c:y val="0.0902778"/>
          <c:w val="0.916615"/>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'NEFZ-2 - NEFZ vom 15.2.2012 Que'!$H$32:$H$52</c:f>
              <c:numCache>
                <c:ptCount val="21"/>
                <c:pt idx="0">
                  <c:v>20.000000</c:v>
                </c:pt>
                <c:pt idx="1">
                  <c:v>25.000000</c:v>
                </c:pt>
                <c:pt idx="2">
                  <c:v>27.000000</c:v>
                </c:pt>
                <c:pt idx="3">
                  <c:v>36.000000</c:v>
                </c:pt>
                <c:pt idx="4">
                  <c:v>38.000000</c:v>
                </c:pt>
                <c:pt idx="5">
                  <c:v>46.000000</c:v>
                </c:pt>
                <c:pt idx="6">
                  <c:v>48.000000</c:v>
                </c:pt>
                <c:pt idx="7">
                  <c:v>61.000000</c:v>
                </c:pt>
                <c:pt idx="8">
                  <c:v>111.000000</c:v>
                </c:pt>
                <c:pt idx="9">
                  <c:v>119.000000</c:v>
                </c:pt>
                <c:pt idx="10">
                  <c:v>188.000000</c:v>
                </c:pt>
                <c:pt idx="11">
                  <c:v>201.000000</c:v>
                </c:pt>
                <c:pt idx="12">
                  <c:v>251.000000</c:v>
                </c:pt>
                <c:pt idx="13">
                  <c:v>286.000000</c:v>
                </c:pt>
                <c:pt idx="14">
                  <c:v>316.000000</c:v>
                </c:pt>
                <c:pt idx="15">
                  <c:v>336.000000</c:v>
                </c:pt>
                <c:pt idx="16">
                  <c:v>346.000000</c:v>
                </c:pt>
                <c:pt idx="17">
                  <c:v>362.000000</c:v>
                </c:pt>
                <c:pt idx="18">
                  <c:v>370.000000</c:v>
                </c:pt>
                <c:pt idx="19">
                  <c:v>380.000000</c:v>
                </c:pt>
                <c:pt idx="20">
                  <c:v>400.000000</c:v>
                </c:pt>
              </c:numCache>
            </c:numRef>
          </c:xVal>
          <c:yVal>
            <c:numRef>
              <c:f>'NEFZ-2 - NEFZ vom 15.2.2012 Que'!$D$32:$D$52</c:f>
              <c:numCache>
                <c:ptCount val="21"/>
                <c:pt idx="0">
                  <c:v>0.000000</c:v>
                </c:pt>
                <c:pt idx="1">
                  <c:v>0.000000</c:v>
                </c:pt>
                <c:pt idx="2">
                  <c:v>15.000000</c:v>
                </c:pt>
                <c:pt idx="3">
                  <c:v>15.000000</c:v>
                </c:pt>
                <c:pt idx="4">
                  <c:v>35.000000</c:v>
                </c:pt>
                <c:pt idx="5">
                  <c:v>35.000000</c:v>
                </c:pt>
                <c:pt idx="6">
                  <c:v>50.000000</c:v>
                </c:pt>
                <c:pt idx="7">
                  <c:v>50.000000</c:v>
                </c:pt>
                <c:pt idx="8">
                  <c:v>70.000000</c:v>
                </c:pt>
                <c:pt idx="9">
                  <c:v>70.000000</c:v>
                </c:pt>
                <c:pt idx="10">
                  <c:v>50.000000</c:v>
                </c:pt>
                <c:pt idx="11">
                  <c:v>50.000000</c:v>
                </c:pt>
                <c:pt idx="12">
                  <c:v>70.000000</c:v>
                </c:pt>
                <c:pt idx="13">
                  <c:v>70.000000</c:v>
                </c:pt>
                <c:pt idx="14">
                  <c:v>100.000000</c:v>
                </c:pt>
                <c:pt idx="15">
                  <c:v>100.000000</c:v>
                </c:pt>
                <c:pt idx="16">
                  <c:v>120.000000</c:v>
                </c:pt>
                <c:pt idx="17">
                  <c:v>120.000000</c:v>
                </c:pt>
                <c:pt idx="18">
                  <c:v>80.000000</c:v>
                </c:pt>
                <c:pt idx="19">
                  <c:v>50.000000</c:v>
                </c:pt>
                <c:pt idx="20">
                  <c:v>0.000000</c:v>
                </c:pt>
              </c:numCache>
            </c:numRef>
          </c:yVal>
          <c:smooth val="0"/>
        </c:ser>
        <c:axId val="2094734552"/>
        <c:axId val="2094734553"/>
      </c:scatterChart>
      <c:valAx>
        <c:axId val="2094734552"/>
        <c:scaling>
          <c:orientation val="minMax"/>
        </c:scaling>
        <c:delete val="0"/>
        <c:axPos val="b"/>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
        <c:minorUnit val="15"/>
      </c:valAx>
      <c:spPr>
        <a:noFill/>
        <a:ln w="12700" cap="flat">
          <a:noFill/>
          <a:miter lim="400000"/>
        </a:ln>
        <a:effectLst/>
      </c:spPr>
    </c:plotArea>
    <c:legend>
      <c:legendPos val="r"/>
      <c:layout>
        <c:manualLayout>
          <c:xMode val="edge"/>
          <c:yMode val="edge"/>
          <c:x val="0.050889"/>
          <c:y val="0.157585"/>
          <c:w val="0.905783"/>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74986"/>
          <c:y val="0.119122"/>
          <c:w val="0.881537"/>
          <c:h val="0.760227"/>
        </c:manualLayout>
      </c:layout>
      <c:scatterChart>
        <c:scatterStyle val="lineMarker"/>
        <c:varyColors val="0"/>
        <c:ser>
          <c:idx val="0"/>
          <c:order val="0"/>
          <c:tx>
            <c:v>Verbrauch/Geschwindigkeit</c:v>
          </c:tx>
          <c:spPr>
            <a:solidFill>
              <a:srgbClr val="FFFFFF"/>
            </a:solidFill>
            <a:ln w="12700" cap="flat">
              <a:noFill/>
              <a:prstDash val="solid"/>
              <a:miter lim="400000"/>
            </a:ln>
            <a:effectLst/>
          </c:spPr>
          <c:marker>
            <c:symbol val="x"/>
            <c:size val="3"/>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'User reported ranges'!$D$2:$D$25</c:f>
              <c:numCache>
                <c:ptCount val="24"/>
                <c:pt idx="0">
                  <c:v>42.800000</c:v>
                </c:pt>
                <c:pt idx="1">
                  <c:v>46.000000</c:v>
                </c:pt>
                <c:pt idx="2">
                  <c:v>51.100000</c:v>
                </c:pt>
                <c:pt idx="3">
                  <c:v>56.200000</c:v>
                </c:pt>
                <c:pt idx="4">
                  <c:v>82.700000</c:v>
                </c:pt>
                <c:pt idx="5">
                  <c:v>82.500000</c:v>
                </c:pt>
                <c:pt idx="6">
                  <c:v>101.400000</c:v>
                </c:pt>
                <c:pt idx="7">
                  <c:v>52.400000</c:v>
                </c:pt>
                <c:pt idx="8">
                  <c:v>82.500000</c:v>
                </c:pt>
                <c:pt idx="9">
                  <c:v>48.000000</c:v>
                </c:pt>
                <c:pt idx="10">
                  <c:v>46.000000</c:v>
                </c:pt>
                <c:pt idx="11">
                  <c:v>82.200000</c:v>
                </c:pt>
                <c:pt idx="12">
                  <c:v>42.800000</c:v>
                </c:pt>
                <c:pt idx="13">
                  <c:v>51.100000</c:v>
                </c:pt>
                <c:pt idx="14">
                  <c:v>56.200000</c:v>
                </c:pt>
                <c:pt idx="15">
                  <c:v>77.900000</c:v>
                </c:pt>
                <c:pt idx="16">
                  <c:v>78.200000</c:v>
                </c:pt>
                <c:pt idx="17">
                  <c:v>78.900000</c:v>
                </c:pt>
                <c:pt idx="18">
                  <c:v>89.600000</c:v>
                </c:pt>
                <c:pt idx="19">
                  <c:v>42.200000</c:v>
                </c:pt>
                <c:pt idx="20">
                  <c:v>92.000000</c:v>
                </c:pt>
                <c:pt idx="21">
                  <c:v>120.000000</c:v>
                </c:pt>
                <c:pt idx="22">
                  <c:v>125.000000</c:v>
                </c:pt>
                <c:pt idx="23">
                  <c:v>130.000000</c:v>
                </c:pt>
              </c:numCache>
            </c:numRef>
          </c:xVal>
          <c:yVal>
            <c:numRef>
              <c:f>'User reported ranges'!$F$2:$F$25</c:f>
              <c:numCache>
                <c:ptCount val="24"/>
                <c:pt idx="0">
                  <c:v>9.500000</c:v>
                </c:pt>
                <c:pt idx="1">
                  <c:v>7.600000</c:v>
                </c:pt>
                <c:pt idx="2">
                  <c:v>8.900000</c:v>
                </c:pt>
                <c:pt idx="3">
                  <c:v>9.800000</c:v>
                </c:pt>
                <c:pt idx="4">
                  <c:v>10.600000</c:v>
                </c:pt>
                <c:pt idx="5">
                  <c:v>10.500000</c:v>
                </c:pt>
                <c:pt idx="6">
                  <c:v>22.400000</c:v>
                </c:pt>
                <c:pt idx="7">
                  <c:v>9.000000</c:v>
                </c:pt>
                <c:pt idx="8">
                  <c:v>10.500000</c:v>
                </c:pt>
                <c:pt idx="9">
                  <c:v>8.400000</c:v>
                </c:pt>
                <c:pt idx="10">
                  <c:v>7.600000</c:v>
                </c:pt>
                <c:pt idx="11">
                  <c:v>10.600000</c:v>
                </c:pt>
                <c:pt idx="12">
                  <c:v>9.500000</c:v>
                </c:pt>
                <c:pt idx="13">
                  <c:v>8.900000</c:v>
                </c:pt>
                <c:pt idx="14">
                  <c:v>9.800000</c:v>
                </c:pt>
                <c:pt idx="15">
                  <c:v>12.000000</c:v>
                </c:pt>
                <c:pt idx="16">
                  <c:v>12.600000</c:v>
                </c:pt>
                <c:pt idx="17">
                  <c:v>11.400000</c:v>
                </c:pt>
                <c:pt idx="18">
                  <c:v>12.800000</c:v>
                </c:pt>
                <c:pt idx="19">
                  <c:v>9.200000</c:v>
                </c:pt>
                <c:pt idx="20">
                  <c:v>13.500000</c:v>
                </c:pt>
                <c:pt idx="21">
                  <c:v>18.200000</c:v>
                </c:pt>
                <c:pt idx="22">
                  <c:v>18.700000</c:v>
                </c:pt>
                <c:pt idx="23">
                  <c:v>19.400000</c:v>
                </c:pt>
              </c:numCache>
            </c:numRef>
          </c:yVal>
          <c:smooth val="0"/>
        </c:ser>
        <c:axId val="2094734552"/>
        <c:axId val="2094734553"/>
      </c:scatterChart>
      <c:valAx>
        <c:axId val="2094734552"/>
        <c:scaling>
          <c:orientation val="minMax"/>
        </c:scaling>
        <c:delete val="0"/>
        <c:axPos val="b"/>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km/h</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32.5"/>
        <c:minorUnit val="16.25"/>
      </c:val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kWh/100km</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6"/>
        <c:minorUnit val="3"/>
      </c:valAx>
      <c:spPr>
        <a:noFill/>
        <a:ln w="12700" cap="flat">
          <a:noFill/>
          <a:miter lim="400000"/>
        </a:ln>
        <a:effectLst/>
      </c:spPr>
    </c:plotArea>
    <c:legend>
      <c:legendPos val="t"/>
      <c:layout>
        <c:manualLayout>
          <c:xMode val="edge"/>
          <c:yMode val="edge"/>
          <c:x val="0.0924651"/>
          <c:y val="0"/>
          <c:w val="0.853524"/>
          <c:h val="0.062617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3.xml.rels><?xml version="1.0" encoding="UTF-8" standalone="yes"?><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4.xml.rels><?xml version="1.0" encoding="UTF-8" standalone="yes"?><Relationships xmlns="http://schemas.openxmlformats.org/package/2006/relationships"><Relationship Id="rId1" Type="http://schemas.openxmlformats.org/officeDocument/2006/relationships/chart" Target="../charts/chart9.xml"/></Relationships>

</file>

<file path=xl/drawings/_rels/drawing5.xml.rels><?xml version="1.0" encoding="UTF-8" standalone="yes"?><Relationships xmlns="http://schemas.openxmlformats.org/package/2006/relationships"><Relationship Id="rId1" Type="http://schemas.openxmlformats.org/officeDocument/2006/relationships/chart" Target="../charts/chart10.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19</xdr:col>
      <xdr:colOff>374477</xdr:colOff>
      <xdr:row>0</xdr:row>
      <xdr:rowOff>0</xdr:rowOff>
    </xdr:from>
    <xdr:to>
      <xdr:col>29</xdr:col>
      <xdr:colOff>459656</xdr:colOff>
      <xdr:row>43</xdr:row>
      <xdr:rowOff>135238</xdr:rowOff>
    </xdr:to>
    <xdr:graphicFrame>
      <xdr:nvGraphicFramePr>
        <xdr:cNvPr id="2" name="Chart 2"/>
        <xdr:cNvGraphicFramePr/>
      </xdr:nvGraphicFramePr>
      <xdr:xfrm>
        <a:off x="14852477" y="-187983"/>
        <a:ext cx="7705180" cy="723453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20</xdr:col>
      <xdr:colOff>384199</xdr:colOff>
      <xdr:row>47</xdr:row>
      <xdr:rowOff>11572</xdr:rowOff>
    </xdr:from>
    <xdr:to>
      <xdr:col>30</xdr:col>
      <xdr:colOff>540009</xdr:colOff>
      <xdr:row>91</xdr:row>
      <xdr:rowOff>2552</xdr:rowOff>
    </xdr:to>
    <xdr:graphicFrame>
      <xdr:nvGraphicFramePr>
        <xdr:cNvPr id="3" name="Chart 3"/>
        <xdr:cNvGraphicFramePr/>
      </xdr:nvGraphicFramePr>
      <xdr:xfrm>
        <a:off x="15624199" y="7771272"/>
        <a:ext cx="7775811" cy="72553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310646</xdr:colOff>
      <xdr:row>12</xdr:row>
      <xdr:rowOff>77135</xdr:rowOff>
    </xdr:from>
    <xdr:to>
      <xdr:col>19</xdr:col>
      <xdr:colOff>223811</xdr:colOff>
      <xdr:row>35</xdr:row>
      <xdr:rowOff>935</xdr:rowOff>
    </xdr:to>
    <xdr:graphicFrame>
      <xdr:nvGraphicFramePr>
        <xdr:cNvPr id="4" name="Chart 4"/>
        <xdr:cNvGraphicFramePr/>
      </xdr:nvGraphicFramePr>
      <xdr:xfrm>
        <a:off x="9454646" y="2058335"/>
        <a:ext cx="5247166" cy="372110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20</xdr:col>
      <xdr:colOff>480804</xdr:colOff>
      <xdr:row>95</xdr:row>
      <xdr:rowOff>104246</xdr:rowOff>
    </xdr:from>
    <xdr:to>
      <xdr:col>30</xdr:col>
      <xdr:colOff>636614</xdr:colOff>
      <xdr:row>139</xdr:row>
      <xdr:rowOff>95226</xdr:rowOff>
    </xdr:to>
    <xdr:graphicFrame>
      <xdr:nvGraphicFramePr>
        <xdr:cNvPr id="5" name="Chart 5"/>
        <xdr:cNvGraphicFramePr/>
      </xdr:nvGraphicFramePr>
      <xdr:xfrm>
        <a:off x="15720804" y="15788746"/>
        <a:ext cx="7775811" cy="72553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23</xdr:col>
      <xdr:colOff>75627</xdr:colOff>
      <xdr:row>4</xdr:row>
      <xdr:rowOff>69902</xdr:rowOff>
    </xdr:from>
    <xdr:to>
      <xdr:col>24</xdr:col>
      <xdr:colOff>459821</xdr:colOff>
      <xdr:row>6</xdr:row>
      <xdr:rowOff>46407</xdr:rowOff>
    </xdr:to>
    <xdr:sp>
      <xdr:nvSpPr>
        <xdr:cNvPr id="6" name="Shape 6"/>
        <xdr:cNvSpPr/>
      </xdr:nvSpPr>
      <xdr:spPr>
        <a:xfrm>
          <a:off x="17601627" y="730302"/>
          <a:ext cx="1146195"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Temperatur in C</a:t>
          </a:r>
        </a:p>
      </xdr:txBody>
    </xdr:sp>
    <xdr:clientData/>
  </xdr:twoCellAnchor>
  <xdr:twoCellAnchor>
    <xdr:from>
      <xdr:col>25</xdr:col>
      <xdr:colOff>331167</xdr:colOff>
      <xdr:row>51</xdr:row>
      <xdr:rowOff>16423</xdr:rowOff>
    </xdr:from>
    <xdr:to>
      <xdr:col>26</xdr:col>
      <xdr:colOff>715361</xdr:colOff>
      <xdr:row>52</xdr:row>
      <xdr:rowOff>158028</xdr:rowOff>
    </xdr:to>
    <xdr:sp>
      <xdr:nvSpPr>
        <xdr:cNvPr id="7" name="Shape 7"/>
        <xdr:cNvSpPr/>
      </xdr:nvSpPr>
      <xdr:spPr>
        <a:xfrm>
          <a:off x="19381167" y="8436523"/>
          <a:ext cx="1146194"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Temperatur in C</a:t>
          </a:r>
        </a:p>
      </xdr:txBody>
    </xdr:sp>
    <xdr:clientData/>
  </xdr:twoCellAnchor>
  <xdr:twoCellAnchor>
    <xdr:from>
      <xdr:col>4</xdr:col>
      <xdr:colOff>118737</xdr:colOff>
      <xdr:row>119</xdr:row>
      <xdr:rowOff>42961</xdr:rowOff>
    </xdr:from>
    <xdr:to>
      <xdr:col>14</xdr:col>
      <xdr:colOff>118737</xdr:colOff>
      <xdr:row>143</xdr:row>
      <xdr:rowOff>74177</xdr:rowOff>
    </xdr:to>
    <xdr:pic>
      <xdr:nvPicPr>
        <xdr:cNvPr id="8" name="pasted-image.pdf"/>
        <xdr:cNvPicPr>
          <a:picLocks noChangeAspect="1"/>
        </xdr:cNvPicPr>
      </xdr:nvPicPr>
      <xdr:blipFill>
        <a:blip r:embed="rId5">
          <a:extLst/>
        </a:blip>
        <a:stretch>
          <a:fillRect/>
        </a:stretch>
      </xdr:blipFill>
      <xdr:spPr>
        <a:xfrm>
          <a:off x="3166737" y="19689861"/>
          <a:ext cx="7620001" cy="3993617"/>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27</xdr:col>
      <xdr:colOff>476636</xdr:colOff>
      <xdr:row>1</xdr:row>
      <xdr:rowOff>95885</xdr:rowOff>
    </xdr:from>
    <xdr:to>
      <xdr:col>34</xdr:col>
      <xdr:colOff>563086</xdr:colOff>
      <xdr:row>23</xdr:row>
      <xdr:rowOff>121285</xdr:rowOff>
    </xdr:to>
    <xdr:graphicFrame>
      <xdr:nvGraphicFramePr>
        <xdr:cNvPr id="10" name="Chart 10"/>
        <xdr:cNvGraphicFramePr/>
      </xdr:nvGraphicFramePr>
      <xdr:xfrm>
        <a:off x="21050636" y="260984"/>
        <a:ext cx="5420451" cy="36576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27</xdr:col>
      <xdr:colOff>406005</xdr:colOff>
      <xdr:row>27</xdr:row>
      <xdr:rowOff>62864</xdr:rowOff>
    </xdr:from>
    <xdr:to>
      <xdr:col>34</xdr:col>
      <xdr:colOff>563086</xdr:colOff>
      <xdr:row>49</xdr:row>
      <xdr:rowOff>88265</xdr:rowOff>
    </xdr:to>
    <xdr:graphicFrame>
      <xdr:nvGraphicFramePr>
        <xdr:cNvPr id="11" name="Chart 11"/>
        <xdr:cNvGraphicFramePr/>
      </xdr:nvGraphicFramePr>
      <xdr:xfrm>
        <a:off x="20980005" y="4520564"/>
        <a:ext cx="5491082" cy="36576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19</xdr:col>
      <xdr:colOff>707602</xdr:colOff>
      <xdr:row>0</xdr:row>
      <xdr:rowOff>0</xdr:rowOff>
    </xdr:from>
    <xdr:to>
      <xdr:col>27</xdr:col>
      <xdr:colOff>104211</xdr:colOff>
      <xdr:row>22</xdr:row>
      <xdr:rowOff>25400</xdr:rowOff>
    </xdr:to>
    <xdr:graphicFrame>
      <xdr:nvGraphicFramePr>
        <xdr:cNvPr id="13" name="Chart 13"/>
        <xdr:cNvGraphicFramePr/>
      </xdr:nvGraphicFramePr>
      <xdr:xfrm>
        <a:off x="15185602" y="0"/>
        <a:ext cx="5492610" cy="36576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17</xdr:col>
      <xdr:colOff>31569</xdr:colOff>
      <xdr:row>26</xdr:row>
      <xdr:rowOff>21508</xdr:rowOff>
    </xdr:from>
    <xdr:to>
      <xdr:col>24</xdr:col>
      <xdr:colOff>260808</xdr:colOff>
      <xdr:row>48</xdr:row>
      <xdr:rowOff>46908</xdr:rowOff>
    </xdr:to>
    <xdr:graphicFrame>
      <xdr:nvGraphicFramePr>
        <xdr:cNvPr id="14" name="Chart 14"/>
        <xdr:cNvGraphicFramePr/>
      </xdr:nvGraphicFramePr>
      <xdr:xfrm>
        <a:off x="12985569" y="4314108"/>
        <a:ext cx="5563240" cy="36576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1</xdr:col>
      <xdr:colOff>850509</xdr:colOff>
      <xdr:row>26</xdr:row>
      <xdr:rowOff>193039</xdr:rowOff>
    </xdr:from>
    <xdr:to>
      <xdr:col>4</xdr:col>
      <xdr:colOff>191449</xdr:colOff>
      <xdr:row>44</xdr:row>
      <xdr:rowOff>129539</xdr:rowOff>
    </xdr:to>
    <xdr:graphicFrame>
      <xdr:nvGraphicFramePr>
        <xdr:cNvPr id="16" name="Chart 16"/>
        <xdr:cNvGraphicFramePr/>
      </xdr:nvGraphicFramePr>
      <xdr:xfrm>
        <a:off x="1836029" y="7649844"/>
        <a:ext cx="5356617" cy="40513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5.xml><?xml version="1.0" encoding="utf-8"?>
<xdr:wsDr xmlns:r="http://schemas.openxmlformats.org/officeDocument/2006/relationships" xmlns:a="http://schemas.openxmlformats.org/drawingml/2006/main" xmlns:xdr="http://schemas.openxmlformats.org/drawingml/2006/spreadsheetDrawing">
  <xdr:twoCellAnchor>
    <xdr:from>
      <xdr:col>6</xdr:col>
      <xdr:colOff>395129</xdr:colOff>
      <xdr:row>54</xdr:row>
      <xdr:rowOff>172725</xdr:rowOff>
    </xdr:from>
    <xdr:to>
      <xdr:col>15</xdr:col>
      <xdr:colOff>541413</xdr:colOff>
      <xdr:row>85</xdr:row>
      <xdr:rowOff>214159</xdr:rowOff>
    </xdr:to>
    <xdr:graphicFrame>
      <xdr:nvGraphicFramePr>
        <xdr:cNvPr id="18" name="Chart 18"/>
        <xdr:cNvGraphicFramePr/>
      </xdr:nvGraphicFramePr>
      <xdr:xfrm>
        <a:off x="6940907" y="14153514"/>
        <a:ext cx="9407956" cy="712803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Relationships xmlns="http://schemas.openxmlformats.org/package/2006/relationships"><Relationship Id="rId1" Type="http://schemas.openxmlformats.org/officeDocument/2006/relationships/hyperlink" Target="http://www.goingelectric.de/forum/bmw-i3-allgemeines/i3-ein-wochenende-bei-sixt-gemietet-750-km-spass-t6298.html" TargetMode="External"/><Relationship Id="rId2" Type="http://schemas.openxmlformats.org/officeDocument/2006/relationships/drawing" Target="../drawings/drawing4.xml"/></Relationships>

</file>

<file path=xl/worksheets/_rels/sheet19.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31</v>
      </c>
      <c r="D11" t="s" s="5">
        <v>32</v>
      </c>
    </row>
    <row r="12">
      <c r="B12" s="4"/>
      <c r="C12" t="s" s="4">
        <v>39</v>
      </c>
      <c r="D12" t="s" s="5">
        <v>40</v>
      </c>
    </row>
    <row r="13">
      <c r="B13" s="4"/>
      <c r="C13" t="s" s="4">
        <v>55</v>
      </c>
      <c r="D13" t="s" s="5">
        <v>56</v>
      </c>
    </row>
    <row r="14">
      <c r="B14" s="4"/>
      <c r="C14" t="s" s="4">
        <v>59</v>
      </c>
      <c r="D14" t="s" s="5">
        <v>60</v>
      </c>
    </row>
    <row r="15">
      <c r="B15" s="4"/>
      <c r="C15" t="s" s="4">
        <v>69</v>
      </c>
      <c r="D15" t="s" s="5">
        <v>70</v>
      </c>
    </row>
    <row r="16">
      <c r="B16" s="4"/>
      <c r="C16" t="s" s="4">
        <v>78</v>
      </c>
      <c r="D16" t="s" s="5">
        <v>79</v>
      </c>
    </row>
    <row r="17">
      <c r="B17" s="4"/>
      <c r="C17" t="s" s="4">
        <v>81</v>
      </c>
      <c r="D17" t="s" s="5">
        <v>82</v>
      </c>
    </row>
    <row r="18">
      <c r="B18" t="s" s="3">
        <v>85</v>
      </c>
      <c r="C18" s="3"/>
      <c r="D18" s="3"/>
    </row>
    <row r="19">
      <c r="B19" s="4"/>
      <c r="C19" t="s" s="4">
        <v>86</v>
      </c>
      <c r="D19" t="s" s="5">
        <v>87</v>
      </c>
    </row>
    <row r="20">
      <c r="B20" s="4"/>
      <c r="C20" t="s" s="4">
        <v>98</v>
      </c>
      <c r="D20" t="s" s="5">
        <v>99</v>
      </c>
    </row>
    <row r="21">
      <c r="B21" s="4"/>
      <c r="C21" t="s" s="4">
        <v>81</v>
      </c>
      <c r="D21" t="s" s="5">
        <v>124</v>
      </c>
    </row>
    <row r="22">
      <c r="B22" t="s" s="3">
        <v>125</v>
      </c>
      <c r="C22" s="3"/>
      <c r="D22" s="3"/>
    </row>
    <row r="23">
      <c r="B23" s="4"/>
      <c r="C23" t="s" s="4">
        <v>126</v>
      </c>
      <c r="D23" t="s" s="5">
        <v>127</v>
      </c>
    </row>
    <row r="24">
      <c r="B24" s="4"/>
      <c r="C24" t="s" s="4">
        <v>128</v>
      </c>
      <c r="D24" t="s" s="5">
        <v>129</v>
      </c>
    </row>
    <row r="25">
      <c r="B25" s="4"/>
      <c r="C25" t="s" s="4">
        <v>145</v>
      </c>
      <c r="D25" t="s" s="5">
        <v>146</v>
      </c>
    </row>
    <row r="26">
      <c r="B26" s="4"/>
      <c r="C26" t="s" s="4">
        <v>98</v>
      </c>
      <c r="D26" t="s" s="5">
        <v>151</v>
      </c>
    </row>
    <row r="27">
      <c r="B27" s="4"/>
      <c r="C27" t="s" s="4">
        <v>81</v>
      </c>
      <c r="D27" t="s" s="5">
        <v>152</v>
      </c>
    </row>
    <row r="28">
      <c r="B28" t="s" s="3">
        <v>153</v>
      </c>
      <c r="C28" s="3"/>
      <c r="D28" s="3"/>
    </row>
    <row r="29">
      <c r="B29" s="4"/>
      <c r="C29" t="s" s="4">
        <v>5</v>
      </c>
      <c r="D29" t="s" s="5">
        <v>153</v>
      </c>
    </row>
    <row r="30">
      <c r="B30" t="s" s="3">
        <v>165</v>
      </c>
      <c r="C30" s="3"/>
      <c r="D30" s="3"/>
    </row>
    <row r="31">
      <c r="B31" s="4"/>
      <c r="C31" t="s" s="4">
        <v>5</v>
      </c>
      <c r="D31" t="s" s="5">
        <v>165</v>
      </c>
    </row>
  </sheetData>
  <mergeCells count="1">
    <mergeCell ref="B3:D3"/>
  </mergeCells>
  <hyperlinks>
    <hyperlink ref="D10" location="'RangeCalculation - Table 1'!R1C1" tooltip="" display="RangeCalculation - Table 1"/>
    <hyperlink ref="D11" location="'RangeCalculation - Table 2'!R1C1" tooltip="" display="RangeCalculation - Table 2"/>
    <hyperlink ref="D12" location="'RangeCalculation - Reifen_Getri'!R2C1" tooltip="" display="RangeCalculation - Reifen_Getri"/>
    <hyperlink ref="D13" location="'RangeCalculation - Cell dischar'!R2C1" tooltip="" display="RangeCalculation - Cell dischar"/>
    <hyperlink ref="D14" location="'RangeCalculation - Rollreibungs'!R2C1" tooltip="" display="RangeCalculation - Rollreibungs"/>
    <hyperlink ref="D15" location="'RangeCalculation - Verbrauch in'!R2C1" tooltip="" display="RangeCalculation - Verbrauch in"/>
    <hyperlink ref="D16" location="'RangeCalculation - Wirkungsgrad'!R2C1" tooltip="" display="RangeCalculation - Wirkungsgrad"/>
    <hyperlink ref="D17" location="'RangeCalculation - Drawings'!R1C1" tooltip="" display="RangeCalculation - Drawings"/>
    <hyperlink ref="D19" location="'NEFZ - NEFZ Zusammenfassung'!R2C1" tooltip="" display="NEFZ - NEFZ Zusammenfassung"/>
    <hyperlink ref="D20" location="'NEFZ - NEFZ vom 15.2.2012 Quell'!R2C1" tooltip="" display="NEFZ - NEFZ vom 15.2.2012 Quell"/>
    <hyperlink ref="D21" location="'NEFZ - Drawings'!R1C1" tooltip="" display="NEFZ - Drawings"/>
    <hyperlink ref="D23" location="'NEFZ-2 - Konstanten'!R2C1" tooltip="" display="NEFZ-2 - Konstanten"/>
    <hyperlink ref="D24" location="'NEFZ-2 - Startwerte'!R2C1" tooltip="" display="NEFZ-2 - Startwerte"/>
    <hyperlink ref="D25" location="'NEFZ-2 - NEFZ Berechnung Zusamm'!R2C1" tooltip="" display="NEFZ-2 - NEFZ Berechnung Zusamm"/>
    <hyperlink ref="D26" location="'NEFZ-2 - NEFZ vom 15.2.2012 Que'!R2C1" tooltip="" display="NEFZ-2 - NEFZ vom 15.2.2012 Que"/>
    <hyperlink ref="D27" location="'NEFZ-2 - Drawings'!R1C1" tooltip="" display="NEFZ-2 - Drawings"/>
    <hyperlink ref="D29" location="'User reported ranges'!R1C2" tooltip="" display="User reported ranges"/>
    <hyperlink ref="D31" location="'Old calculations'!R2C1" tooltip="" display="Old calculations"/>
  </hyperlinks>
</worksheet>
</file>

<file path=xl/worksheets/sheet10.xml><?xml version="1.0" encoding="utf-8"?>
<worksheet xmlns:r="http://schemas.openxmlformats.org/officeDocument/2006/relationships" xmlns="http://schemas.openxmlformats.org/spreadsheetml/2006/main">
  <sheetPr>
    <pageSetUpPr fitToPage="1"/>
  </sheetPr>
  <dimension ref="A2:H18"/>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20.3438" style="76" customWidth="1"/>
    <col min="2" max="2" width="16.3516" style="76" customWidth="1"/>
    <col min="3" max="3" width="16.3516" style="76" customWidth="1"/>
    <col min="4" max="4" width="16.3516" style="76" customWidth="1"/>
    <col min="5" max="5" width="16.3516" style="76" customWidth="1"/>
    <col min="6" max="6" width="16.3516" style="76" customWidth="1"/>
    <col min="7" max="7" width="16.3516" style="76" customWidth="1"/>
    <col min="8" max="8" width="16.3516" style="76" customWidth="1"/>
    <col min="9" max="256" width="16.3516" style="76" customWidth="1"/>
  </cols>
  <sheetData>
    <row r="1" ht="28" customHeight="1">
      <c r="A1" t="s" s="25">
        <v>86</v>
      </c>
      <c r="B1" s="25"/>
      <c r="C1" s="25"/>
      <c r="D1" s="25"/>
      <c r="E1" s="25"/>
      <c r="F1" s="25"/>
      <c r="G1" s="25"/>
      <c r="H1" s="25"/>
    </row>
    <row r="2" ht="32.55" customHeight="1">
      <c r="A2" s="8"/>
      <c r="B2" t="s" s="7">
        <v>88</v>
      </c>
      <c r="C2" t="s" s="7">
        <v>89</v>
      </c>
      <c r="D2" t="s" s="7">
        <v>90</v>
      </c>
      <c r="E2" t="s" s="7">
        <v>91</v>
      </c>
      <c r="F2" t="s" s="7">
        <v>92</v>
      </c>
      <c r="G2" t="s" s="7">
        <v>93</v>
      </c>
      <c r="H2" t="s" s="7">
        <v>94</v>
      </c>
    </row>
    <row r="3" ht="20.55" customHeight="1">
      <c r="A3" t="s" s="77">
        <v>95</v>
      </c>
      <c r="B3" s="78">
        <f>SUMIF('NEFZ - NEFZ vom 15.2.2012 Quell'!M4:M28,"&gt;0")</f>
        <v>165407.4074074074</v>
      </c>
      <c r="C3" s="79">
        <f>SUM('NEFZ - NEFZ vom 15.2.2012 Quell'!N4:N28)</f>
        <v>98287.6566672</v>
      </c>
      <c r="D3" s="80">
        <f>SUM('NEFZ - NEFZ vom 15.2.2012 Quell'!Q4:Q28)</f>
        <v>44695.866880612128</v>
      </c>
      <c r="E3" s="80">
        <f>SUM('NEFZ - NEFZ vom 15.2.2012 Quell'!L4:L28)</f>
        <v>1018.333333333333</v>
      </c>
      <c r="F3" s="80"/>
      <c r="G3" s="80"/>
      <c r="H3" s="80"/>
    </row>
    <row r="4" ht="20.35" customHeight="1">
      <c r="A4" t="s" s="81">
        <v>96</v>
      </c>
      <c r="B4" s="82">
        <f>SUMIF('NEFZ - NEFZ vom 15.2.2012 Quell'!M32:M52,"&gt;0")</f>
        <v>425231.4814814815</v>
      </c>
      <c r="C4" s="83">
        <f>SUM('NEFZ - NEFZ vom 15.2.2012 Quell'!N32:N52)</f>
        <v>671270.3774699998</v>
      </c>
      <c r="D4" s="84">
        <f>SUM('NEFZ - NEFZ vom 15.2.2012 Quell'!Q32:Q52)</f>
        <v>1525365.299252012</v>
      </c>
      <c r="E4" s="84">
        <f>SUM('NEFZ - NEFZ vom 15.2.2012 Quell'!L32:L52)</f>
        <v>6954.861111111110</v>
      </c>
      <c r="F4" s="84"/>
      <c r="G4" s="84"/>
      <c r="H4" s="84"/>
    </row>
    <row r="5" ht="20.35" customHeight="1">
      <c r="A5" s="85"/>
      <c r="B5" s="82"/>
      <c r="C5" s="83"/>
      <c r="D5" s="84"/>
      <c r="E5" s="84"/>
      <c r="F5" s="84"/>
      <c r="G5" s="84"/>
      <c r="H5" s="84"/>
    </row>
    <row r="6" ht="20.35" customHeight="1">
      <c r="A6" t="s" s="81">
        <v>97</v>
      </c>
      <c r="B6" s="82">
        <f>(4*B3)+B4</f>
        <v>1086861.111111111</v>
      </c>
      <c r="C6" s="83">
        <f>(4*C3)+C4</f>
        <v>1064421.0041388</v>
      </c>
      <c r="D6" s="84">
        <f>(4*D3)+D4</f>
        <v>1704148.76677446</v>
      </c>
      <c r="E6" s="84">
        <f>(4*E3)+E4</f>
        <v>11028.194444444443</v>
      </c>
      <c r="F6" s="86">
        <v>1</v>
      </c>
      <c r="G6" s="84">
        <f>((B6*(1-F6))+SUM(C6:D6))/3600000</f>
        <v>0.7690471585870167</v>
      </c>
      <c r="H6" s="87">
        <f>G6/$E$6*100000</f>
        <v>6.973463901649207</v>
      </c>
    </row>
    <row r="7" ht="20.35" customHeight="1">
      <c r="A7" s="85"/>
      <c r="B7" s="82"/>
      <c r="C7" s="83"/>
      <c r="D7" s="84"/>
      <c r="E7" s="84"/>
      <c r="F7" s="86">
        <f>F6-0.1</f>
        <v>0.9</v>
      </c>
      <c r="G7" s="84">
        <f>(($B$6*(1-F7))+SUM($C$6:$D$6))/3600000</f>
        <v>0.7992377450067697</v>
      </c>
      <c r="H7" s="87">
        <f>G7/$E$6*100000</f>
        <v>7.247222099982044</v>
      </c>
    </row>
    <row r="8" ht="20.35" customHeight="1">
      <c r="A8" s="85"/>
      <c r="B8" s="82"/>
      <c r="C8" s="83"/>
      <c r="D8" s="84"/>
      <c r="E8" s="84"/>
      <c r="F8" s="86">
        <f>F7-0.1</f>
        <v>0.8</v>
      </c>
      <c r="G8" s="84">
        <f>(($B$6*(1-F8))+SUM($C$6:$D$6))/3600000</f>
        <v>0.8294283314265228</v>
      </c>
      <c r="H8" s="87">
        <f>G8/$E$6*100000</f>
        <v>7.520980298314881</v>
      </c>
    </row>
    <row r="9" ht="20.35" customHeight="1">
      <c r="A9" s="85"/>
      <c r="B9" s="82"/>
      <c r="C9" s="83"/>
      <c r="D9" s="84"/>
      <c r="E9" s="84"/>
      <c r="F9" s="86">
        <f>F8-0.1</f>
        <v>0.7000000000000001</v>
      </c>
      <c r="G9" s="84">
        <f>(($B$6*(1-F9))+SUM($C$6:$D$6))/3600000</f>
        <v>0.859618917846276</v>
      </c>
      <c r="H9" s="87">
        <f>G9/$E$6*100000</f>
        <v>7.794738496647718</v>
      </c>
    </row>
    <row r="10" ht="20.35" customHeight="1">
      <c r="A10" s="85"/>
      <c r="B10" s="82"/>
      <c r="C10" s="83"/>
      <c r="D10" s="84"/>
      <c r="E10" s="84"/>
      <c r="F10" s="86">
        <f>F9-0.1</f>
        <v>0.6000000000000001</v>
      </c>
      <c r="G10" s="84">
        <f>(($B$6*(1-F10))+SUM($C$6:$D$6))/3600000</f>
        <v>0.889809504266029</v>
      </c>
      <c r="H10" s="87">
        <f>G10/$E$6*100000</f>
        <v>8.068496694980555</v>
      </c>
    </row>
    <row r="11" ht="20.35" customHeight="1">
      <c r="A11" s="85"/>
      <c r="B11" s="82"/>
      <c r="C11" s="83"/>
      <c r="D11" s="84"/>
      <c r="E11" s="84"/>
      <c r="F11" s="86">
        <f>F10-0.1</f>
        <v>0.5000000000000001</v>
      </c>
      <c r="G11" s="84">
        <f>(($B$6*(1-F11))+SUM($C$6:$D$6))/3600000</f>
        <v>0.9200000906857821</v>
      </c>
      <c r="H11" s="87">
        <f>G11/$E$6*100000</f>
        <v>8.34225489331339</v>
      </c>
    </row>
    <row r="12" ht="20.35" customHeight="1">
      <c r="A12" s="85"/>
      <c r="B12" s="82"/>
      <c r="C12" s="83"/>
      <c r="D12" s="84"/>
      <c r="E12" s="84"/>
      <c r="F12" s="86">
        <f>F11-0.1</f>
        <v>0.4000000000000001</v>
      </c>
      <c r="G12" s="84">
        <f>(($B$6*(1-F12))+SUM($C$6:$D$6))/3600000</f>
        <v>0.9501906771055352</v>
      </c>
      <c r="H12" s="87">
        <f>G12/$E$6*100000</f>
        <v>8.616013091646227</v>
      </c>
    </row>
    <row r="13" ht="20.35" customHeight="1">
      <c r="A13" s="85"/>
      <c r="B13" s="82"/>
      <c r="C13" s="83"/>
      <c r="D13" s="84"/>
      <c r="E13" s="84"/>
      <c r="F13" s="86">
        <f>F12-0.1</f>
        <v>0.3000000000000002</v>
      </c>
      <c r="G13" s="84">
        <f>(($B$6*(1-F13))+SUM($C$6:$D$6))/3600000</f>
        <v>0.9803812635252883</v>
      </c>
      <c r="H13" s="87">
        <f>G13/$E$6*100000</f>
        <v>8.889771289979064</v>
      </c>
    </row>
    <row r="14" ht="20.35" customHeight="1">
      <c r="A14" s="85"/>
      <c r="B14" s="82"/>
      <c r="C14" s="83"/>
      <c r="D14" s="84"/>
      <c r="E14" s="84"/>
      <c r="F14" s="86">
        <f>F13-0.1</f>
        <v>0.2000000000000001</v>
      </c>
      <c r="G14" s="84">
        <f>(($B$6*(1-F14))+SUM($C$6:$D$6))/3600000</f>
        <v>1.010571849945041</v>
      </c>
      <c r="H14" s="87">
        <f>G14/$E$6*100000</f>
        <v>9.163529488311902</v>
      </c>
    </row>
    <row r="15" ht="20.35" customHeight="1">
      <c r="A15" s="85"/>
      <c r="B15" s="82"/>
      <c r="C15" s="83"/>
      <c r="D15" s="84"/>
      <c r="E15" s="84"/>
      <c r="F15" s="86">
        <f>F14-0.1</f>
        <v>0.1000000000000001</v>
      </c>
      <c r="G15" s="84">
        <f>(($B$6*(1-F15))+SUM($C$6:$D$6))/3600000</f>
        <v>1.040762436364794</v>
      </c>
      <c r="H15" s="87">
        <f>G15/$E$6*100000</f>
        <v>9.437287686644737</v>
      </c>
    </row>
    <row r="16" ht="20.35" customHeight="1">
      <c r="A16" s="85"/>
      <c r="B16" s="82"/>
      <c r="C16" s="83"/>
      <c r="D16" s="84"/>
      <c r="E16" s="84"/>
      <c r="F16" s="86">
        <f>F15-0.1</f>
        <v>1.387778780781446e-16</v>
      </c>
      <c r="G16" s="84">
        <f>(($B$6*(1-F16))+SUM($C$6:$D$6))/3600000</f>
        <v>1.070953022784548</v>
      </c>
      <c r="H16" s="87">
        <f>G16/$E$6*100000</f>
        <v>9.711045884977574</v>
      </c>
    </row>
    <row r="17" ht="20.35" customHeight="1">
      <c r="A17" s="85"/>
      <c r="B17" s="82"/>
      <c r="C17" s="83"/>
      <c r="D17" s="84"/>
      <c r="E17" s="84"/>
      <c r="F17" s="86"/>
      <c r="G17" s="84"/>
      <c r="H17" s="87"/>
    </row>
    <row r="18" ht="20.35" customHeight="1">
      <c r="A18" s="85"/>
      <c r="B18" s="82"/>
      <c r="C18" s="83"/>
      <c r="D18" s="84"/>
      <c r="E18" s="84"/>
      <c r="F18" s="86"/>
      <c r="G18" s="84"/>
      <c r="H18" s="84"/>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Q52"/>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1172" style="88" customWidth="1"/>
    <col min="2" max="2" width="14.6172" style="88" customWidth="1"/>
    <col min="3" max="3" width="15.5234" style="88" customWidth="1"/>
    <col min="4" max="4" width="16.3516" style="88" customWidth="1"/>
    <col min="5" max="5" width="16.3516" style="88" customWidth="1"/>
    <col min="6" max="6" width="16.3516" style="88" customWidth="1"/>
    <col min="7" max="7" width="16.3516" style="88" customWidth="1"/>
    <col min="8" max="8" width="16.3516" style="88" customWidth="1"/>
    <col min="9" max="9" width="16.3516" style="88" customWidth="1"/>
    <col min="10" max="10" width="16.3516" style="88" customWidth="1"/>
    <col min="11" max="11" width="16.3516" style="88" customWidth="1"/>
    <col min="12" max="12" width="16.3516" style="88" customWidth="1"/>
    <col min="13" max="13" width="16.3516" style="88" customWidth="1"/>
    <col min="14" max="14" width="16.3516" style="88" customWidth="1"/>
    <col min="15" max="15" width="16.3516" style="88" customWidth="1"/>
    <col min="16" max="16" width="16.3516" style="88" customWidth="1"/>
    <col min="17" max="17" width="16.3516" style="88" customWidth="1"/>
    <col min="18" max="256" width="16.3516" style="88" customWidth="1"/>
  </cols>
  <sheetData>
    <row r="1" ht="28" customHeight="1">
      <c r="A1" t="s" s="25">
        <v>98</v>
      </c>
      <c r="B1" s="25"/>
      <c r="C1" s="25"/>
      <c r="D1" s="25"/>
      <c r="E1" s="25"/>
      <c r="F1" s="25"/>
      <c r="G1" s="25"/>
      <c r="H1" s="25"/>
      <c r="I1" s="25"/>
      <c r="J1" s="25"/>
      <c r="K1" s="25"/>
      <c r="L1" s="25"/>
      <c r="M1" s="25"/>
      <c r="N1" s="25"/>
      <c r="O1" s="25"/>
      <c r="P1" s="25"/>
      <c r="Q1" s="25"/>
    </row>
    <row r="2" ht="56.55" customHeight="1">
      <c r="A2" t="s" s="7">
        <v>100</v>
      </c>
      <c r="B2" t="s" s="7">
        <v>101</v>
      </c>
      <c r="C2" t="s" s="7">
        <v>102</v>
      </c>
      <c r="D2" t="s" s="7">
        <v>103</v>
      </c>
      <c r="E2" t="s" s="7">
        <v>104</v>
      </c>
      <c r="F2" t="s" s="7">
        <v>105</v>
      </c>
      <c r="G2" t="s" s="7">
        <v>106</v>
      </c>
      <c r="H2" t="s" s="7">
        <v>107</v>
      </c>
      <c r="I2" t="s" s="7">
        <v>108</v>
      </c>
      <c r="J2" t="s" s="7">
        <v>109</v>
      </c>
      <c r="K2" t="s" s="7">
        <v>110</v>
      </c>
      <c r="L2" t="s" s="7">
        <v>111</v>
      </c>
      <c r="M2" t="s" s="7">
        <v>112</v>
      </c>
      <c r="N2" t="s" s="7">
        <v>113</v>
      </c>
      <c r="O2" t="s" s="7">
        <v>114</v>
      </c>
      <c r="P2" t="s" s="7">
        <v>115</v>
      </c>
      <c r="Q2" t="s" s="7">
        <v>116</v>
      </c>
    </row>
    <row r="3" ht="20.55" customHeight="1">
      <c r="A3" t="s" s="9">
        <v>117</v>
      </c>
      <c r="B3" s="89"/>
      <c r="C3" s="90"/>
      <c r="D3" s="11"/>
      <c r="E3" s="90"/>
      <c r="F3" s="91"/>
      <c r="G3" s="11">
        <v>0</v>
      </c>
      <c r="H3" s="92">
        <v>0</v>
      </c>
      <c r="I3" s="11"/>
      <c r="J3" s="11"/>
      <c r="K3" s="91"/>
      <c r="L3" s="91"/>
      <c r="M3" s="91"/>
      <c r="N3" s="91"/>
      <c r="O3" s="91"/>
      <c r="P3" s="91"/>
      <c r="Q3" s="91"/>
    </row>
    <row r="4" ht="20.35" customHeight="1">
      <c r="A4" s="73">
        <v>1</v>
      </c>
      <c r="B4" t="s" s="93">
        <v>118</v>
      </c>
      <c r="C4" s="23"/>
      <c r="D4" s="94">
        <f>F3</f>
        <v>0</v>
      </c>
      <c r="E4" s="23">
        <f>D4+(C4*G4)*3.6</f>
        <v>0</v>
      </c>
      <c r="F4" s="94">
        <v>0</v>
      </c>
      <c r="G4" s="94">
        <v>11</v>
      </c>
      <c r="H4" s="94">
        <f>H3+G4</f>
        <v>11</v>
      </c>
      <c r="I4" s="95">
        <f>D4/3.6</f>
        <v>0</v>
      </c>
      <c r="J4" s="95">
        <f>F4/3.6</f>
        <v>0</v>
      </c>
      <c r="K4" s="95">
        <f>(I4+J4)/2</f>
        <v>0</v>
      </c>
      <c r="L4" s="95">
        <f>(K4*G4)</f>
        <v>0</v>
      </c>
      <c r="M4" s="95">
        <f>0.5*((J4-I4)*(J4-I4))*'RangeCalculation - Table 1'!$B$2</f>
        <v>0</v>
      </c>
      <c r="N4" s="95">
        <f>L4*'RangeCalculation - Rollreibungs'!$J$4</f>
        <v>0</v>
      </c>
      <c r="O4" s="19"/>
      <c r="P4" s="95">
        <f>0.5*'RangeCalculation - Table 1'!$B$10*'RangeCalculation - Table 2'!H$2*O4</f>
        <v>0</v>
      </c>
      <c r="Q4" s="95">
        <f>P4*L4</f>
        <v>0</v>
      </c>
    </row>
    <row r="5" ht="20.35" customHeight="1">
      <c r="A5" s="73">
        <f>A4+1</f>
        <v>2</v>
      </c>
      <c r="B5" t="s" s="93">
        <v>102</v>
      </c>
      <c r="C5" s="23">
        <v>1.04</v>
      </c>
      <c r="D5" s="94">
        <f>F4</f>
        <v>0</v>
      </c>
      <c r="E5" s="23">
        <f>D5+(C5*G5)*3.6</f>
        <v>14.976</v>
      </c>
      <c r="F5" s="94">
        <v>15</v>
      </c>
      <c r="G5" s="94">
        <v>4</v>
      </c>
      <c r="H5" s="94">
        <f>H4+G5</f>
        <v>15</v>
      </c>
      <c r="I5" s="95">
        <f>D5/3.6</f>
        <v>0</v>
      </c>
      <c r="J5" s="95">
        <f>F5/3.6</f>
        <v>4.166666666666667</v>
      </c>
      <c r="K5" s="95">
        <f>(I5+J5)/2</f>
        <v>2.083333333333333</v>
      </c>
      <c r="L5" s="95">
        <f>(K5*G5)</f>
        <v>8.333333333333334</v>
      </c>
      <c r="M5" s="95">
        <f>0.5*((J5-I5)*(J5-I5))*'RangeCalculation - Table 1'!$B$2</f>
        <v>11458.333333333336</v>
      </c>
      <c r="N5" s="95">
        <f>L5*'RangeCalculation - Rollreibungs'!$J$4</f>
        <v>804.317976</v>
      </c>
      <c r="O5" s="95">
        <f>((I5^3+J5^3)/2)/K5</f>
        <v>17.36111111111111</v>
      </c>
      <c r="P5" s="95">
        <f>0.5*'RangeCalculation - Table 1'!$B$10*'RangeCalculation - Table 2'!H$2*O5</f>
        <v>7.214147743055555</v>
      </c>
      <c r="Q5" s="95">
        <f>P5*L5</f>
        <v>60.1178978587963</v>
      </c>
    </row>
    <row r="6" ht="32.35" customHeight="1">
      <c r="A6" s="73">
        <f>A5+1</f>
        <v>3</v>
      </c>
      <c r="B6" t="s" s="93">
        <v>119</v>
      </c>
      <c r="C6" s="23"/>
      <c r="D6" s="94">
        <f>F5</f>
        <v>15</v>
      </c>
      <c r="E6" s="23">
        <f>D6+(C6*G6)*3.6</f>
        <v>15</v>
      </c>
      <c r="F6" s="94">
        <v>15</v>
      </c>
      <c r="G6" s="94">
        <v>8</v>
      </c>
      <c r="H6" s="94">
        <f>H5+G6</f>
        <v>23</v>
      </c>
      <c r="I6" s="95">
        <f>D6/3.6</f>
        <v>4.166666666666667</v>
      </c>
      <c r="J6" s="95">
        <f>F6/3.6</f>
        <v>4.166666666666667</v>
      </c>
      <c r="K6" s="95">
        <f>(I6+J6)/2</f>
        <v>4.166666666666667</v>
      </c>
      <c r="L6" s="95">
        <f>(K6*G6)</f>
        <v>33.33333333333334</v>
      </c>
      <c r="M6" s="95">
        <f>0.5*((J6-I6)*(J6-I6))*'RangeCalculation - Table 1'!$B$2</f>
        <v>0</v>
      </c>
      <c r="N6" s="95">
        <f>L6*'RangeCalculation - Rollreibungs'!$J$4</f>
        <v>3217.271904</v>
      </c>
      <c r="O6" s="95">
        <f>((I6^3+J6^3)/2)/K6</f>
        <v>17.36111111111111</v>
      </c>
      <c r="P6" s="95">
        <f>0.5*'RangeCalculation - Table 1'!$B$10*'RangeCalculation - Table 2'!H$2*O6</f>
        <v>7.214147743055555</v>
      </c>
      <c r="Q6" s="95">
        <f>P6*L6</f>
        <v>240.4715914351852</v>
      </c>
    </row>
    <row r="7" ht="20.35" customHeight="1">
      <c r="A7" s="73">
        <f>A6+1</f>
        <v>4</v>
      </c>
      <c r="B7" t="s" s="93">
        <v>120</v>
      </c>
      <c r="C7" s="23">
        <v>-0.6899999999999999</v>
      </c>
      <c r="D7" s="94">
        <f>F6</f>
        <v>15</v>
      </c>
      <c r="E7" s="23">
        <f>D7+(C7*G7)*3.6</f>
        <v>10.032</v>
      </c>
      <c r="F7" s="94">
        <v>10</v>
      </c>
      <c r="G7" s="94">
        <v>2</v>
      </c>
      <c r="H7" s="94">
        <f>H6+G7</f>
        <v>25</v>
      </c>
      <c r="I7" s="95">
        <f>D7/3.6</f>
        <v>4.166666666666667</v>
      </c>
      <c r="J7" s="95">
        <f>F7/3.6</f>
        <v>2.777777777777778</v>
      </c>
      <c r="K7" s="95">
        <f>(I7+J7)/2</f>
        <v>3.472222222222222</v>
      </c>
      <c r="L7" s="95">
        <f>(K7*G7)</f>
        <v>6.944444444444445</v>
      </c>
      <c r="M7" s="95">
        <f>0.5*((J7-I7)*(J7-I7))*'RangeCalculation - Table 1'!$B$2</f>
        <v>1273.148148148149</v>
      </c>
      <c r="N7" s="95">
        <f>L7*'RangeCalculation - Rollreibungs'!$J$4</f>
        <v>670.26498</v>
      </c>
      <c r="O7" s="95">
        <f>((I7^3+J7^3)/2)/K7</f>
        <v>13.50308641975309</v>
      </c>
      <c r="P7" s="95">
        <f>0.5*'RangeCalculation - Table 1'!$B$10*'RangeCalculation - Table 2'!H$2*O7</f>
        <v>5.611003800154321</v>
      </c>
      <c r="Q7" s="95">
        <f>P7*L7</f>
        <v>38.96530416773834</v>
      </c>
    </row>
    <row r="8" ht="32.35" customHeight="1">
      <c r="A8" s="73">
        <f>A7+1</f>
        <v>5</v>
      </c>
      <c r="B8" t="s" s="93">
        <v>121</v>
      </c>
      <c r="C8" s="23">
        <v>-0.92</v>
      </c>
      <c r="D8" s="94">
        <f>F7</f>
        <v>10</v>
      </c>
      <c r="E8" s="23">
        <f>D8+(C8*G8)*3.6</f>
        <v>0.06399999999999828</v>
      </c>
      <c r="F8" s="94">
        <v>0</v>
      </c>
      <c r="G8" s="94">
        <v>3</v>
      </c>
      <c r="H8" s="94">
        <f>H7+G8</f>
        <v>28</v>
      </c>
      <c r="I8" s="95">
        <f>D8/3.6</f>
        <v>2.777777777777778</v>
      </c>
      <c r="J8" s="95">
        <f>F8/3.6</f>
        <v>0</v>
      </c>
      <c r="K8" s="95">
        <f>(I8+J8)/2</f>
        <v>1.388888888888889</v>
      </c>
      <c r="L8" s="95">
        <f>(K8*G8)</f>
        <v>4.166666666666666</v>
      </c>
      <c r="M8" s="95">
        <f>0.5*((J8-I8)*(J8-I8))*'RangeCalculation - Table 1'!$B$2</f>
        <v>5092.592592592592</v>
      </c>
      <c r="N8" s="95">
        <f>L8*'RangeCalculation - Rollreibungs'!$J$4</f>
        <v>402.1589879999999</v>
      </c>
      <c r="O8" s="95">
        <f>((I8^3+J8^3)/2)/K8</f>
        <v>7.716049382716049</v>
      </c>
      <c r="P8" s="95">
        <f>0.5*'RangeCalculation - Table 1'!$B$10*'RangeCalculation - Table 2'!H$2*O8</f>
        <v>3.206287885802468</v>
      </c>
      <c r="Q8" s="95">
        <f>P8*L8</f>
        <v>13.35953285751028</v>
      </c>
    </row>
    <row r="9" ht="20.35" customHeight="1">
      <c r="A9" s="73">
        <f>A8+1</f>
        <v>6</v>
      </c>
      <c r="B9" t="s" s="93">
        <v>118</v>
      </c>
      <c r="C9" s="23"/>
      <c r="D9" s="94">
        <f>F8</f>
        <v>0</v>
      </c>
      <c r="E9" s="23">
        <f>D9+(C9*G9)*3.6</f>
        <v>0</v>
      </c>
      <c r="F9" s="94">
        <v>0</v>
      </c>
      <c r="G9" s="94">
        <v>21</v>
      </c>
      <c r="H9" s="94">
        <f>H8+G9</f>
        <v>49</v>
      </c>
      <c r="I9" s="95">
        <f>D9/3.6</f>
        <v>0</v>
      </c>
      <c r="J9" s="95">
        <f>F9/3.6</f>
        <v>0</v>
      </c>
      <c r="K9" s="95">
        <f>(I9+J9)/2</f>
        <v>0</v>
      </c>
      <c r="L9" s="95">
        <f>(K9*G9)</f>
        <v>0</v>
      </c>
      <c r="M9" s="95">
        <f>0.5*((J9-I9)*(J9-I9))*'RangeCalculation - Table 1'!$B$2</f>
        <v>0</v>
      </c>
      <c r="N9" s="95">
        <f>L9*'RangeCalculation - Rollreibungs'!$J$4</f>
        <v>0</v>
      </c>
      <c r="O9" s="19"/>
      <c r="P9" s="95">
        <f>0.5*'RangeCalculation - Table 1'!$B$10*'RangeCalculation - Table 2'!H$2*O9</f>
        <v>0</v>
      </c>
      <c r="Q9" s="95">
        <f>P9*L9</f>
        <v>0</v>
      </c>
    </row>
    <row r="10" ht="20.35" customHeight="1">
      <c r="A10" s="73">
        <f>A9+1</f>
        <v>7</v>
      </c>
      <c r="B10" t="s" s="93">
        <v>102</v>
      </c>
      <c r="C10" s="23">
        <v>0.83</v>
      </c>
      <c r="D10" s="94">
        <f>F9</f>
        <v>0</v>
      </c>
      <c r="E10" s="23">
        <f>D10+(C10*G10)*3.6</f>
        <v>14.94</v>
      </c>
      <c r="F10" s="94">
        <v>15</v>
      </c>
      <c r="G10" s="94">
        <v>5</v>
      </c>
      <c r="H10" s="94">
        <f>H9+G10</f>
        <v>54</v>
      </c>
      <c r="I10" s="95">
        <f>D10/3.6</f>
        <v>0</v>
      </c>
      <c r="J10" s="95">
        <f>F10/3.6</f>
        <v>4.166666666666667</v>
      </c>
      <c r="K10" s="95">
        <f>(I10+J10)/2</f>
        <v>2.083333333333333</v>
      </c>
      <c r="L10" s="95">
        <f>(K10*G10)</f>
        <v>10.41666666666667</v>
      </c>
      <c r="M10" s="95">
        <f>0.5*((J10-I10)*(J10-I10))*'RangeCalculation - Table 1'!$B$2</f>
        <v>11458.333333333336</v>
      </c>
      <c r="N10" s="95">
        <f>L10*'RangeCalculation - Rollreibungs'!$J$4</f>
        <v>1005.39747</v>
      </c>
      <c r="O10" s="95">
        <f>((I10^3+J10^3)/2)/K10</f>
        <v>17.36111111111111</v>
      </c>
      <c r="P10" s="95">
        <f>0.5*'RangeCalculation - Table 1'!$B$10*'RangeCalculation - Table 2'!H$2*O10</f>
        <v>7.214147743055555</v>
      </c>
      <c r="Q10" s="95">
        <f>P10*L10</f>
        <v>75.14737232349538</v>
      </c>
    </row>
    <row r="11" ht="20.35" customHeight="1">
      <c r="A11" s="73">
        <f>A10+1</f>
        <v>8</v>
      </c>
      <c r="B11" t="s" s="93">
        <v>122</v>
      </c>
      <c r="C11" s="23"/>
      <c r="D11" s="94">
        <f>F10</f>
        <v>15</v>
      </c>
      <c r="E11" s="23">
        <f>D11+(C11*G11)*3.6</f>
        <v>15</v>
      </c>
      <c r="F11" s="94">
        <v>15</v>
      </c>
      <c r="G11" s="94">
        <v>2</v>
      </c>
      <c r="H11" s="94">
        <f>H10+G11</f>
        <v>56</v>
      </c>
      <c r="I11" s="95">
        <f>D11/3.6</f>
        <v>4.166666666666667</v>
      </c>
      <c r="J11" s="95">
        <f>F11/3.6</f>
        <v>4.166666666666667</v>
      </c>
      <c r="K11" s="95">
        <f>(I11+J11)/2</f>
        <v>4.166666666666667</v>
      </c>
      <c r="L11" s="95">
        <f>(K11*G11)</f>
        <v>8.333333333333334</v>
      </c>
      <c r="M11" s="95">
        <f>0.5*((J11-I11)*(J11-I11))*'RangeCalculation - Table 1'!$B$2</f>
        <v>0</v>
      </c>
      <c r="N11" s="95">
        <f>L11*'RangeCalculation - Rollreibungs'!$J$4</f>
        <v>804.317976</v>
      </c>
      <c r="O11" s="95">
        <f>((I11^3+J11^3)/2)/K11</f>
        <v>17.36111111111111</v>
      </c>
      <c r="P11" s="95">
        <f>0.5*'RangeCalculation - Table 1'!$B$10*'RangeCalculation - Table 2'!H$2*O11</f>
        <v>7.214147743055555</v>
      </c>
      <c r="Q11" s="95">
        <f>P11*L11</f>
        <v>60.1178978587963</v>
      </c>
    </row>
    <row r="12" ht="20.35" customHeight="1">
      <c r="A12" s="73">
        <f>A11+1</f>
        <v>9</v>
      </c>
      <c r="B12" t="s" s="93">
        <v>102</v>
      </c>
      <c r="C12" s="23">
        <v>0.9399999999999999</v>
      </c>
      <c r="D12" s="94">
        <f>F11</f>
        <v>15</v>
      </c>
      <c r="E12" s="23">
        <f>D12+(C12*G12)*3.6</f>
        <v>31.92</v>
      </c>
      <c r="F12" s="94">
        <v>32</v>
      </c>
      <c r="G12" s="94">
        <v>5</v>
      </c>
      <c r="H12" s="94">
        <f>H11+G12</f>
        <v>61</v>
      </c>
      <c r="I12" s="95">
        <f>D12/3.6</f>
        <v>4.166666666666667</v>
      </c>
      <c r="J12" s="95">
        <f>F12/3.6</f>
        <v>8.888888888888889</v>
      </c>
      <c r="K12" s="95">
        <f>(I12+J12)/2</f>
        <v>6.527777777777779</v>
      </c>
      <c r="L12" s="95">
        <f>(K12*G12)</f>
        <v>32.63888888888889</v>
      </c>
      <c r="M12" s="95">
        <f>0.5*((J12-I12)*(J12-I12))*'RangeCalculation - Table 1'!$B$2</f>
        <v>14717.592592592593</v>
      </c>
      <c r="N12" s="95">
        <f>L12*'RangeCalculation - Rollreibungs'!$J$4</f>
        <v>3150.245406</v>
      </c>
      <c r="O12" s="95">
        <f>((I12^3+J12^3)/2)/K12</f>
        <v>59.33641975308642</v>
      </c>
      <c r="P12" s="95">
        <f>0.5*'RangeCalculation - Table 1'!$B$10*'RangeCalculation - Table 2'!H$2*O12</f>
        <v>24.65635384182098</v>
      </c>
      <c r="Q12" s="95">
        <f>P12*L12</f>
        <v>804.7559934483239</v>
      </c>
    </row>
    <row r="13" ht="32.35" customHeight="1">
      <c r="A13" s="73">
        <f>A12+1</f>
        <v>10</v>
      </c>
      <c r="B13" t="s" s="93">
        <v>119</v>
      </c>
      <c r="C13" s="23"/>
      <c r="D13" s="94">
        <f>F12</f>
        <v>32</v>
      </c>
      <c r="E13" s="23">
        <f>D13+(C13*G13)*3.6</f>
        <v>32</v>
      </c>
      <c r="F13" s="94">
        <v>32</v>
      </c>
      <c r="G13" s="94">
        <v>24</v>
      </c>
      <c r="H13" s="94">
        <f>H12+G13</f>
        <v>85</v>
      </c>
      <c r="I13" s="95">
        <f>D13/3.6</f>
        <v>8.888888888888889</v>
      </c>
      <c r="J13" s="95">
        <f>F13/3.6</f>
        <v>8.888888888888889</v>
      </c>
      <c r="K13" s="95">
        <f>(I13+J13)/2</f>
        <v>8.888888888888889</v>
      </c>
      <c r="L13" s="95">
        <f>(K13*G13)</f>
        <v>213.3333333333333</v>
      </c>
      <c r="M13" s="95">
        <f>0.5*((J13-I13)*(J13-I13))*'RangeCalculation - Table 1'!$B$2</f>
        <v>0</v>
      </c>
      <c r="N13" s="95">
        <f>L13*'RangeCalculation - Rollreibungs'!$J$4</f>
        <v>20590.5401856</v>
      </c>
      <c r="O13" s="95">
        <f>((I13^3+J13^3)/2)/K13</f>
        <v>79.01234567901236</v>
      </c>
      <c r="P13" s="95">
        <f>0.5*'RangeCalculation - Table 1'!$B$10*'RangeCalculation - Table 2'!H$2*O13</f>
        <v>32.83238795061728</v>
      </c>
      <c r="Q13" s="95">
        <f>P13*L13</f>
        <v>7004.242762798353</v>
      </c>
    </row>
    <row r="14" ht="20.35" customHeight="1">
      <c r="A14" s="73">
        <f>A13+1</f>
        <v>11</v>
      </c>
      <c r="B14" t="s" s="93">
        <v>120</v>
      </c>
      <c r="C14" s="23">
        <v>-0.75</v>
      </c>
      <c r="D14" s="94">
        <f>F13</f>
        <v>32</v>
      </c>
      <c r="E14" s="23">
        <f>D14+(C14*G14)*3.6</f>
        <v>10.4</v>
      </c>
      <c r="F14" s="94">
        <v>10</v>
      </c>
      <c r="G14" s="94">
        <v>8</v>
      </c>
      <c r="H14" s="94">
        <f>H13+G14</f>
        <v>93</v>
      </c>
      <c r="I14" s="95">
        <f>D14/3.6</f>
        <v>8.888888888888889</v>
      </c>
      <c r="J14" s="95">
        <f>F14/3.6</f>
        <v>2.777777777777778</v>
      </c>
      <c r="K14" s="95">
        <f>(I14+J14)/2</f>
        <v>5.833333333333334</v>
      </c>
      <c r="L14" s="95">
        <f>(K14*G14)</f>
        <v>46.66666666666667</v>
      </c>
      <c r="M14" s="95">
        <f>0.5*((J14-I14)*(J14-I14))*'RangeCalculation - Table 1'!$B$2</f>
        <v>24648.148148148153</v>
      </c>
      <c r="N14" s="95">
        <f>L14*'RangeCalculation - Rollreibungs'!$J$4</f>
        <v>4504.180665600001</v>
      </c>
      <c r="O14" s="95">
        <f>((I14^3+J14^3)/2)/K14</f>
        <v>62.03703703703705</v>
      </c>
      <c r="P14" s="95">
        <f>0.5*'RangeCalculation - Table 1'!$B$10*'RangeCalculation - Table 2'!H$2*O14</f>
        <v>25.77855460185185</v>
      </c>
      <c r="Q14" s="95">
        <f>P14*L14</f>
        <v>1202.999214753087</v>
      </c>
    </row>
    <row r="15" ht="32.35" customHeight="1">
      <c r="A15" s="73">
        <f>A14+1</f>
        <v>12</v>
      </c>
      <c r="B15" t="s" s="93">
        <v>121</v>
      </c>
      <c r="C15" s="23">
        <v>-0.92</v>
      </c>
      <c r="D15" s="94">
        <f>F14</f>
        <v>10</v>
      </c>
      <c r="E15" s="23">
        <f>D15+(C15*G15)*3.6</f>
        <v>0.06399999999999828</v>
      </c>
      <c r="F15" s="94">
        <v>0</v>
      </c>
      <c r="G15" s="94">
        <v>3</v>
      </c>
      <c r="H15" s="94">
        <f>H14+G15</f>
        <v>96</v>
      </c>
      <c r="I15" s="95">
        <f>D15/3.6</f>
        <v>2.777777777777778</v>
      </c>
      <c r="J15" s="95">
        <f>F15/3.6</f>
        <v>0</v>
      </c>
      <c r="K15" s="95">
        <f>(I15+J15)/2</f>
        <v>1.388888888888889</v>
      </c>
      <c r="L15" s="95">
        <f>(K15*G15)</f>
        <v>4.166666666666666</v>
      </c>
      <c r="M15" s="95">
        <f>0.5*((J15-I15)*(J15-I15))*'RangeCalculation - Table 1'!$B$2</f>
        <v>5092.592592592592</v>
      </c>
      <c r="N15" s="95">
        <f>L15*'RangeCalculation - Rollreibungs'!$J$4</f>
        <v>402.1589879999999</v>
      </c>
      <c r="O15" s="95">
        <f>((I15^3+J15^3)/2)/K15</f>
        <v>7.716049382716049</v>
      </c>
      <c r="P15" s="95">
        <f>0.5*'RangeCalculation - Table 1'!$B$10*'RangeCalculation - Table 2'!H$2*O15</f>
        <v>3.206287885802468</v>
      </c>
      <c r="Q15" s="95">
        <f>P15*L15</f>
        <v>13.35953285751028</v>
      </c>
    </row>
    <row r="16" ht="20.35" customHeight="1">
      <c r="A16" s="73">
        <f>A15+1</f>
        <v>13</v>
      </c>
      <c r="B16" t="s" s="93">
        <v>118</v>
      </c>
      <c r="C16" s="23"/>
      <c r="D16" s="94">
        <f>F15</f>
        <v>0</v>
      </c>
      <c r="E16" s="23">
        <f>D16+(C16*G16)*3.6</f>
        <v>0</v>
      </c>
      <c r="F16" s="94">
        <v>0</v>
      </c>
      <c r="G16" s="94">
        <v>21</v>
      </c>
      <c r="H16" s="94">
        <f>H15+G16</f>
        <v>117</v>
      </c>
      <c r="I16" s="95">
        <f>D16/3.6</f>
        <v>0</v>
      </c>
      <c r="J16" s="95">
        <f>F16/3.6</f>
        <v>0</v>
      </c>
      <c r="K16" s="95">
        <f>(I16+J16)/2</f>
        <v>0</v>
      </c>
      <c r="L16" s="95">
        <f>(K16*G16)</f>
        <v>0</v>
      </c>
      <c r="M16" s="95">
        <f>0.5*((J16-I16)*(J16-I16))*'RangeCalculation - Table 1'!$B$2</f>
        <v>0</v>
      </c>
      <c r="N16" s="95">
        <f>L16*'RangeCalculation - Rollreibungs'!$J$4</f>
        <v>0</v>
      </c>
      <c r="O16" s="19"/>
      <c r="P16" s="95">
        <f>0.5*'RangeCalculation - Table 1'!$B$10*'RangeCalculation - Table 2'!H$2*O16</f>
        <v>0</v>
      </c>
      <c r="Q16" s="95">
        <f>P16*L16</f>
        <v>0</v>
      </c>
    </row>
    <row r="17" ht="20.35" customHeight="1">
      <c r="A17" s="73">
        <f>A16+1</f>
        <v>14</v>
      </c>
      <c r="B17" t="s" s="93">
        <v>102</v>
      </c>
      <c r="C17" s="23">
        <v>0.83</v>
      </c>
      <c r="D17" s="94">
        <f>F16</f>
        <v>0</v>
      </c>
      <c r="E17" s="23">
        <f>D17+(C17*G17)*3.6</f>
        <v>14.94</v>
      </c>
      <c r="F17" s="94">
        <v>15</v>
      </c>
      <c r="G17" s="94">
        <v>5</v>
      </c>
      <c r="H17" s="94">
        <f>H16+G17</f>
        <v>122</v>
      </c>
      <c r="I17" s="95">
        <f>D17/3.6</f>
        <v>0</v>
      </c>
      <c r="J17" s="95">
        <f>F17/3.6</f>
        <v>4.166666666666667</v>
      </c>
      <c r="K17" s="95">
        <f>(I17+J17)/2</f>
        <v>2.083333333333333</v>
      </c>
      <c r="L17" s="95">
        <f>(K17*G17)</f>
        <v>10.41666666666667</v>
      </c>
      <c r="M17" s="95">
        <f>0.5*((J17-I17)*(J17-I17))*'RangeCalculation - Table 1'!$B$2</f>
        <v>11458.333333333336</v>
      </c>
      <c r="N17" s="95">
        <f>L17*'RangeCalculation - Rollreibungs'!$J$4</f>
        <v>1005.39747</v>
      </c>
      <c r="O17" s="95">
        <f>((I17^3+J17^3)/2)/K17</f>
        <v>17.36111111111111</v>
      </c>
      <c r="P17" s="95">
        <f>0.5*'RangeCalculation - Table 1'!$B$10*'RangeCalculation - Table 2'!H$2*O17</f>
        <v>7.214147743055555</v>
      </c>
      <c r="Q17" s="95">
        <f>P17*L17</f>
        <v>75.14737232349538</v>
      </c>
    </row>
    <row r="18" ht="20.35" customHeight="1">
      <c r="A18" s="73">
        <f>A17+1</f>
        <v>15</v>
      </c>
      <c r="B18" t="s" s="93">
        <v>122</v>
      </c>
      <c r="C18" s="23"/>
      <c r="D18" s="94">
        <f>F17</f>
        <v>15</v>
      </c>
      <c r="E18" s="23">
        <f>D18+(C18*G18)*3.6</f>
        <v>15</v>
      </c>
      <c r="F18" s="94">
        <v>15</v>
      </c>
      <c r="G18" s="94">
        <v>2</v>
      </c>
      <c r="H18" s="94">
        <f>H17+G18</f>
        <v>124</v>
      </c>
      <c r="I18" s="95">
        <f>D18/3.6</f>
        <v>4.166666666666667</v>
      </c>
      <c r="J18" s="95">
        <f>F18/3.6</f>
        <v>4.166666666666667</v>
      </c>
      <c r="K18" s="95">
        <f>(I18+J18)/2</f>
        <v>4.166666666666667</v>
      </c>
      <c r="L18" s="95">
        <f>(K18*G18)</f>
        <v>8.333333333333334</v>
      </c>
      <c r="M18" s="95">
        <f>0.5*((J18-I18)*(J18-I18))*'RangeCalculation - Table 1'!$B$2</f>
        <v>0</v>
      </c>
      <c r="N18" s="95">
        <f>L18*'RangeCalculation - Rollreibungs'!$J$4</f>
        <v>804.317976</v>
      </c>
      <c r="O18" s="95">
        <f>((I18^3+J18^3)/2)/K18</f>
        <v>17.36111111111111</v>
      </c>
      <c r="P18" s="95">
        <f>0.5*'RangeCalculation - Table 1'!$B$10*'RangeCalculation - Table 2'!H$2*O18</f>
        <v>7.214147743055555</v>
      </c>
      <c r="Q18" s="95">
        <f>P18*L18</f>
        <v>60.1178978587963</v>
      </c>
    </row>
    <row r="19" ht="20.35" customHeight="1">
      <c r="A19" s="73">
        <f>A18+1</f>
        <v>16</v>
      </c>
      <c r="B19" t="s" s="93">
        <v>102</v>
      </c>
      <c r="C19" s="23">
        <v>0.62</v>
      </c>
      <c r="D19" s="94">
        <f>F18</f>
        <v>15</v>
      </c>
      <c r="E19" s="23">
        <f>D19+(C19*G19)*3.6</f>
        <v>35.088</v>
      </c>
      <c r="F19" s="94">
        <v>35</v>
      </c>
      <c r="G19" s="94">
        <v>9</v>
      </c>
      <c r="H19" s="94">
        <f>H18+G19</f>
        <v>133</v>
      </c>
      <c r="I19" s="95">
        <f>D19/3.6</f>
        <v>4.166666666666667</v>
      </c>
      <c r="J19" s="95">
        <f>F19/3.6</f>
        <v>9.722222222222221</v>
      </c>
      <c r="K19" s="95">
        <f>(I19+J19)/2</f>
        <v>6.944444444444445</v>
      </c>
      <c r="L19" s="95">
        <f>(K19*G19)</f>
        <v>62.5</v>
      </c>
      <c r="M19" s="95">
        <f>0.5*((J19-I19)*(J19-I19))*'RangeCalculation - Table 1'!$B$2</f>
        <v>20370.370370370361</v>
      </c>
      <c r="N19" s="95">
        <f>L19*'RangeCalculation - Rollreibungs'!$J$4</f>
        <v>6032.38482</v>
      </c>
      <c r="O19" s="95">
        <f>((I19^3+J19^3)/2)/K19</f>
        <v>71.37345679012344</v>
      </c>
      <c r="P19" s="95">
        <f>0.5*'RangeCalculation - Table 1'!$B$10*'RangeCalculation - Table 2'!H$2*O19</f>
        <v>29.65816294367283</v>
      </c>
      <c r="Q19" s="95">
        <f>P19*L19</f>
        <v>1853.635183979552</v>
      </c>
    </row>
    <row r="20" ht="20.35" customHeight="1">
      <c r="A20" s="73">
        <f>A19+1</f>
        <v>17</v>
      </c>
      <c r="B20" t="s" s="93">
        <v>122</v>
      </c>
      <c r="C20" s="23"/>
      <c r="D20" s="94">
        <f>F19</f>
        <v>35</v>
      </c>
      <c r="E20" s="23">
        <f>D20+(C20*G20)*3.6</f>
        <v>35</v>
      </c>
      <c r="F20" s="94">
        <v>35</v>
      </c>
      <c r="G20" s="94">
        <v>2</v>
      </c>
      <c r="H20" s="94">
        <f>H19+G20</f>
        <v>135</v>
      </c>
      <c r="I20" s="95">
        <f>D20/3.6</f>
        <v>9.722222222222221</v>
      </c>
      <c r="J20" s="95">
        <f>F20/3.6</f>
        <v>9.722222222222221</v>
      </c>
      <c r="K20" s="95">
        <f>(I20+J20)/2</f>
        <v>9.722222222222221</v>
      </c>
      <c r="L20" s="95">
        <f>(K20*G20)</f>
        <v>19.44444444444444</v>
      </c>
      <c r="M20" s="95">
        <f>0.5*((J20-I20)*(J20-I20))*'RangeCalculation - Table 1'!$B$2</f>
        <v>0</v>
      </c>
      <c r="N20" s="95">
        <f>L20*'RangeCalculation - Rollreibungs'!$J$4</f>
        <v>1876.741944</v>
      </c>
      <c r="O20" s="95">
        <f>((I20^3+J20^3)/2)/K20</f>
        <v>94.52160493827159</v>
      </c>
      <c r="P20" s="95">
        <f>0.5*'RangeCalculation - Table 1'!$B$10*'RangeCalculation - Table 2'!H$2*O20</f>
        <v>39.27702660108024</v>
      </c>
      <c r="Q20" s="95">
        <f>P20*L20</f>
        <v>763.7199616876712</v>
      </c>
    </row>
    <row r="21" ht="20.35" customHeight="1">
      <c r="A21" s="73">
        <f>A20+1</f>
        <v>18</v>
      </c>
      <c r="B21" t="s" s="93">
        <v>102</v>
      </c>
      <c r="C21" s="23">
        <v>0.52</v>
      </c>
      <c r="D21" s="94">
        <f>F20</f>
        <v>35</v>
      </c>
      <c r="E21" s="23">
        <f>D21+(C21*G21)*3.6</f>
        <v>49.976</v>
      </c>
      <c r="F21" s="94">
        <v>50</v>
      </c>
      <c r="G21" s="94">
        <v>8</v>
      </c>
      <c r="H21" s="94">
        <f>H20+G21</f>
        <v>143</v>
      </c>
      <c r="I21" s="95">
        <f>D21/3.6</f>
        <v>9.722222222222221</v>
      </c>
      <c r="J21" s="95">
        <f>F21/3.6</f>
        <v>13.88888888888889</v>
      </c>
      <c r="K21" s="95">
        <f>(I21+J21)/2</f>
        <v>11.80555555555556</v>
      </c>
      <c r="L21" s="95">
        <f>(K21*G21)</f>
        <v>94.44444444444444</v>
      </c>
      <c r="M21" s="95">
        <f>0.5*((J21-I21)*(J21-I21))*'RangeCalculation - Table 1'!$B$2</f>
        <v>11458.333333333339</v>
      </c>
      <c r="N21" s="95">
        <f>L21*'RangeCalculation - Rollreibungs'!$J$4</f>
        <v>9115.603728</v>
      </c>
      <c r="O21" s="95">
        <f>((I21^3+J21^3)/2)/K21</f>
        <v>152.391975308642</v>
      </c>
      <c r="P21" s="95">
        <f>0.5*'RangeCalculation - Table 1'!$B$10*'RangeCalculation - Table 2'!H$2*O21</f>
        <v>63.32418574459875</v>
      </c>
      <c r="Q21" s="95">
        <f>P21*L21</f>
        <v>5980.617542545438</v>
      </c>
    </row>
    <row r="22" ht="32.35" customHeight="1">
      <c r="A22" s="73">
        <f>A21+1</f>
        <v>19</v>
      </c>
      <c r="B22" t="s" s="93">
        <v>119</v>
      </c>
      <c r="C22" s="23"/>
      <c r="D22" s="94">
        <f>F21</f>
        <v>50</v>
      </c>
      <c r="E22" s="23">
        <f>D22+(C22*G22)*3.6</f>
        <v>50</v>
      </c>
      <c r="F22" s="94">
        <v>50</v>
      </c>
      <c r="G22" s="94">
        <v>12</v>
      </c>
      <c r="H22" s="94">
        <f>H21+G22</f>
        <v>155</v>
      </c>
      <c r="I22" s="95">
        <f>D22/3.6</f>
        <v>13.88888888888889</v>
      </c>
      <c r="J22" s="95">
        <f>F22/3.6</f>
        <v>13.88888888888889</v>
      </c>
      <c r="K22" s="95">
        <f>(I22+J22)/2</f>
        <v>13.88888888888889</v>
      </c>
      <c r="L22" s="95">
        <f>(K22*G22)</f>
        <v>166.6666666666667</v>
      </c>
      <c r="M22" s="95">
        <f>0.5*((J22-I22)*(J22-I22))*'RangeCalculation - Table 1'!$B$2</f>
        <v>0</v>
      </c>
      <c r="N22" s="95">
        <f>L22*'RangeCalculation - Rollreibungs'!$J$4</f>
        <v>16086.35952</v>
      </c>
      <c r="O22" s="95">
        <f>((I22^3+J22^3)/2)/K22</f>
        <v>192.9012345679012</v>
      </c>
      <c r="P22" s="95">
        <f>0.5*'RangeCalculation - Table 1'!$B$10*'RangeCalculation - Table 2'!H$2*O22</f>
        <v>80.15719714506172</v>
      </c>
      <c r="Q22" s="95">
        <f>P22*L22</f>
        <v>13359.532857510287</v>
      </c>
    </row>
    <row r="23" ht="20.35" customHeight="1">
      <c r="A23" s="73">
        <f>A22+1</f>
        <v>20</v>
      </c>
      <c r="B23" t="s" s="93">
        <v>120</v>
      </c>
      <c r="C23" s="23">
        <v>-0.52</v>
      </c>
      <c r="D23" s="94">
        <f>F22</f>
        <v>50</v>
      </c>
      <c r="E23" s="23">
        <f>D23+(C23*G23)*3.6</f>
        <v>35.024</v>
      </c>
      <c r="F23" s="94">
        <v>35</v>
      </c>
      <c r="G23" s="94">
        <v>8</v>
      </c>
      <c r="H23" s="94">
        <f>H22+G23</f>
        <v>163</v>
      </c>
      <c r="I23" s="95">
        <f>D23/3.6</f>
        <v>13.88888888888889</v>
      </c>
      <c r="J23" s="95">
        <f>F23/3.6</f>
        <v>9.722222222222221</v>
      </c>
      <c r="K23" s="95">
        <f>(I23+J23)/2</f>
        <v>11.80555555555556</v>
      </c>
      <c r="L23" s="95">
        <f>(K23*G23)</f>
        <v>94.44444444444444</v>
      </c>
      <c r="M23" s="95">
        <f>0.5*((J23-I23)*(J23-I23))*'RangeCalculation - Table 1'!$B$2</f>
        <v>11458.333333333339</v>
      </c>
      <c r="N23" s="95">
        <f>L23*'RangeCalculation - Rollreibungs'!$J$4</f>
        <v>9115.603728</v>
      </c>
      <c r="O23" s="95">
        <f>((I23^3+J23^3)/2)/K23</f>
        <v>152.391975308642</v>
      </c>
      <c r="P23" s="95">
        <f>0.5*'RangeCalculation - Table 1'!$B$10*'RangeCalculation - Table 2'!H$2*O23</f>
        <v>63.32418574459875</v>
      </c>
      <c r="Q23" s="95">
        <f>P23*L23</f>
        <v>5980.617542545438</v>
      </c>
    </row>
    <row r="24" ht="32.35" customHeight="1">
      <c r="A24" s="73">
        <f>A23+1</f>
        <v>21</v>
      </c>
      <c r="B24" t="s" s="93">
        <v>119</v>
      </c>
      <c r="C24" s="23"/>
      <c r="D24" s="94">
        <f>F23</f>
        <v>35</v>
      </c>
      <c r="E24" s="23">
        <f>D24+(C24*G24)*3.6</f>
        <v>35</v>
      </c>
      <c r="F24" s="94">
        <v>35</v>
      </c>
      <c r="G24" s="94">
        <v>13</v>
      </c>
      <c r="H24" s="94">
        <f>H23+G24</f>
        <v>176</v>
      </c>
      <c r="I24" s="95">
        <f>D24/3.6</f>
        <v>9.722222222222221</v>
      </c>
      <c r="J24" s="95">
        <f>F24/3.6</f>
        <v>9.722222222222221</v>
      </c>
      <c r="K24" s="95">
        <f>(I24+J24)/2</f>
        <v>9.722222222222221</v>
      </c>
      <c r="L24" s="95">
        <f>(K24*G24)</f>
        <v>126.3888888888889</v>
      </c>
      <c r="M24" s="95">
        <f>0.5*((J24-I24)*(J24-I24))*'RangeCalculation - Table 1'!$B$2</f>
        <v>0</v>
      </c>
      <c r="N24" s="95">
        <f>L24*'RangeCalculation - Rollreibungs'!$J$4</f>
        <v>12198.822636</v>
      </c>
      <c r="O24" s="95">
        <f>((I24^3+J24^3)/2)/K24</f>
        <v>94.52160493827159</v>
      </c>
      <c r="P24" s="95">
        <f>0.5*'RangeCalculation - Table 1'!$B$10*'RangeCalculation - Table 2'!H$2*O24</f>
        <v>39.27702660108024</v>
      </c>
      <c r="Q24" s="95">
        <f>P24*L24</f>
        <v>4964.179750969864</v>
      </c>
    </row>
    <row r="25" ht="20.35" customHeight="1">
      <c r="A25" s="73">
        <f>A24+1</f>
        <v>22</v>
      </c>
      <c r="B25" t="s" s="93">
        <v>122</v>
      </c>
      <c r="C25" s="23"/>
      <c r="D25" s="94">
        <f>F24</f>
        <v>35</v>
      </c>
      <c r="E25" s="23">
        <f>D25+(C25*G25)*3.6</f>
        <v>35</v>
      </c>
      <c r="F25" s="94">
        <v>35</v>
      </c>
      <c r="G25" s="94">
        <v>2</v>
      </c>
      <c r="H25" s="94">
        <f>H24+G25</f>
        <v>178</v>
      </c>
      <c r="I25" s="95">
        <f>D25/3.6</f>
        <v>9.722222222222221</v>
      </c>
      <c r="J25" s="95">
        <f>F25/3.6</f>
        <v>9.722222222222221</v>
      </c>
      <c r="K25" s="95">
        <f>(I25+J25)/2</f>
        <v>9.722222222222221</v>
      </c>
      <c r="L25" s="95">
        <f>(K25*G25)</f>
        <v>19.44444444444444</v>
      </c>
      <c r="M25" s="95">
        <f>0.5*((J25-I25)*(J25-I25))*'RangeCalculation - Table 1'!$B$2</f>
        <v>0</v>
      </c>
      <c r="N25" s="95">
        <f>L25*'RangeCalculation - Rollreibungs'!$J$4</f>
        <v>1876.741944</v>
      </c>
      <c r="O25" s="95">
        <f>((I25^3+J25^3)/2)/K25</f>
        <v>94.52160493827159</v>
      </c>
      <c r="P25" s="95">
        <f>0.5*'RangeCalculation - Table 1'!$B$10*'RangeCalculation - Table 2'!H$2*O25</f>
        <v>39.27702660108024</v>
      </c>
      <c r="Q25" s="95">
        <f>P25*L25</f>
        <v>763.7199616876712</v>
      </c>
    </row>
    <row r="26" ht="20.35" customHeight="1">
      <c r="A26" s="73">
        <f>A25+1</f>
        <v>23</v>
      </c>
      <c r="B26" t="s" s="93">
        <v>120</v>
      </c>
      <c r="C26" s="23">
        <v>-0.99</v>
      </c>
      <c r="D26" s="94">
        <f>F25</f>
        <v>35</v>
      </c>
      <c r="E26" s="23">
        <f>D26+(C26*G26)*3.6</f>
        <v>10.052</v>
      </c>
      <c r="F26" s="94">
        <v>10</v>
      </c>
      <c r="G26" s="94">
        <v>7</v>
      </c>
      <c r="H26" s="94">
        <f>H25+G26</f>
        <v>185</v>
      </c>
      <c r="I26" s="95">
        <f>D26/3.6</f>
        <v>9.722222222222221</v>
      </c>
      <c r="J26" s="95">
        <f>F26/3.6</f>
        <v>2.777777777777778</v>
      </c>
      <c r="K26" s="95">
        <f>(I26+J26)/2</f>
        <v>6.25</v>
      </c>
      <c r="L26" s="95">
        <f>(K26*G26)</f>
        <v>43.75</v>
      </c>
      <c r="M26" s="95">
        <f>0.5*((J26-I26)*(J26-I26))*'RangeCalculation - Table 1'!$B$2</f>
        <v>31828.7037037037</v>
      </c>
      <c r="N26" s="95">
        <f>L26*'RangeCalculation - Rollreibungs'!$J$4</f>
        <v>4222.669374</v>
      </c>
      <c r="O26" s="95">
        <f>((I26^3+J26^3)/2)/K26</f>
        <v>75.23148148148147</v>
      </c>
      <c r="P26" s="95">
        <f>0.5*'RangeCalculation - Table 1'!$B$10*'RangeCalculation - Table 2'!H$2*O26</f>
        <v>31.26130688657406</v>
      </c>
      <c r="Q26" s="95">
        <f>P26*L26</f>
        <v>1367.682176287615</v>
      </c>
    </row>
    <row r="27" ht="32.35" customHeight="1">
      <c r="A27" s="73">
        <f>A26+1</f>
        <v>24</v>
      </c>
      <c r="B27" t="s" s="93">
        <v>121</v>
      </c>
      <c r="C27" s="23">
        <v>-0.92</v>
      </c>
      <c r="D27" s="94">
        <f>F26</f>
        <v>10</v>
      </c>
      <c r="E27" s="23">
        <f>D27+(C27*G27)*3.6</f>
        <v>0.06399999999999828</v>
      </c>
      <c r="F27" s="94">
        <v>0</v>
      </c>
      <c r="G27" s="94">
        <v>3</v>
      </c>
      <c r="H27" s="94">
        <f>H26+G27</f>
        <v>188</v>
      </c>
      <c r="I27" s="95">
        <f>D27/3.6</f>
        <v>2.777777777777778</v>
      </c>
      <c r="J27" s="95">
        <f>F27/3.6</f>
        <v>0</v>
      </c>
      <c r="K27" s="95">
        <f>(I27+J27)/2</f>
        <v>1.388888888888889</v>
      </c>
      <c r="L27" s="95">
        <f>(K27*G27)</f>
        <v>4.166666666666666</v>
      </c>
      <c r="M27" s="95">
        <f>0.5*((J27-I27)*(J27-I27))*'RangeCalculation - Table 1'!$B$2</f>
        <v>5092.592592592592</v>
      </c>
      <c r="N27" s="95">
        <f>L27*'RangeCalculation - Rollreibungs'!$J$4</f>
        <v>402.1589879999999</v>
      </c>
      <c r="O27" s="95">
        <f>((I27^3+J27^3)/2)/K27</f>
        <v>7.716049382716049</v>
      </c>
      <c r="P27" s="95">
        <f>0.5*'RangeCalculation - Table 1'!$B$10*'RangeCalculation - Table 2'!H$2*O27</f>
        <v>3.206287885802468</v>
      </c>
      <c r="Q27" s="95">
        <f>P27*L27</f>
        <v>13.35953285751028</v>
      </c>
    </row>
    <row r="28" ht="20.35" customHeight="1">
      <c r="A28" s="73">
        <f>A27+1</f>
        <v>25</v>
      </c>
      <c r="B28" t="s" s="93">
        <v>118</v>
      </c>
      <c r="C28" s="23"/>
      <c r="D28" s="94">
        <f>F27</f>
        <v>0</v>
      </c>
      <c r="E28" s="23">
        <f>D28+(C28*G28)*3.6</f>
        <v>0</v>
      </c>
      <c r="F28" s="94">
        <v>0</v>
      </c>
      <c r="G28" s="94">
        <v>7</v>
      </c>
      <c r="H28" s="94">
        <f>H27+G28</f>
        <v>195</v>
      </c>
      <c r="I28" s="95">
        <f>D28/3.6</f>
        <v>0</v>
      </c>
      <c r="J28" s="95">
        <f>F28/3.6</f>
        <v>0</v>
      </c>
      <c r="K28" s="95">
        <f>(I28+J28)/2</f>
        <v>0</v>
      </c>
      <c r="L28" s="95">
        <f>(K28*G28)</f>
        <v>0</v>
      </c>
      <c r="M28" s="95">
        <f>0.5*((J28-I28)*(J28-I28))*'RangeCalculation - Table 1'!$B$2</f>
        <v>0</v>
      </c>
      <c r="N28" s="95">
        <f>L28*'RangeCalculation - Rollreibungs'!$J$4</f>
        <v>0</v>
      </c>
      <c r="O28" s="19"/>
      <c r="P28" s="95">
        <f>0.5*'RangeCalculation - Table 1'!$B$10*'RangeCalculation - Table 2'!H$2*O28</f>
        <v>0</v>
      </c>
      <c r="Q28" s="95">
        <f>P28*L28</f>
        <v>0</v>
      </c>
    </row>
    <row r="29" ht="20.35" customHeight="1">
      <c r="A29" s="75"/>
      <c r="B29" s="74"/>
      <c r="C29" s="23"/>
      <c r="D29" s="94"/>
      <c r="E29" s="23"/>
      <c r="F29" s="94"/>
      <c r="G29" s="94"/>
      <c r="H29" s="94"/>
      <c r="I29" s="95"/>
      <c r="J29" s="95"/>
      <c r="K29" s="95"/>
      <c r="L29" s="95"/>
      <c r="M29" s="95"/>
      <c r="N29" s="95"/>
      <c r="O29" s="19"/>
      <c r="P29" s="19"/>
      <c r="Q29" s="95"/>
    </row>
    <row r="30" ht="20.35" customHeight="1">
      <c r="A30" s="75"/>
      <c r="B30" s="74"/>
      <c r="C30" s="23"/>
      <c r="D30" s="94"/>
      <c r="E30" s="23"/>
      <c r="F30" s="94"/>
      <c r="G30" s="94"/>
      <c r="H30" s="94"/>
      <c r="I30" s="95"/>
      <c r="J30" s="95"/>
      <c r="K30" s="95"/>
      <c r="L30" s="95"/>
      <c r="M30" s="95"/>
      <c r="N30" s="95"/>
      <c r="O30" s="19"/>
      <c r="P30" s="19"/>
      <c r="Q30" s="19"/>
    </row>
    <row r="31" ht="20.35" customHeight="1">
      <c r="A31" t="s" s="13">
        <v>123</v>
      </c>
      <c r="B31" s="74"/>
      <c r="C31" s="23"/>
      <c r="D31" s="94"/>
      <c r="E31" s="23"/>
      <c r="F31" s="94"/>
      <c r="G31" s="94"/>
      <c r="H31" s="94"/>
      <c r="I31" s="95"/>
      <c r="J31" s="95"/>
      <c r="K31" s="95"/>
      <c r="L31" s="95"/>
      <c r="M31" s="95"/>
      <c r="N31" s="95"/>
      <c r="O31" s="19"/>
      <c r="P31" s="19"/>
      <c r="Q31" s="19"/>
    </row>
    <row r="32" ht="20.35" customHeight="1">
      <c r="A32" s="73">
        <f>A29+1</f>
        <v>1</v>
      </c>
      <c r="B32" t="s" s="93">
        <v>118</v>
      </c>
      <c r="C32" s="23"/>
      <c r="D32" s="94">
        <f>F29</f>
        <v>0</v>
      </c>
      <c r="E32" s="23">
        <f>D32+(C32*G32)*3.6</f>
        <v>0</v>
      </c>
      <c r="F32" s="94">
        <v>0</v>
      </c>
      <c r="G32" s="94">
        <v>20</v>
      </c>
      <c r="H32" s="94">
        <f>H29+G32</f>
        <v>20</v>
      </c>
      <c r="I32" s="95">
        <f>D32/3.6</f>
        <v>0</v>
      </c>
      <c r="J32" s="95">
        <f>F32/3.6</f>
        <v>0</v>
      </c>
      <c r="K32" s="95">
        <f>(I32+J32)/2</f>
        <v>0</v>
      </c>
      <c r="L32" s="95">
        <f>(K32*G32)</f>
        <v>0</v>
      </c>
      <c r="M32" s="95">
        <f>0.5*((J32-I32)*(J32-I32))*'RangeCalculation - Table 1'!$B$2</f>
        <v>0</v>
      </c>
      <c r="N32" s="95">
        <f>L32*'RangeCalculation - Rollreibungs'!$J$4</f>
        <v>0</v>
      </c>
      <c r="O32" s="19"/>
      <c r="P32" s="95">
        <f>0.5*'RangeCalculation - Table 1'!$B$10*'RangeCalculation - Table 2'!H$2*O32</f>
        <v>0</v>
      </c>
      <c r="Q32" s="95">
        <f>P32*L32</f>
        <v>0</v>
      </c>
    </row>
    <row r="33" ht="20.35" customHeight="1">
      <c r="A33" s="73">
        <f>A32+1</f>
        <v>2</v>
      </c>
      <c r="B33" t="s" s="93">
        <v>102</v>
      </c>
      <c r="C33" s="23">
        <v>0.83</v>
      </c>
      <c r="D33" s="94">
        <f>F32</f>
        <v>0</v>
      </c>
      <c r="E33" s="23">
        <f>D33+(C33*G33)*3.6</f>
        <v>14.94</v>
      </c>
      <c r="F33" s="94">
        <v>15</v>
      </c>
      <c r="G33" s="94">
        <v>5</v>
      </c>
      <c r="H33" s="94">
        <f>H32+G33</f>
        <v>25</v>
      </c>
      <c r="I33" s="95">
        <f>D33/3.6</f>
        <v>0</v>
      </c>
      <c r="J33" s="95">
        <f>F33/3.6</f>
        <v>4.166666666666667</v>
      </c>
      <c r="K33" s="95">
        <f>(I33+J33)/2</f>
        <v>2.083333333333333</v>
      </c>
      <c r="L33" s="95">
        <f>(K33*G33)</f>
        <v>10.41666666666667</v>
      </c>
      <c r="M33" s="95">
        <f>0.5*((J33-I33)*(J33-I33))*'RangeCalculation - Table 1'!$B$2</f>
        <v>11458.333333333336</v>
      </c>
      <c r="N33" s="95">
        <f>L33*'RangeCalculation - Rollreibungs'!$J$4</f>
        <v>1005.39747</v>
      </c>
      <c r="O33" s="95">
        <f>((I33^3+J33^3)/2)/K33</f>
        <v>17.36111111111111</v>
      </c>
      <c r="P33" s="95">
        <f>0.5*'RangeCalculation - Table 1'!$B$10*'RangeCalculation - Table 2'!H$2*O33</f>
        <v>7.214147743055555</v>
      </c>
      <c r="Q33" s="95">
        <f>P33*L33</f>
        <v>75.14737232349538</v>
      </c>
    </row>
    <row r="34" ht="32.35" customHeight="1">
      <c r="A34" s="73">
        <f>A33+1</f>
        <v>3</v>
      </c>
      <c r="B34" t="s" s="93">
        <v>119</v>
      </c>
      <c r="C34" s="23"/>
      <c r="D34" s="94">
        <f>F33</f>
        <v>15</v>
      </c>
      <c r="E34" s="23">
        <f>D34+(C34*G34)*3.6</f>
        <v>15</v>
      </c>
      <c r="F34" s="94">
        <v>15</v>
      </c>
      <c r="G34" s="94">
        <v>2</v>
      </c>
      <c r="H34" s="94">
        <f>H33+G34</f>
        <v>27</v>
      </c>
      <c r="I34" s="95">
        <f>D34/3.6</f>
        <v>4.166666666666667</v>
      </c>
      <c r="J34" s="95">
        <f>F34/3.6</f>
        <v>4.166666666666667</v>
      </c>
      <c r="K34" s="95">
        <f>(I34+J34)/2</f>
        <v>4.166666666666667</v>
      </c>
      <c r="L34" s="95">
        <f>(K34*G34)</f>
        <v>8.333333333333334</v>
      </c>
      <c r="M34" s="95">
        <f>0.5*((J34-I34)*(J34-I34))*'RangeCalculation - Table 1'!$B$2</f>
        <v>0</v>
      </c>
      <c r="N34" s="95">
        <f>L34*'RangeCalculation - Rollreibungs'!$J$4</f>
        <v>804.317976</v>
      </c>
      <c r="O34" s="95">
        <f>((I34^3+J34^3)/2)/K34</f>
        <v>17.36111111111111</v>
      </c>
      <c r="P34" s="95">
        <f>0.5*'RangeCalculation - Table 1'!$B$10*'RangeCalculation - Table 2'!H$2*O34</f>
        <v>7.214147743055555</v>
      </c>
      <c r="Q34" s="95">
        <f>P34*L34</f>
        <v>60.1178978587963</v>
      </c>
    </row>
    <row r="35" ht="20.35" customHeight="1">
      <c r="A35" s="73">
        <f>A34+1</f>
        <v>4</v>
      </c>
      <c r="B35" t="s" s="93">
        <v>102</v>
      </c>
      <c r="C35" s="23">
        <v>0.62</v>
      </c>
      <c r="D35" s="94">
        <f>F34</f>
        <v>15</v>
      </c>
      <c r="E35" s="23">
        <f>D35+(C35*G35)*3.6</f>
        <v>35.088</v>
      </c>
      <c r="F35" s="94">
        <v>35</v>
      </c>
      <c r="G35" s="94">
        <v>9</v>
      </c>
      <c r="H35" s="94">
        <f>H34+G35</f>
        <v>36</v>
      </c>
      <c r="I35" s="95">
        <f>D35/3.6</f>
        <v>4.166666666666667</v>
      </c>
      <c r="J35" s="95">
        <f>F35/3.6</f>
        <v>9.722222222222221</v>
      </c>
      <c r="K35" s="95">
        <f>(I35+J35)/2</f>
        <v>6.944444444444445</v>
      </c>
      <c r="L35" s="95">
        <f>(K35*G35)</f>
        <v>62.5</v>
      </c>
      <c r="M35" s="95">
        <f>0.5*((J35-I35)*(J35-I35))*'RangeCalculation - Table 1'!$B$2</f>
        <v>20370.370370370361</v>
      </c>
      <c r="N35" s="95">
        <f>L35*'RangeCalculation - Rollreibungs'!$J$4</f>
        <v>6032.38482</v>
      </c>
      <c r="O35" s="95">
        <f>((I35^3+J35^3)/2)/K35</f>
        <v>71.37345679012344</v>
      </c>
      <c r="P35" s="95">
        <f>0.5*'RangeCalculation - Table 1'!$B$10*'RangeCalculation - Table 2'!H$2*O35</f>
        <v>29.65816294367283</v>
      </c>
      <c r="Q35" s="95">
        <f>P35*L35</f>
        <v>1853.635183979552</v>
      </c>
    </row>
    <row r="36" ht="32.35" customHeight="1">
      <c r="A36" s="73">
        <f>A35+1</f>
        <v>5</v>
      </c>
      <c r="B36" t="s" s="93">
        <v>119</v>
      </c>
      <c r="C36" s="23"/>
      <c r="D36" s="94">
        <f>F35</f>
        <v>35</v>
      </c>
      <c r="E36" s="23">
        <f>D36+(C36*G36)*3.6</f>
        <v>35</v>
      </c>
      <c r="F36" s="94">
        <v>35</v>
      </c>
      <c r="G36" s="94">
        <v>2</v>
      </c>
      <c r="H36" s="94">
        <f>H35+G36</f>
        <v>38</v>
      </c>
      <c r="I36" s="95">
        <f>D36/3.6</f>
        <v>9.722222222222221</v>
      </c>
      <c r="J36" s="95">
        <f>F36/3.6</f>
        <v>9.722222222222221</v>
      </c>
      <c r="K36" s="95">
        <f>(I36+J36)/2</f>
        <v>9.722222222222221</v>
      </c>
      <c r="L36" s="95">
        <f>(K36*G36)</f>
        <v>19.44444444444444</v>
      </c>
      <c r="M36" s="95">
        <f>0.5*((J36-I36)*(J36-I36))*'RangeCalculation - Table 1'!$B$2</f>
        <v>0</v>
      </c>
      <c r="N36" s="95">
        <f>L36*'RangeCalculation - Rollreibungs'!$J$4</f>
        <v>1876.741944</v>
      </c>
      <c r="O36" s="95">
        <f>((I36^3+J36^3)/2)/K36</f>
        <v>94.52160493827159</v>
      </c>
      <c r="P36" s="95">
        <f>0.5*'RangeCalculation - Table 1'!$B$10*'RangeCalculation - Table 2'!H$2*O36</f>
        <v>39.27702660108024</v>
      </c>
      <c r="Q36" s="95">
        <f>P36*L36</f>
        <v>763.7199616876712</v>
      </c>
    </row>
    <row r="37" ht="20.35" customHeight="1">
      <c r="A37" s="73">
        <f>A36+1</f>
        <v>6</v>
      </c>
      <c r="B37" t="s" s="93">
        <v>102</v>
      </c>
      <c r="C37" s="23">
        <v>0.52</v>
      </c>
      <c r="D37" s="94">
        <f>F36</f>
        <v>35</v>
      </c>
      <c r="E37" s="23">
        <f>D37+(C37*G37)*3.6</f>
        <v>49.976</v>
      </c>
      <c r="F37" s="94">
        <v>50</v>
      </c>
      <c r="G37" s="94">
        <v>8</v>
      </c>
      <c r="H37" s="94">
        <f>H36+G37</f>
        <v>46</v>
      </c>
      <c r="I37" s="95">
        <f>D37/3.6</f>
        <v>9.722222222222221</v>
      </c>
      <c r="J37" s="95">
        <f>F37/3.6</f>
        <v>13.88888888888889</v>
      </c>
      <c r="K37" s="95">
        <f>(I37+J37)/2</f>
        <v>11.80555555555556</v>
      </c>
      <c r="L37" s="95">
        <f>(K37*G37)</f>
        <v>94.44444444444444</v>
      </c>
      <c r="M37" s="95">
        <f>0.5*((J37-I37)*(J37-I37))*'RangeCalculation - Table 1'!$B$2</f>
        <v>11458.333333333339</v>
      </c>
      <c r="N37" s="95">
        <f>L37*'RangeCalculation - Rollreibungs'!$J$4</f>
        <v>9115.603728</v>
      </c>
      <c r="O37" s="95">
        <f>((I37^3+J37^3)/2)/K37</f>
        <v>152.391975308642</v>
      </c>
      <c r="P37" s="95">
        <f>0.5*'RangeCalculation - Table 1'!$B$10*'RangeCalculation - Table 2'!H$2*O37</f>
        <v>63.32418574459875</v>
      </c>
      <c r="Q37" s="95">
        <f>P37*L37</f>
        <v>5980.617542545438</v>
      </c>
    </row>
    <row r="38" ht="32.35" customHeight="1">
      <c r="A38" s="73">
        <f>A37+1</f>
        <v>7</v>
      </c>
      <c r="B38" t="s" s="93">
        <v>119</v>
      </c>
      <c r="C38" s="23"/>
      <c r="D38" s="94">
        <f>F37</f>
        <v>50</v>
      </c>
      <c r="E38" s="23">
        <f>D38+(C38*G38)*3.6</f>
        <v>50</v>
      </c>
      <c r="F38" s="94">
        <v>50</v>
      </c>
      <c r="G38" s="94">
        <v>2</v>
      </c>
      <c r="H38" s="94">
        <f>H37+G38</f>
        <v>48</v>
      </c>
      <c r="I38" s="95">
        <f>D38/3.6</f>
        <v>13.88888888888889</v>
      </c>
      <c r="J38" s="95">
        <f>F38/3.6</f>
        <v>13.88888888888889</v>
      </c>
      <c r="K38" s="95">
        <f>(I38+J38)/2</f>
        <v>13.88888888888889</v>
      </c>
      <c r="L38" s="95">
        <f>(K38*G38)</f>
        <v>27.77777777777778</v>
      </c>
      <c r="M38" s="95">
        <f>0.5*((J38-I38)*(J38-I38))*'RangeCalculation - Table 1'!$B$2</f>
        <v>0</v>
      </c>
      <c r="N38" s="95">
        <f>L38*'RangeCalculation - Rollreibungs'!$J$4</f>
        <v>2681.05992</v>
      </c>
      <c r="O38" s="95">
        <f>((I38^3+J38^3)/2)/K38</f>
        <v>192.9012345679012</v>
      </c>
      <c r="P38" s="95">
        <f>0.5*'RangeCalculation - Table 1'!$B$10*'RangeCalculation - Table 2'!H$2*O38</f>
        <v>80.15719714506172</v>
      </c>
      <c r="Q38" s="95">
        <f>P38*L38</f>
        <v>2226.588809585048</v>
      </c>
    </row>
    <row r="39" ht="20.35" customHeight="1">
      <c r="A39" s="73">
        <f>A38+1</f>
        <v>8</v>
      </c>
      <c r="B39" t="s" s="93">
        <v>102</v>
      </c>
      <c r="C39" s="23">
        <v>0.43</v>
      </c>
      <c r="D39" s="94">
        <f>F38</f>
        <v>50</v>
      </c>
      <c r="E39" s="23">
        <f>D39+(C39*G39)*3.6</f>
        <v>70.124</v>
      </c>
      <c r="F39" s="94">
        <v>70</v>
      </c>
      <c r="G39" s="94">
        <v>13</v>
      </c>
      <c r="H39" s="94">
        <f>H38+G39</f>
        <v>61</v>
      </c>
      <c r="I39" s="95">
        <f>D39/3.6</f>
        <v>13.88888888888889</v>
      </c>
      <c r="J39" s="95">
        <f>F39/3.6</f>
        <v>19.44444444444444</v>
      </c>
      <c r="K39" s="95">
        <f>(I39+J39)/2</f>
        <v>16.66666666666666</v>
      </c>
      <c r="L39" s="95">
        <f>(K39*G39)</f>
        <v>216.6666666666666</v>
      </c>
      <c r="M39" s="95">
        <f>0.5*((J39-I39)*(J39-I39))*'RangeCalculation - Table 1'!$B$2</f>
        <v>20370.370370370354</v>
      </c>
      <c r="N39" s="95">
        <f>L39*'RangeCalculation - Rollreibungs'!$J$4</f>
        <v>20912.267376</v>
      </c>
      <c r="O39" s="95">
        <f>((I39^3+J39^3)/2)/K39</f>
        <v>300.925925925926</v>
      </c>
      <c r="P39" s="95">
        <f>0.5*'RangeCalculation - Table 1'!$B$10*'RangeCalculation - Table 2'!H$2*O39</f>
        <v>125.0452275462963</v>
      </c>
      <c r="Q39" s="95">
        <f>P39*L39</f>
        <v>27093.132635030859</v>
      </c>
    </row>
    <row r="40" ht="32.35" customHeight="1">
      <c r="A40" s="73">
        <f>A39+1</f>
        <v>9</v>
      </c>
      <c r="B40" t="s" s="93">
        <v>119</v>
      </c>
      <c r="C40" s="23"/>
      <c r="D40" s="94">
        <f>F39</f>
        <v>70</v>
      </c>
      <c r="E40" s="23">
        <f>D40+(C40*G40)*3.6</f>
        <v>70</v>
      </c>
      <c r="F40" s="94">
        <v>70</v>
      </c>
      <c r="G40" s="94">
        <v>50</v>
      </c>
      <c r="H40" s="94">
        <f>H39+G40</f>
        <v>111</v>
      </c>
      <c r="I40" s="95">
        <f>D40/3.6</f>
        <v>19.44444444444444</v>
      </c>
      <c r="J40" s="95">
        <f>F40/3.6</f>
        <v>19.44444444444444</v>
      </c>
      <c r="K40" s="95">
        <f>(I40+J40)/2</f>
        <v>19.44444444444444</v>
      </c>
      <c r="L40" s="95">
        <f>(K40*G40)</f>
        <v>972.2222222222222</v>
      </c>
      <c r="M40" s="95">
        <f>0.5*((J40-I40)*(J40-I40))*'RangeCalculation - Table 1'!$B$2</f>
        <v>0</v>
      </c>
      <c r="N40" s="95">
        <f>L40*'RangeCalculation - Rollreibungs'!$J$4</f>
        <v>93837.097199999989</v>
      </c>
      <c r="O40" s="95">
        <f>((I40^3+J40^3)/2)/K40</f>
        <v>378.0864197530864</v>
      </c>
      <c r="P40" s="95">
        <f>0.5*'RangeCalculation - Table 1'!$B$10*'RangeCalculation - Table 2'!H$2*O40</f>
        <v>157.1081064043209</v>
      </c>
      <c r="Q40" s="95">
        <f>P40*L40</f>
        <v>152743.9923375343</v>
      </c>
    </row>
    <row r="41" ht="20.35" customHeight="1">
      <c r="A41" s="73">
        <f>A40+1</f>
        <v>10</v>
      </c>
      <c r="B41" t="s" s="93">
        <v>120</v>
      </c>
      <c r="C41" s="23">
        <v>-0.6899999999999999</v>
      </c>
      <c r="D41" s="94">
        <f>F40</f>
        <v>70</v>
      </c>
      <c r="E41" s="23">
        <f>D41+(C41*G41)*3.6</f>
        <v>50.128</v>
      </c>
      <c r="F41" s="94">
        <v>50</v>
      </c>
      <c r="G41" s="94">
        <v>8</v>
      </c>
      <c r="H41" s="94">
        <f>H40+G41</f>
        <v>119</v>
      </c>
      <c r="I41" s="95">
        <f>D41/3.6</f>
        <v>19.44444444444444</v>
      </c>
      <c r="J41" s="95">
        <f>F41/3.6</f>
        <v>13.88888888888889</v>
      </c>
      <c r="K41" s="95">
        <f>(I41+J41)/2</f>
        <v>16.66666666666666</v>
      </c>
      <c r="L41" s="95">
        <f>(K41*G41)</f>
        <v>133.3333333333333</v>
      </c>
      <c r="M41" s="95">
        <f>0.5*((J41-I41)*(J41-I41))*'RangeCalculation - Table 1'!$B$2</f>
        <v>20370.370370370354</v>
      </c>
      <c r="N41" s="95">
        <f>L41*'RangeCalculation - Rollreibungs'!$J$4</f>
        <v>12869.087616</v>
      </c>
      <c r="O41" s="95">
        <f>((I41^3+J41^3)/2)/K41</f>
        <v>300.925925925926</v>
      </c>
      <c r="P41" s="95">
        <f>0.5*'RangeCalculation - Table 1'!$B$10*'RangeCalculation - Table 2'!H$2*O41</f>
        <v>125.0452275462963</v>
      </c>
      <c r="Q41" s="95">
        <f>P41*L41</f>
        <v>16672.697006172839</v>
      </c>
    </row>
    <row r="42" ht="32.35" customHeight="1">
      <c r="A42" s="73">
        <f>A41+1</f>
        <v>11</v>
      </c>
      <c r="B42" t="s" s="93">
        <v>119</v>
      </c>
      <c r="C42" s="23"/>
      <c r="D42" s="94">
        <f>F41</f>
        <v>50</v>
      </c>
      <c r="E42" s="23">
        <f>D42+(C42*G42)*3.6</f>
        <v>50</v>
      </c>
      <c r="F42" s="94">
        <v>50</v>
      </c>
      <c r="G42" s="94">
        <v>69</v>
      </c>
      <c r="H42" s="94">
        <f>H41+G42</f>
        <v>188</v>
      </c>
      <c r="I42" s="95">
        <f>D42/3.6</f>
        <v>13.88888888888889</v>
      </c>
      <c r="J42" s="95">
        <f>F42/3.6</f>
        <v>13.88888888888889</v>
      </c>
      <c r="K42" s="95">
        <f>(I42+J42)/2</f>
        <v>13.88888888888889</v>
      </c>
      <c r="L42" s="95">
        <f>(K42*G42)</f>
        <v>958.3333333333334</v>
      </c>
      <c r="M42" s="95">
        <f>0.5*((J42-I42)*(J42-I42))*'RangeCalculation - Table 1'!$B$2</f>
        <v>0</v>
      </c>
      <c r="N42" s="95">
        <f>L42*'RangeCalculation - Rollreibungs'!$J$4</f>
        <v>92496.56724</v>
      </c>
      <c r="O42" s="95">
        <f>((I42^3+J42^3)/2)/K42</f>
        <v>192.9012345679012</v>
      </c>
      <c r="P42" s="95">
        <f>0.5*'RangeCalculation - Table 1'!$B$10*'RangeCalculation - Table 2'!H$2*O42</f>
        <v>80.15719714506172</v>
      </c>
      <c r="Q42" s="95">
        <f>P42*L42</f>
        <v>76817.313930684148</v>
      </c>
    </row>
    <row r="43" ht="20.35" customHeight="1">
      <c r="A43" s="73">
        <f>A42+1</f>
        <v>12</v>
      </c>
      <c r="B43" t="s" s="93">
        <v>102</v>
      </c>
      <c r="C43" s="23">
        <v>0.43</v>
      </c>
      <c r="D43" s="94">
        <f>F42</f>
        <v>50</v>
      </c>
      <c r="E43" s="23">
        <f>D43+(C43*G43)*3.6</f>
        <v>70.124</v>
      </c>
      <c r="F43" s="94">
        <v>70</v>
      </c>
      <c r="G43" s="94">
        <v>13</v>
      </c>
      <c r="H43" s="94">
        <f>H42+G43</f>
        <v>201</v>
      </c>
      <c r="I43" s="95">
        <f>D43/3.6</f>
        <v>13.88888888888889</v>
      </c>
      <c r="J43" s="95">
        <f>F43/3.6</f>
        <v>19.44444444444444</v>
      </c>
      <c r="K43" s="95">
        <f>(I43+J43)/2</f>
        <v>16.66666666666666</v>
      </c>
      <c r="L43" s="95">
        <f>(K43*G43)</f>
        <v>216.6666666666666</v>
      </c>
      <c r="M43" s="95">
        <f>0.5*((J43-I43)*(J43-I43))*'RangeCalculation - Table 1'!$B$2</f>
        <v>20370.370370370354</v>
      </c>
      <c r="N43" s="95">
        <f>L43*'RangeCalculation - Rollreibungs'!$J$4</f>
        <v>20912.267376</v>
      </c>
      <c r="O43" s="95">
        <f>((I43^3+J43^3)/2)/K43</f>
        <v>300.925925925926</v>
      </c>
      <c r="P43" s="95">
        <f>0.5*'RangeCalculation - Table 1'!$B$10*'RangeCalculation - Table 2'!H$2*O43</f>
        <v>125.0452275462963</v>
      </c>
      <c r="Q43" s="95">
        <f>P43*L43</f>
        <v>27093.132635030859</v>
      </c>
    </row>
    <row r="44" ht="20.35" customHeight="1">
      <c r="A44" s="73">
        <f>A43+1</f>
        <v>13</v>
      </c>
      <c r="B44" t="s" s="93">
        <v>118</v>
      </c>
      <c r="C44" s="23"/>
      <c r="D44" s="94">
        <f>F43</f>
        <v>70</v>
      </c>
      <c r="E44" s="23">
        <f>D44+(C44*G44)*3.6</f>
        <v>70</v>
      </c>
      <c r="F44" s="94">
        <v>70</v>
      </c>
      <c r="G44" s="94">
        <v>50</v>
      </c>
      <c r="H44" s="94">
        <f>H43+G44</f>
        <v>251</v>
      </c>
      <c r="I44" s="95">
        <f>D44/3.6</f>
        <v>19.44444444444444</v>
      </c>
      <c r="J44" s="95">
        <f>F44/3.6</f>
        <v>19.44444444444444</v>
      </c>
      <c r="K44" s="95">
        <f>(I44+J44)/2</f>
        <v>19.44444444444444</v>
      </c>
      <c r="L44" s="95">
        <f>(K44*G44)</f>
        <v>972.2222222222222</v>
      </c>
      <c r="M44" s="95">
        <f>0.5*((J44-I44)*(J44-I44))*'RangeCalculation - Table 1'!$B$2</f>
        <v>0</v>
      </c>
      <c r="N44" s="95">
        <f>L44*'RangeCalculation - Rollreibungs'!$J$4</f>
        <v>93837.097199999989</v>
      </c>
      <c r="O44" s="95">
        <f>((I44^3+J44^3)/2)/K44</f>
        <v>378.0864197530864</v>
      </c>
      <c r="P44" s="95">
        <f>0.5*'RangeCalculation - Table 1'!$B$10*'RangeCalculation - Table 2'!H$2*O44</f>
        <v>157.1081064043209</v>
      </c>
      <c r="Q44" s="95">
        <f>P44*L44</f>
        <v>152743.9923375343</v>
      </c>
    </row>
    <row r="45" ht="20.35" customHeight="1">
      <c r="A45" s="73">
        <f>A44+1</f>
        <v>14</v>
      </c>
      <c r="B45" t="s" s="93">
        <v>102</v>
      </c>
      <c r="C45" s="23">
        <v>0.24</v>
      </c>
      <c r="D45" s="94">
        <f>F44</f>
        <v>70</v>
      </c>
      <c r="E45" s="23">
        <f>D45+(C45*G45)*3.6</f>
        <v>100.24</v>
      </c>
      <c r="F45" s="94">
        <v>100</v>
      </c>
      <c r="G45" s="94">
        <v>35</v>
      </c>
      <c r="H45" s="94">
        <f>H44+G45</f>
        <v>286</v>
      </c>
      <c r="I45" s="95">
        <f>D45/3.6</f>
        <v>19.44444444444444</v>
      </c>
      <c r="J45" s="95">
        <f>F45/3.6</f>
        <v>27.77777777777778</v>
      </c>
      <c r="K45" s="95">
        <f>(I45+J45)/2</f>
        <v>23.61111111111111</v>
      </c>
      <c r="L45" s="95">
        <f>(K45*G45)</f>
        <v>826.3888888888889</v>
      </c>
      <c r="M45" s="95">
        <f>0.5*((J45-I45)*(J45-I45))*'RangeCalculation - Table 1'!$B$2</f>
        <v>45833.333333333358</v>
      </c>
      <c r="N45" s="95">
        <f>L45*'RangeCalculation - Rollreibungs'!$J$4</f>
        <v>79761.53262</v>
      </c>
      <c r="O45" s="95">
        <f>((I45^3+J45^3)/2)/K45</f>
        <v>609.5679012345679</v>
      </c>
      <c r="P45" s="95">
        <f>0.5*'RangeCalculation - Table 1'!$B$10*'RangeCalculation - Table 2'!H$2*O45</f>
        <v>253.296742978395</v>
      </c>
      <c r="Q45" s="95">
        <f>P45*L45</f>
        <v>209321.6139890903</v>
      </c>
    </row>
    <row r="46" ht="32.35" customHeight="1">
      <c r="A46" s="73">
        <f>A45+1</f>
        <v>15</v>
      </c>
      <c r="B46" t="s" s="93">
        <v>119</v>
      </c>
      <c r="C46" s="23"/>
      <c r="D46" s="94">
        <f>F45</f>
        <v>100</v>
      </c>
      <c r="E46" s="23">
        <f>D46+(C46*G46)*3.6</f>
        <v>100</v>
      </c>
      <c r="F46" s="94">
        <v>100</v>
      </c>
      <c r="G46" s="94">
        <v>30</v>
      </c>
      <c r="H46" s="94">
        <f>H45+G46</f>
        <v>316</v>
      </c>
      <c r="I46" s="95">
        <f>D46/3.6</f>
        <v>27.77777777777778</v>
      </c>
      <c r="J46" s="95">
        <f>F46/3.6</f>
        <v>27.77777777777778</v>
      </c>
      <c r="K46" s="95">
        <f>(I46+J46)/2</f>
        <v>27.77777777777778</v>
      </c>
      <c r="L46" s="95">
        <f>(K46*G46)</f>
        <v>833.3333333333334</v>
      </c>
      <c r="M46" s="95">
        <f>0.5*((J46-I46)*(J46-I46))*'RangeCalculation - Table 1'!$B$2</f>
        <v>0</v>
      </c>
      <c r="N46" s="95">
        <f>L46*'RangeCalculation - Rollreibungs'!$J$4</f>
        <v>80431.797600000005</v>
      </c>
      <c r="O46" s="95">
        <f>((I46^3+J46^3)/2)/K46</f>
        <v>771.604938271605</v>
      </c>
      <c r="P46" s="95">
        <f>0.5*'RangeCalculation - Table 1'!$B$10*'RangeCalculation - Table 2'!H$2*O46</f>
        <v>320.6287885802469</v>
      </c>
      <c r="Q46" s="95">
        <f>P46*L46</f>
        <v>267190.6571502057</v>
      </c>
    </row>
    <row r="47" ht="20.35" customHeight="1">
      <c r="A47" s="73">
        <f>A46+1</f>
        <v>16</v>
      </c>
      <c r="B47" t="s" s="93">
        <v>102</v>
      </c>
      <c r="C47" s="23">
        <v>0.28</v>
      </c>
      <c r="D47" s="94">
        <f>F46</f>
        <v>100</v>
      </c>
      <c r="E47" s="23">
        <f>D47+(C47*G47)*3.6</f>
        <v>120.16</v>
      </c>
      <c r="F47" s="94">
        <v>120</v>
      </c>
      <c r="G47" s="94">
        <v>20</v>
      </c>
      <c r="H47" s="94">
        <f>H46+G47</f>
        <v>336</v>
      </c>
      <c r="I47" s="95">
        <f>D47/3.6</f>
        <v>27.77777777777778</v>
      </c>
      <c r="J47" s="95">
        <f>F47/3.6</f>
        <v>33.33333333333334</v>
      </c>
      <c r="K47" s="95">
        <f>(I47+J47)/2</f>
        <v>30.55555555555556</v>
      </c>
      <c r="L47" s="95">
        <f>(K47*G47)</f>
        <v>611.1111111111111</v>
      </c>
      <c r="M47" s="95">
        <f>0.5*((J47-I47)*(J47-I47))*'RangeCalculation - Table 1'!$B$2</f>
        <v>20370.370370370380</v>
      </c>
      <c r="N47" s="95">
        <f>L47*'RangeCalculation - Rollreibungs'!$J$4</f>
        <v>58983.318239999993</v>
      </c>
      <c r="O47" s="95">
        <f>((I47^3+J47^3)/2)/K47</f>
        <v>956.7901234567902</v>
      </c>
      <c r="P47" s="95">
        <f>0.5*'RangeCalculation - Table 1'!$B$10*'RangeCalculation - Table 2'!H$2*O47</f>
        <v>397.5796978395061</v>
      </c>
      <c r="Q47" s="95">
        <f>P47*L47</f>
        <v>242965.3709019204</v>
      </c>
    </row>
    <row r="48" ht="32.35" customHeight="1">
      <c r="A48" s="73">
        <f>A47+1</f>
        <v>17</v>
      </c>
      <c r="B48" t="s" s="93">
        <v>119</v>
      </c>
      <c r="C48" s="23"/>
      <c r="D48" s="94">
        <f>F47</f>
        <v>120</v>
      </c>
      <c r="E48" s="23">
        <f>D48+(C48*G48)*3.6</f>
        <v>120</v>
      </c>
      <c r="F48" s="94">
        <v>120</v>
      </c>
      <c r="G48" s="94">
        <v>10</v>
      </c>
      <c r="H48" s="94">
        <f>H47+G48</f>
        <v>346</v>
      </c>
      <c r="I48" s="95">
        <f>D48/3.6</f>
        <v>33.33333333333334</v>
      </c>
      <c r="J48" s="95">
        <f>F48/3.6</f>
        <v>33.33333333333334</v>
      </c>
      <c r="K48" s="95">
        <f>(I48+J48)/2</f>
        <v>33.33333333333334</v>
      </c>
      <c r="L48" s="95">
        <f>(K48*G48)</f>
        <v>333.3333333333334</v>
      </c>
      <c r="M48" s="95">
        <f>0.5*((J48-I48)*(J48-I48))*'RangeCalculation - Table 1'!$B$2</f>
        <v>0</v>
      </c>
      <c r="N48" s="95">
        <f>L48*'RangeCalculation - Rollreibungs'!$J$4</f>
        <v>32172.71904</v>
      </c>
      <c r="O48" s="95">
        <f>((I48^3+J48^3)/2)/K48</f>
        <v>1111.111111111111</v>
      </c>
      <c r="P48" s="95">
        <f>0.5*'RangeCalculation - Table 1'!$B$10*'RangeCalculation - Table 2'!H$2*O48</f>
        <v>461.7054555555555</v>
      </c>
      <c r="Q48" s="95">
        <f>P48*L48</f>
        <v>153901.8185185185</v>
      </c>
    </row>
    <row r="49" ht="20.35" customHeight="1">
      <c r="A49" s="73">
        <f>A48+1</f>
        <v>18</v>
      </c>
      <c r="B49" t="s" s="93">
        <v>120</v>
      </c>
      <c r="C49" s="23">
        <v>-0.6899999999999999</v>
      </c>
      <c r="D49" s="94">
        <f>F48</f>
        <v>120</v>
      </c>
      <c r="E49" s="23">
        <f>D49+(C49*G49)*3.6</f>
        <v>80.256</v>
      </c>
      <c r="F49" s="94">
        <v>80</v>
      </c>
      <c r="G49" s="94">
        <v>16</v>
      </c>
      <c r="H49" s="94">
        <f>H48+G49</f>
        <v>362</v>
      </c>
      <c r="I49" s="95">
        <f>D49/3.6</f>
        <v>33.33333333333334</v>
      </c>
      <c r="J49" s="95">
        <f>F49/3.6</f>
        <v>22.22222222222222</v>
      </c>
      <c r="K49" s="95">
        <f>(I49+J49)/2</f>
        <v>27.77777777777778</v>
      </c>
      <c r="L49" s="95">
        <f>(K49*G49)</f>
        <v>444.4444444444445</v>
      </c>
      <c r="M49" s="95">
        <f>0.5*((J49-I49)*(J49-I49))*'RangeCalculation - Table 1'!$B$2</f>
        <v>81481.481481481518</v>
      </c>
      <c r="N49" s="95">
        <f>L49*'RangeCalculation - Rollreibungs'!$J$4</f>
        <v>42896.95872</v>
      </c>
      <c r="O49" s="95">
        <f>((I49^3+J49^3)/2)/K49</f>
        <v>864.1975308641977</v>
      </c>
      <c r="P49" s="95">
        <f>0.5*'RangeCalculation - Table 1'!$B$10*'RangeCalculation - Table 2'!H$2*O49</f>
        <v>359.1042432098765</v>
      </c>
      <c r="Q49" s="95">
        <f>P49*L49</f>
        <v>159601.8858710562</v>
      </c>
    </row>
    <row r="50" ht="20.35" customHeight="1">
      <c r="A50" s="73">
        <f>A49+1</f>
        <v>19</v>
      </c>
      <c r="B50" t="s" s="93">
        <v>120</v>
      </c>
      <c r="C50" s="23">
        <v>-1.04</v>
      </c>
      <c r="D50" s="94">
        <f>F49</f>
        <v>80</v>
      </c>
      <c r="E50" s="23">
        <f>D50+(C50*G50)*3.6</f>
        <v>50.048</v>
      </c>
      <c r="F50" s="94">
        <v>50</v>
      </c>
      <c r="G50" s="94">
        <v>8</v>
      </c>
      <c r="H50" s="94">
        <f>H49+G50</f>
        <v>370</v>
      </c>
      <c r="I50" s="95">
        <f>D50/3.6</f>
        <v>22.22222222222222</v>
      </c>
      <c r="J50" s="95">
        <f>F50/3.6</f>
        <v>13.88888888888889</v>
      </c>
      <c r="K50" s="95">
        <f>(I50+J50)/2</f>
        <v>18.05555555555556</v>
      </c>
      <c r="L50" s="95">
        <f>(K50*G50)</f>
        <v>144.4444444444445</v>
      </c>
      <c r="M50" s="95">
        <f>0.5*((J50-I50)*(J50-I50))*'RangeCalculation - Table 1'!$B$2</f>
        <v>45833.333333333321</v>
      </c>
      <c r="N50" s="95">
        <f>L50*'RangeCalculation - Rollreibungs'!$J$4</f>
        <v>13941.511584</v>
      </c>
      <c r="O50" s="95">
        <f>((I50^3+J50^3)/2)/K50</f>
        <v>378.0864197530864</v>
      </c>
      <c r="P50" s="95">
        <f>0.5*'RangeCalculation - Table 1'!$B$10*'RangeCalculation - Table 2'!H$2*O50</f>
        <v>157.1081064043209</v>
      </c>
      <c r="Q50" s="95">
        <f>P50*L50</f>
        <v>22693.3931472908</v>
      </c>
    </row>
    <row r="51" ht="32.35" customHeight="1">
      <c r="A51" s="73">
        <f>A50+1</f>
        <v>20</v>
      </c>
      <c r="B51" t="s" s="93">
        <v>121</v>
      </c>
      <c r="C51" s="23">
        <v>-1.39</v>
      </c>
      <c r="D51" s="94">
        <f>F50</f>
        <v>50</v>
      </c>
      <c r="E51" s="23">
        <f>D51+(C51*G51)*3.6</f>
        <v>-0.03999999999999915</v>
      </c>
      <c r="F51" s="94">
        <v>0</v>
      </c>
      <c r="G51" s="94">
        <v>10</v>
      </c>
      <c r="H51" s="94">
        <f>H50+G51</f>
        <v>380</v>
      </c>
      <c r="I51" s="95">
        <f>D51/3.6</f>
        <v>13.88888888888889</v>
      </c>
      <c r="J51" s="95">
        <f>F51/3.6</f>
        <v>0</v>
      </c>
      <c r="K51" s="95">
        <f>(I51+J51)/2</f>
        <v>6.944444444444445</v>
      </c>
      <c r="L51" s="95">
        <f>(K51*G51)</f>
        <v>69.44444444444444</v>
      </c>
      <c r="M51" s="95">
        <f>0.5*((J51-I51)*(J51-I51))*'RangeCalculation - Table 1'!$B$2</f>
        <v>127314.8148148148</v>
      </c>
      <c r="N51" s="95">
        <f>L51*'RangeCalculation - Rollreibungs'!$J$4</f>
        <v>6702.6498</v>
      </c>
      <c r="O51" s="95">
        <f>((I51^3+J51^3)/2)/K51</f>
        <v>192.9012345679012</v>
      </c>
      <c r="P51" s="95">
        <f>0.5*'RangeCalculation - Table 1'!$B$10*'RangeCalculation - Table 2'!H$2*O51</f>
        <v>80.15719714506172</v>
      </c>
      <c r="Q51" s="95">
        <f>P51*L51</f>
        <v>5566.472023962619</v>
      </c>
    </row>
    <row r="52" ht="20.35" customHeight="1">
      <c r="A52" s="73">
        <f>A51+1</f>
        <v>21</v>
      </c>
      <c r="B52" t="s" s="93">
        <v>118</v>
      </c>
      <c r="C52" s="23"/>
      <c r="D52" s="94">
        <f>F51</f>
        <v>0</v>
      </c>
      <c r="E52" s="23">
        <f>D52+(C52*G52)*3.6</f>
        <v>0</v>
      </c>
      <c r="F52" s="94">
        <v>0</v>
      </c>
      <c r="G52" s="94">
        <v>20</v>
      </c>
      <c r="H52" s="94">
        <f>H51+G52</f>
        <v>400</v>
      </c>
      <c r="I52" s="95">
        <f>D52/3.6</f>
        <v>0</v>
      </c>
      <c r="J52" s="95">
        <f>F52/3.6</f>
        <v>0</v>
      </c>
      <c r="K52" s="95">
        <f>(I52+J52)/2</f>
        <v>0</v>
      </c>
      <c r="L52" s="95">
        <f>(K52*G52)</f>
        <v>0</v>
      </c>
      <c r="M52" s="95">
        <f>0.5*((J52-I52)*(J52-I52))*'RangeCalculation - Table 1'!$B$2</f>
        <v>0</v>
      </c>
      <c r="N52" s="95">
        <f>L52*'RangeCalculation - Rollreibungs'!$J$4</f>
        <v>0</v>
      </c>
      <c r="O52" s="95"/>
      <c r="P52" s="95">
        <f>0.5*'RangeCalculation - Table 1'!$B$10*'RangeCalculation - Table 2'!H$2*O52</f>
        <v>0</v>
      </c>
      <c r="Q52" s="95">
        <f>P52*L52</f>
        <v>0</v>
      </c>
    </row>
  </sheetData>
  <mergeCells count="1">
    <mergeCell ref="A1:Q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dimension ref="A2:B4"/>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96" customWidth="1"/>
    <col min="2" max="2" width="16.3516" style="96" customWidth="1"/>
    <col min="3" max="256" width="16.3516" style="96" customWidth="1"/>
  </cols>
  <sheetData>
    <row r="1" ht="28" customHeight="1">
      <c r="A1" t="s" s="25">
        <v>126</v>
      </c>
      <c r="B1" s="25"/>
    </row>
    <row r="2" ht="20.55" customHeight="1">
      <c r="A2" s="8"/>
      <c r="B2" s="8"/>
    </row>
    <row r="3" ht="20.55" customHeight="1">
      <c r="A3" t="s" s="9">
        <v>34</v>
      </c>
      <c r="B3" s="10">
        <v>1.2</v>
      </c>
    </row>
    <row r="4" ht="20.35" customHeight="1">
      <c r="A4" t="s" s="13">
        <v>25</v>
      </c>
      <c r="B4" s="14">
        <v>9.81</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I9"/>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30.6094" style="97" customWidth="1"/>
    <col min="2" max="2" width="19.3516" style="97" customWidth="1"/>
    <col min="3" max="3" width="15.1875" style="97" customWidth="1"/>
    <col min="4" max="4" width="16.1172" style="97" customWidth="1"/>
    <col min="5" max="5" width="15.1875" style="97" customWidth="1"/>
    <col min="6" max="6" width="15.1875" style="97" customWidth="1"/>
    <col min="7" max="7" width="13.9688" style="97" customWidth="1"/>
    <col min="8" max="8" width="13.9688" style="97" customWidth="1"/>
    <col min="9" max="9" width="13.9688" style="97" customWidth="1"/>
    <col min="10" max="256" width="16.3516" style="97" customWidth="1"/>
  </cols>
  <sheetData>
    <row r="1" ht="28" customHeight="1">
      <c r="A1" t="s" s="25">
        <v>128</v>
      </c>
      <c r="B1" s="25"/>
      <c r="C1" s="25"/>
      <c r="D1" s="25"/>
      <c r="E1" s="25"/>
      <c r="F1" s="25"/>
      <c r="G1" s="25"/>
      <c r="H1" s="25"/>
      <c r="I1" s="25"/>
    </row>
    <row r="2" ht="19.2" customHeight="1">
      <c r="A2" s="98"/>
      <c r="B2" t="s" s="99">
        <v>130</v>
      </c>
      <c r="C2" t="s" s="99">
        <v>131</v>
      </c>
      <c r="D2" t="s" s="99">
        <v>132</v>
      </c>
      <c r="E2" t="s" s="99">
        <v>133</v>
      </c>
      <c r="F2" t="s" s="99">
        <v>134</v>
      </c>
      <c r="G2" t="s" s="99">
        <v>135</v>
      </c>
      <c r="H2" t="s" s="99">
        <v>136</v>
      </c>
      <c r="I2" t="s" s="99">
        <v>137</v>
      </c>
    </row>
    <row r="3" ht="19.2" customHeight="1">
      <c r="A3" t="s" s="100">
        <v>138</v>
      </c>
      <c r="B3" s="101">
        <v>1320</v>
      </c>
      <c r="C3" s="102">
        <v>2090</v>
      </c>
      <c r="D3" s="102">
        <v>2090</v>
      </c>
      <c r="E3" s="102">
        <v>1520</v>
      </c>
      <c r="F3" s="102">
        <v>1320</v>
      </c>
      <c r="G3" s="102">
        <v>1270</v>
      </c>
      <c r="H3" s="102">
        <v>1605</v>
      </c>
      <c r="I3" s="102">
        <v>1503</v>
      </c>
    </row>
    <row r="4" ht="19" customHeight="1">
      <c r="A4" t="s" s="103">
        <v>139</v>
      </c>
      <c r="B4" s="104">
        <v>0.29</v>
      </c>
      <c r="C4" s="105">
        <v>0.24</v>
      </c>
      <c r="D4" s="105">
        <v>0.24</v>
      </c>
      <c r="E4" s="105">
        <v>0.28</v>
      </c>
      <c r="F4" s="105">
        <v>0.29</v>
      </c>
      <c r="G4" s="105">
        <v>0.29</v>
      </c>
      <c r="H4" s="105">
        <v>0.28</v>
      </c>
      <c r="I4" s="105">
        <v>0.32</v>
      </c>
    </row>
    <row r="5" ht="19" customHeight="1">
      <c r="A5" t="s" s="103">
        <v>140</v>
      </c>
      <c r="B5" s="104">
        <v>2.38</v>
      </c>
      <c r="C5" s="105">
        <v>2.34</v>
      </c>
      <c r="D5" s="105">
        <v>2.34</v>
      </c>
      <c r="E5" s="105">
        <v>2.3</v>
      </c>
      <c r="F5" s="105">
        <v>2.38</v>
      </c>
      <c r="G5" s="105">
        <v>2.38</v>
      </c>
      <c r="H5" s="105">
        <v>2.19</v>
      </c>
      <c r="I5" s="105">
        <v>1.6</v>
      </c>
    </row>
    <row r="6" ht="19" customHeight="1">
      <c r="A6" t="s" s="103">
        <v>141</v>
      </c>
      <c r="B6" s="106">
        <v>0.008</v>
      </c>
      <c r="C6" s="107">
        <v>0.012</v>
      </c>
      <c r="D6" s="107">
        <v>0.012</v>
      </c>
      <c r="E6" s="105">
        <v>0.01</v>
      </c>
      <c r="F6" s="107">
        <v>0.008</v>
      </c>
      <c r="G6" s="107">
        <v>0.008</v>
      </c>
      <c r="H6" s="107">
        <v>0.008</v>
      </c>
      <c r="I6" s="107">
        <v>0.008</v>
      </c>
    </row>
    <row r="7" ht="19" customHeight="1">
      <c r="A7" t="s" s="103">
        <v>142</v>
      </c>
      <c r="B7" s="106">
        <v>33.2</v>
      </c>
      <c r="C7" s="107">
        <v>70</v>
      </c>
      <c r="D7" s="107">
        <v>90</v>
      </c>
      <c r="E7" s="105">
        <v>30</v>
      </c>
      <c r="F7" s="107">
        <v>33.2</v>
      </c>
      <c r="G7" s="107">
        <v>21.7</v>
      </c>
      <c r="H7" s="107">
        <v>35.8</v>
      </c>
      <c r="I7" s="107">
        <v>24.4</v>
      </c>
    </row>
    <row r="8" ht="19" customHeight="1">
      <c r="A8" t="s" s="103">
        <v>143</v>
      </c>
      <c r="B8" s="106">
        <v>29.7</v>
      </c>
      <c r="C8" s="107">
        <v>63</v>
      </c>
      <c r="D8" s="107">
        <v>80.40000000000001</v>
      </c>
      <c r="E8" s="105">
        <v>27</v>
      </c>
      <c r="F8" s="107">
        <v>29.7</v>
      </c>
      <c r="G8" s="107">
        <v>19.9</v>
      </c>
      <c r="H8" s="107">
        <v>32.2</v>
      </c>
      <c r="I8" s="107">
        <v>22</v>
      </c>
    </row>
    <row r="9" ht="19" customHeight="1">
      <c r="A9" t="s" s="103">
        <v>144</v>
      </c>
      <c r="B9" s="106">
        <v>312</v>
      </c>
      <c r="C9" s="107">
        <v>442</v>
      </c>
      <c r="D9" s="107">
        <v>557</v>
      </c>
      <c r="E9" s="105">
        <v>215</v>
      </c>
      <c r="F9" s="107">
        <v>312</v>
      </c>
      <c r="G9" s="107">
        <v>190</v>
      </c>
      <c r="H9" s="107">
        <v>300</v>
      </c>
      <c r="I9" s="107">
        <v>210</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H16"/>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20.3438" style="108" customWidth="1"/>
    <col min="2" max="2" width="16.3516" style="108" customWidth="1"/>
    <col min="3" max="3" width="16.3516" style="108" customWidth="1"/>
    <col min="4" max="4" width="16.3516" style="108" customWidth="1"/>
    <col min="5" max="5" width="16.3516" style="108" customWidth="1"/>
    <col min="6" max="6" width="16.3516" style="108" customWidth="1"/>
    <col min="7" max="7" width="12.9531" style="108" customWidth="1"/>
    <col min="8" max="8" width="13.2266" style="108" customWidth="1"/>
    <col min="9" max="256" width="16.3516" style="108" customWidth="1"/>
  </cols>
  <sheetData>
    <row r="1" ht="28" customHeight="1">
      <c r="A1" t="s" s="25">
        <v>145</v>
      </c>
      <c r="B1" s="25"/>
      <c r="C1" s="25"/>
      <c r="D1" s="25"/>
      <c r="E1" s="25"/>
      <c r="F1" s="25"/>
      <c r="G1" s="25"/>
      <c r="H1" s="25"/>
    </row>
    <row r="2" ht="44.55" customHeight="1">
      <c r="A2" s="8"/>
      <c r="B2" t="s" s="7">
        <v>88</v>
      </c>
      <c r="C2" t="s" s="7">
        <v>89</v>
      </c>
      <c r="D2" t="s" s="7">
        <v>90</v>
      </c>
      <c r="E2" t="s" s="7">
        <v>91</v>
      </c>
      <c r="F2" t="s" s="7">
        <v>92</v>
      </c>
      <c r="G2" t="s" s="7">
        <v>147</v>
      </c>
      <c r="H2" t="s" s="7">
        <v>148</v>
      </c>
    </row>
    <row r="3" ht="20.55" customHeight="1">
      <c r="A3" t="s" s="77">
        <v>95</v>
      </c>
      <c r="B3" s="78">
        <f>SUMIF('NEFZ-2 - NEFZ vom 15.2.2012 Que'!M4:M28,"&gt;0")</f>
        <v>165407.4074074074</v>
      </c>
      <c r="C3" s="79">
        <f>SUM('NEFZ-2 - NEFZ vom 15.2.2012 Que'!N4:N28)</f>
        <v>105492.816</v>
      </c>
      <c r="D3" s="80">
        <f>SUM('NEFZ-2 - NEFZ vom 15.2.2012 Que'!Q4:Q28)</f>
        <v>44543.675987654315</v>
      </c>
      <c r="E3" s="80">
        <f>SUM('NEFZ-2 - NEFZ vom 15.2.2012 Que'!L4:L28)</f>
        <v>1018.333333333333</v>
      </c>
      <c r="F3" s="80"/>
      <c r="G3" s="80"/>
      <c r="H3" s="80"/>
    </row>
    <row r="4" ht="20.35" customHeight="1">
      <c r="A4" t="s" s="81">
        <v>96</v>
      </c>
      <c r="B4" s="82">
        <f>SUMIF('NEFZ-2 - NEFZ vom 15.2.2012 Que'!M32:M52,"&gt;0")</f>
        <v>425231.4814814815</v>
      </c>
      <c r="C4" s="83">
        <f>SUM('NEFZ-2 - NEFZ vom 15.2.2012 Que'!N32:N52)</f>
        <v>720479.0999999999</v>
      </c>
      <c r="D4" s="84">
        <f>SUM('NEFZ-2 - NEFZ vom 15.2.2012 Que'!Q32:Q52)</f>
        <v>1520171.380369084</v>
      </c>
      <c r="E4" s="84">
        <f>SUM('NEFZ-2 - NEFZ vom 15.2.2012 Que'!L32:L52)</f>
        <v>6954.861111111110</v>
      </c>
      <c r="F4" s="84"/>
      <c r="G4" s="84"/>
      <c r="H4" s="84"/>
    </row>
    <row r="5" ht="20.35" customHeight="1">
      <c r="A5" s="85"/>
      <c r="B5" s="82"/>
      <c r="C5" s="83"/>
      <c r="D5" s="84"/>
      <c r="E5" s="84"/>
      <c r="F5" s="84"/>
      <c r="G5" s="84"/>
      <c r="H5" s="84"/>
    </row>
    <row r="6" ht="20.35" customHeight="1">
      <c r="A6" t="s" s="81">
        <v>97</v>
      </c>
      <c r="B6" s="82">
        <f>(4*B3)+B4</f>
        <v>1086861.111111111</v>
      </c>
      <c r="C6" s="83">
        <f>(4*C3)+C4</f>
        <v>1142450.364</v>
      </c>
      <c r="D6" s="84">
        <f>(4*D3)+D4</f>
        <v>1698346.084319701</v>
      </c>
      <c r="E6" s="84">
        <f>(4*E3)+E4</f>
        <v>11028.194444444443</v>
      </c>
      <c r="F6" s="109">
        <v>1</v>
      </c>
      <c r="G6" s="110">
        <f>(($B$6*(1-F6))+SUM($C$6:$D$6))/$E$6/36</f>
        <v>7.155388205281166</v>
      </c>
      <c r="H6" s="111">
        <f>G6/$B$8</f>
        <v>0.7516771447972133</v>
      </c>
    </row>
    <row r="7" ht="20.35" customHeight="1">
      <c r="A7" s="85"/>
      <c r="B7" s="82"/>
      <c r="C7" s="83"/>
      <c r="D7" s="84"/>
      <c r="E7" s="84"/>
      <c r="F7" s="109">
        <f>F6-0.1</f>
        <v>0.9</v>
      </c>
      <c r="G7" s="110">
        <f>(($B$6*(1-F7))+SUM($C$6:$D$6))/$E$6/36</f>
        <v>7.429146403614002</v>
      </c>
      <c r="H7" s="111">
        <f>G7/$B$8</f>
        <v>0.7804355817937941</v>
      </c>
    </row>
    <row r="8" ht="32.35" customHeight="1">
      <c r="A8" t="s" s="81">
        <v>149</v>
      </c>
      <c r="B8" s="112">
        <f>100*'NEFZ-2 - Startwerte'!B8/'NEFZ-2 - Startwerte'!B9</f>
        <v>9.51923076923077</v>
      </c>
      <c r="C8" s="83"/>
      <c r="D8" s="84"/>
      <c r="E8" s="84"/>
      <c r="F8" s="109">
        <f>F7-0.1</f>
        <v>0.8</v>
      </c>
      <c r="G8" s="110">
        <f>(($B$6*(1-F8))+SUM($C$6:$D$6))/$E$6/36</f>
        <v>7.702904601946837</v>
      </c>
      <c r="H8" s="111">
        <f>G8/$B$8</f>
        <v>0.8091940187903748</v>
      </c>
    </row>
    <row r="9" ht="20.35" customHeight="1">
      <c r="A9" t="s" s="81">
        <v>150</v>
      </c>
      <c r="B9" s="112">
        <f>'NEFZ-2 - Startwerte'!B5*'NEFZ-2 - Startwerte'!B4</f>
        <v>0.6901999999999999</v>
      </c>
      <c r="C9" s="83"/>
      <c r="D9" s="84"/>
      <c r="E9" s="84"/>
      <c r="F9" s="109">
        <f>F8-0.1</f>
        <v>0.7000000000000001</v>
      </c>
      <c r="G9" s="110">
        <f>(($B$6*(1-F9))+SUM($C$6:$D$6))/$E$6/36</f>
        <v>7.976662800279676</v>
      </c>
      <c r="H9" s="111">
        <f>G9/$B$8</f>
        <v>0.8379524557869558</v>
      </c>
    </row>
    <row r="10" ht="20.35" customHeight="1">
      <c r="A10" s="85"/>
      <c r="B10" s="82"/>
      <c r="C10" s="83"/>
      <c r="D10" s="84"/>
      <c r="E10" s="84"/>
      <c r="F10" s="109">
        <f>F9-0.1</f>
        <v>0.6000000000000001</v>
      </c>
      <c r="G10" s="110">
        <f>(($B$6*(1-F10))+SUM($C$6:$D$6))/$E$6/36</f>
        <v>8.250420998612512</v>
      </c>
      <c r="H10" s="111">
        <f>G10/$B$8</f>
        <v>0.8667108927835365</v>
      </c>
    </row>
    <row r="11" ht="20.35" customHeight="1">
      <c r="A11" s="85"/>
      <c r="B11" s="82"/>
      <c r="C11" s="83"/>
      <c r="D11" s="84"/>
      <c r="E11" s="84"/>
      <c r="F11" s="109">
        <f>F10-0.1</f>
        <v>0.5000000000000001</v>
      </c>
      <c r="G11" s="110">
        <f>(($B$6*(1-F11))+SUM($C$6:$D$6))/$E$6/36</f>
        <v>8.524179196945347</v>
      </c>
      <c r="H11" s="111">
        <f>G11/$B$8</f>
        <v>0.8954693297801172</v>
      </c>
    </row>
    <row r="12" ht="20.35" customHeight="1">
      <c r="A12" s="85"/>
      <c r="B12" s="82"/>
      <c r="C12" s="83"/>
      <c r="D12" s="84"/>
      <c r="E12" s="84"/>
      <c r="F12" s="109">
        <f>F11-0.1</f>
        <v>0.4000000000000001</v>
      </c>
      <c r="G12" s="110">
        <f>(($B$6*(1-F12))+SUM($C$6:$D$6))/$E$6/36</f>
        <v>8.797937395278185</v>
      </c>
      <c r="H12" s="111">
        <f>G12/$B$8</f>
        <v>0.924227766776698</v>
      </c>
    </row>
    <row r="13" ht="20.35" customHeight="1">
      <c r="A13" s="85"/>
      <c r="B13" s="82"/>
      <c r="C13" s="83"/>
      <c r="D13" s="84"/>
      <c r="E13" s="84"/>
      <c r="F13" s="109">
        <f>F12-0.1</f>
        <v>0.3000000000000002</v>
      </c>
      <c r="G13" s="110">
        <f>(($B$6*(1-F13))+SUM($C$6:$D$6))/$E$6/36</f>
        <v>9.071695593611022</v>
      </c>
      <c r="H13" s="111">
        <f>G13/$B$8</f>
        <v>0.9529862037732789</v>
      </c>
    </row>
    <row r="14" ht="20.35" customHeight="1">
      <c r="A14" s="85"/>
      <c r="B14" s="82"/>
      <c r="C14" s="83"/>
      <c r="D14" s="84"/>
      <c r="E14" s="84"/>
      <c r="F14" s="109">
        <f>F13-0.1</f>
        <v>0.2000000000000001</v>
      </c>
      <c r="G14" s="110">
        <f>(($B$6*(1-F14))+SUM($C$6:$D$6))/$E$6/36</f>
        <v>9.345453791943859</v>
      </c>
      <c r="H14" s="111">
        <f>G14/$B$8</f>
        <v>0.9817446407698599</v>
      </c>
    </row>
    <row r="15" ht="20.35" customHeight="1">
      <c r="A15" s="85"/>
      <c r="B15" s="82"/>
      <c r="C15" s="83"/>
      <c r="D15" s="84"/>
      <c r="E15" s="84"/>
      <c r="F15" s="109">
        <f>F14-0.1</f>
        <v>0.1000000000000001</v>
      </c>
      <c r="G15" s="110">
        <f>(($B$6*(1-F15))+SUM($C$6:$D$6))/$E$6/36</f>
        <v>9.619211990276694</v>
      </c>
      <c r="H15" s="111">
        <f>G15/$B$8</f>
        <v>1.010503077766441</v>
      </c>
    </row>
    <row r="16" ht="20.35" customHeight="1">
      <c r="A16" s="85"/>
      <c r="B16" s="82"/>
      <c r="C16" s="83"/>
      <c r="D16" s="84"/>
      <c r="E16" s="84"/>
      <c r="F16" s="109">
        <f>F15-0.1</f>
        <v>1.387778780781446e-16</v>
      </c>
      <c r="G16" s="110">
        <f>(($B$6*(1-F16))+SUM($C$6:$D$6))/$E$6/36</f>
        <v>9.892970188609532</v>
      </c>
      <c r="H16" s="111">
        <f>G16/$B$8</f>
        <v>1.039261514763021</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Q52"/>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1172" style="113" customWidth="1"/>
    <col min="2" max="2" width="14.6172" style="113" customWidth="1"/>
    <col min="3" max="3" width="15.5234" style="113" customWidth="1"/>
    <col min="4" max="4" width="16.3516" style="113" customWidth="1"/>
    <col min="5" max="5" width="16.3516" style="113" customWidth="1"/>
    <col min="6" max="6" width="16.3516" style="113" customWidth="1"/>
    <col min="7" max="7" width="16.3516" style="113" customWidth="1"/>
    <col min="8" max="8" width="16.3516" style="113" customWidth="1"/>
    <col min="9" max="9" width="16.3516" style="113" customWidth="1"/>
    <col min="10" max="10" width="16.3516" style="113" customWidth="1"/>
    <col min="11" max="11" width="16.3516" style="113" customWidth="1"/>
    <col min="12" max="12" width="16.3516" style="113" customWidth="1"/>
    <col min="13" max="13" width="16.3516" style="113" customWidth="1"/>
    <col min="14" max="14" width="16.3516" style="113" customWidth="1"/>
    <col min="15" max="15" width="16.3516" style="113" customWidth="1"/>
    <col min="16" max="16" width="16.3516" style="113" customWidth="1"/>
    <col min="17" max="17" width="16.3516" style="113" customWidth="1"/>
    <col min="18" max="256" width="16.3516" style="113" customWidth="1"/>
  </cols>
  <sheetData>
    <row r="1" ht="28" customHeight="1">
      <c r="A1" t="s" s="25">
        <v>98</v>
      </c>
      <c r="B1" s="25"/>
      <c r="C1" s="25"/>
      <c r="D1" s="25"/>
      <c r="E1" s="25"/>
      <c r="F1" s="25"/>
      <c r="G1" s="25"/>
      <c r="H1" s="25"/>
      <c r="I1" s="25"/>
      <c r="J1" s="25"/>
      <c r="K1" s="25"/>
      <c r="L1" s="25"/>
      <c r="M1" s="25"/>
      <c r="N1" s="25"/>
      <c r="O1" s="25"/>
      <c r="P1" s="25"/>
      <c r="Q1" s="25"/>
    </row>
    <row r="2" ht="56.55" customHeight="1">
      <c r="A2" t="s" s="7">
        <v>100</v>
      </c>
      <c r="B2" t="s" s="7">
        <v>101</v>
      </c>
      <c r="C2" t="s" s="7">
        <v>102</v>
      </c>
      <c r="D2" t="s" s="7">
        <v>103</v>
      </c>
      <c r="E2" t="s" s="7">
        <v>104</v>
      </c>
      <c r="F2" t="s" s="7">
        <v>105</v>
      </c>
      <c r="G2" t="s" s="7">
        <v>106</v>
      </c>
      <c r="H2" t="s" s="7">
        <v>107</v>
      </c>
      <c r="I2" t="s" s="7">
        <v>108</v>
      </c>
      <c r="J2" t="s" s="7">
        <v>109</v>
      </c>
      <c r="K2" t="s" s="7">
        <v>110</v>
      </c>
      <c r="L2" t="s" s="7">
        <v>111</v>
      </c>
      <c r="M2" t="s" s="7">
        <v>112</v>
      </c>
      <c r="N2" t="s" s="7">
        <v>113</v>
      </c>
      <c r="O2" t="s" s="7">
        <v>114</v>
      </c>
      <c r="P2" t="s" s="7">
        <v>115</v>
      </c>
      <c r="Q2" t="s" s="7">
        <v>116</v>
      </c>
    </row>
    <row r="3" ht="20.55" customHeight="1">
      <c r="A3" t="s" s="9">
        <v>117</v>
      </c>
      <c r="B3" s="89"/>
      <c r="C3" s="90"/>
      <c r="D3" s="11"/>
      <c r="E3" s="90"/>
      <c r="F3" s="91"/>
      <c r="G3" s="11">
        <v>0</v>
      </c>
      <c r="H3" s="92">
        <v>0</v>
      </c>
      <c r="I3" s="11"/>
      <c r="J3" s="11"/>
      <c r="K3" s="91"/>
      <c r="L3" s="91"/>
      <c r="M3" s="91"/>
      <c r="N3" s="91"/>
      <c r="O3" s="91"/>
      <c r="P3" s="91"/>
      <c r="Q3" s="91"/>
    </row>
    <row r="4" ht="20.35" customHeight="1">
      <c r="A4" s="73">
        <v>1</v>
      </c>
      <c r="B4" t="s" s="93">
        <v>118</v>
      </c>
      <c r="C4" s="23"/>
      <c r="D4" s="94">
        <f>F3</f>
        <v>0</v>
      </c>
      <c r="E4" s="23">
        <f>D4+(C4*G4)*3.6</f>
        <v>0</v>
      </c>
      <c r="F4" s="94">
        <v>0</v>
      </c>
      <c r="G4" s="94">
        <v>11</v>
      </c>
      <c r="H4" s="94">
        <f>H3+G4</f>
        <v>11</v>
      </c>
      <c r="I4" s="95">
        <f>D4/3.6</f>
        <v>0</v>
      </c>
      <c r="J4" s="95">
        <f>F4/3.6</f>
        <v>0</v>
      </c>
      <c r="K4" s="95">
        <f>(I4+J4)/2</f>
        <v>0</v>
      </c>
      <c r="L4" s="95">
        <f>(K4*G4)</f>
        <v>0</v>
      </c>
      <c r="M4" s="95">
        <f>0.5*((J4-I4)^2)*'NEFZ-2 - Startwerte'!$B$3</f>
        <v>0</v>
      </c>
      <c r="N4" s="95">
        <f>L4*'NEFZ-2 - Startwerte'!$B$3*'NEFZ-2 - Startwerte'!$B$6*'NEFZ-2 - Konstanten'!$B$4</f>
        <v>0</v>
      </c>
      <c r="O4" s="19"/>
      <c r="P4" s="95">
        <f>0.5*'NEFZ-2 - NEFZ Berechnung Zusamm'!$B$9*'NEFZ-2 - Konstanten'!$B$3*O4</f>
        <v>0</v>
      </c>
      <c r="Q4" s="95">
        <f>P4*L4</f>
        <v>0</v>
      </c>
    </row>
    <row r="5" ht="20.35" customHeight="1">
      <c r="A5" s="73">
        <f>A4+1</f>
        <v>2</v>
      </c>
      <c r="B5" t="s" s="93">
        <v>102</v>
      </c>
      <c r="C5" s="23">
        <v>1.04</v>
      </c>
      <c r="D5" s="94">
        <f>F4</f>
        <v>0</v>
      </c>
      <c r="E5" s="23">
        <f>D5+(C5*G5)*3.6</f>
        <v>14.976</v>
      </c>
      <c r="F5" s="94">
        <v>15</v>
      </c>
      <c r="G5" s="94">
        <v>4</v>
      </c>
      <c r="H5" s="94">
        <f>H4+G5</f>
        <v>15</v>
      </c>
      <c r="I5" s="95">
        <f>D5/3.6</f>
        <v>0</v>
      </c>
      <c r="J5" s="95">
        <f>F5/3.6</f>
        <v>4.166666666666667</v>
      </c>
      <c r="K5" s="95">
        <f>(I5+J5)/2</f>
        <v>2.083333333333333</v>
      </c>
      <c r="L5" s="95">
        <f>(K5*G5)</f>
        <v>8.333333333333334</v>
      </c>
      <c r="M5" s="95">
        <f>0.5*((J5-I5)^2)*'NEFZ-2 - Startwerte'!$B$3</f>
        <v>11458.333333333336</v>
      </c>
      <c r="N5" s="95">
        <f>L5*'NEFZ-2 - Startwerte'!$B$3*'NEFZ-2 - Startwerte'!$B$6*'NEFZ-2 - Konstanten'!$B$4</f>
        <v>863.2800000000001</v>
      </c>
      <c r="O5" s="95">
        <f>((I5^3+J5^3)/2)/K5</f>
        <v>17.36111111111111</v>
      </c>
      <c r="P5" s="95">
        <f>0.5*'NEFZ-2 - NEFZ Berechnung Zusamm'!$B$9*'NEFZ-2 - Konstanten'!$B$3*O5</f>
        <v>7.189583333333333</v>
      </c>
      <c r="Q5" s="95">
        <f>P5*L5</f>
        <v>59.91319444444445</v>
      </c>
    </row>
    <row r="6" ht="32.35" customHeight="1">
      <c r="A6" s="73">
        <f>A5+1</f>
        <v>3</v>
      </c>
      <c r="B6" t="s" s="93">
        <v>119</v>
      </c>
      <c r="C6" s="23"/>
      <c r="D6" s="94">
        <f>F5</f>
        <v>15</v>
      </c>
      <c r="E6" s="23">
        <f>D6+(C6*G6)*3.6</f>
        <v>15</v>
      </c>
      <c r="F6" s="94">
        <v>15</v>
      </c>
      <c r="G6" s="94">
        <v>8</v>
      </c>
      <c r="H6" s="94">
        <f>H5+G6</f>
        <v>23</v>
      </c>
      <c r="I6" s="95">
        <f>D6/3.6</f>
        <v>4.166666666666667</v>
      </c>
      <c r="J6" s="95">
        <f>F6/3.6</f>
        <v>4.166666666666667</v>
      </c>
      <c r="K6" s="95">
        <f>(I6+J6)/2</f>
        <v>4.166666666666667</v>
      </c>
      <c r="L6" s="95">
        <f>(K6*G6)</f>
        <v>33.33333333333334</v>
      </c>
      <c r="M6" s="95">
        <f>0.5*((J6-I6)^2)*'NEFZ-2 - Startwerte'!$B$3</f>
        <v>0</v>
      </c>
      <c r="N6" s="95">
        <f>L6*'NEFZ-2 - Startwerte'!$B$3*'NEFZ-2 - Startwerte'!$B$6*'NEFZ-2 - Konstanten'!$B$4</f>
        <v>3453.12</v>
      </c>
      <c r="O6" s="95">
        <f>((I6^3+J6^3)/2)/K6</f>
        <v>17.36111111111111</v>
      </c>
      <c r="P6" s="95">
        <f>0.5*'NEFZ-2 - NEFZ Berechnung Zusamm'!$B$9*'NEFZ-2 - Konstanten'!$B$3*O6</f>
        <v>7.189583333333333</v>
      </c>
      <c r="Q6" s="95">
        <f>P6*L6</f>
        <v>239.6527777777778</v>
      </c>
    </row>
    <row r="7" ht="20.35" customHeight="1">
      <c r="A7" s="73">
        <f>A6+1</f>
        <v>4</v>
      </c>
      <c r="B7" t="s" s="93">
        <v>120</v>
      </c>
      <c r="C7" s="23">
        <v>-0.6899999999999999</v>
      </c>
      <c r="D7" s="94">
        <f>F6</f>
        <v>15</v>
      </c>
      <c r="E7" s="23">
        <f>D7+(C7*G7)*3.6</f>
        <v>10.032</v>
      </c>
      <c r="F7" s="94">
        <v>10</v>
      </c>
      <c r="G7" s="94">
        <v>2</v>
      </c>
      <c r="H7" s="94">
        <f>H6+G7</f>
        <v>25</v>
      </c>
      <c r="I7" s="95">
        <f>D7/3.6</f>
        <v>4.166666666666667</v>
      </c>
      <c r="J7" s="95">
        <f>F7/3.6</f>
        <v>2.777777777777778</v>
      </c>
      <c r="K7" s="95">
        <f>(I7+J7)/2</f>
        <v>3.472222222222222</v>
      </c>
      <c r="L7" s="95">
        <f>(K7*G7)</f>
        <v>6.944444444444445</v>
      </c>
      <c r="M7" s="95">
        <f>0.5*((J7-I7)^2)*'NEFZ-2 - Startwerte'!$B$3</f>
        <v>1273.148148148149</v>
      </c>
      <c r="N7" s="95">
        <f>L7*'NEFZ-2 - Startwerte'!$B$3*'NEFZ-2 - Startwerte'!$B$6*'NEFZ-2 - Konstanten'!$B$4</f>
        <v>719.4</v>
      </c>
      <c r="O7" s="95">
        <f>((I7^3+J7^3)/2)/K7</f>
        <v>13.50308641975309</v>
      </c>
      <c r="P7" s="95">
        <f>0.5*'NEFZ-2 - NEFZ Berechnung Zusamm'!$B$9*'NEFZ-2 - Konstanten'!$B$3*O7</f>
        <v>5.591898148148148</v>
      </c>
      <c r="Q7" s="95">
        <f>P7*L7</f>
        <v>38.83262602880659</v>
      </c>
    </row>
    <row r="8" ht="32.35" customHeight="1">
      <c r="A8" s="73">
        <f>A7+1</f>
        <v>5</v>
      </c>
      <c r="B8" t="s" s="93">
        <v>121</v>
      </c>
      <c r="C8" s="23">
        <v>-0.92</v>
      </c>
      <c r="D8" s="94">
        <f>F7</f>
        <v>10</v>
      </c>
      <c r="E8" s="23">
        <f>D8+(C8*G8)*3.6</f>
        <v>0.06399999999999828</v>
      </c>
      <c r="F8" s="94">
        <v>0</v>
      </c>
      <c r="G8" s="94">
        <v>3</v>
      </c>
      <c r="H8" s="94">
        <f>H7+G8</f>
        <v>28</v>
      </c>
      <c r="I8" s="95">
        <f>D8/3.6</f>
        <v>2.777777777777778</v>
      </c>
      <c r="J8" s="95">
        <f>F8/3.6</f>
        <v>0</v>
      </c>
      <c r="K8" s="95">
        <f>(I8+J8)/2</f>
        <v>1.388888888888889</v>
      </c>
      <c r="L8" s="95">
        <f>(K8*G8)</f>
        <v>4.166666666666666</v>
      </c>
      <c r="M8" s="95">
        <f>0.5*((J8-I8)^2)*'NEFZ-2 - Startwerte'!$B$3</f>
        <v>5092.592592592592</v>
      </c>
      <c r="N8" s="95">
        <f>L8*'NEFZ-2 - Startwerte'!$B$3*'NEFZ-2 - Startwerte'!$B$6*'NEFZ-2 - Konstanten'!$B$4</f>
        <v>431.6399999999999</v>
      </c>
      <c r="O8" s="95">
        <f>((I8^3+J8^3)/2)/K8</f>
        <v>7.716049382716049</v>
      </c>
      <c r="P8" s="95">
        <f>0.5*'NEFZ-2 - NEFZ Berechnung Zusamm'!$B$9*'NEFZ-2 - Konstanten'!$B$3*O8</f>
        <v>3.19537037037037</v>
      </c>
      <c r="Q8" s="95">
        <f>P8*L8</f>
        <v>13.31404320987654</v>
      </c>
    </row>
    <row r="9" ht="20.35" customHeight="1">
      <c r="A9" s="73">
        <f>A8+1</f>
        <v>6</v>
      </c>
      <c r="B9" t="s" s="93">
        <v>118</v>
      </c>
      <c r="C9" s="23"/>
      <c r="D9" s="94">
        <f>F8</f>
        <v>0</v>
      </c>
      <c r="E9" s="23">
        <f>D9+(C9*G9)*3.6</f>
        <v>0</v>
      </c>
      <c r="F9" s="94">
        <v>0</v>
      </c>
      <c r="G9" s="94">
        <v>21</v>
      </c>
      <c r="H9" s="94">
        <f>H8+G9</f>
        <v>49</v>
      </c>
      <c r="I9" s="95">
        <f>D9/3.6</f>
        <v>0</v>
      </c>
      <c r="J9" s="95">
        <f>F9/3.6</f>
        <v>0</v>
      </c>
      <c r="K9" s="95">
        <f>(I9+J9)/2</f>
        <v>0</v>
      </c>
      <c r="L9" s="95">
        <f>(K9*G9)</f>
        <v>0</v>
      </c>
      <c r="M9" s="95">
        <f>0.5*((J9-I9)^2)*'NEFZ-2 - Startwerte'!$B$3</f>
        <v>0</v>
      </c>
      <c r="N9" s="95">
        <f>L9*'NEFZ-2 - Startwerte'!$B$3*'NEFZ-2 - Startwerte'!$B$6*'NEFZ-2 - Konstanten'!$B$4</f>
        <v>0</v>
      </c>
      <c r="O9" s="19"/>
      <c r="P9" s="95">
        <f>0.5*'NEFZ-2 - NEFZ Berechnung Zusamm'!$B$9*'NEFZ-2 - Konstanten'!$B$3*O9</f>
        <v>0</v>
      </c>
      <c r="Q9" s="95">
        <f>P9*L9</f>
        <v>0</v>
      </c>
    </row>
    <row r="10" ht="20.35" customHeight="1">
      <c r="A10" s="73">
        <f>A9+1</f>
        <v>7</v>
      </c>
      <c r="B10" t="s" s="93">
        <v>102</v>
      </c>
      <c r="C10" s="23">
        <v>0.83</v>
      </c>
      <c r="D10" s="94">
        <f>F9</f>
        <v>0</v>
      </c>
      <c r="E10" s="23">
        <f>D10+(C10*G10)*3.6</f>
        <v>14.94</v>
      </c>
      <c r="F10" s="94">
        <v>15</v>
      </c>
      <c r="G10" s="94">
        <v>5</v>
      </c>
      <c r="H10" s="94">
        <f>H9+G10</f>
        <v>54</v>
      </c>
      <c r="I10" s="95">
        <f>D10/3.6</f>
        <v>0</v>
      </c>
      <c r="J10" s="95">
        <f>F10/3.6</f>
        <v>4.166666666666667</v>
      </c>
      <c r="K10" s="95">
        <f>(I10+J10)/2</f>
        <v>2.083333333333333</v>
      </c>
      <c r="L10" s="95">
        <f>(K10*G10)</f>
        <v>10.41666666666667</v>
      </c>
      <c r="M10" s="95">
        <f>0.5*((J10-I10)^2)*'NEFZ-2 - Startwerte'!$B$3</f>
        <v>11458.333333333336</v>
      </c>
      <c r="N10" s="95">
        <f>L10*'NEFZ-2 - Startwerte'!$B$3*'NEFZ-2 - Startwerte'!$B$6*'NEFZ-2 - Konstanten'!$B$4</f>
        <v>1079.1</v>
      </c>
      <c r="O10" s="95">
        <f>((I10^3+J10^3)/2)/K10</f>
        <v>17.36111111111111</v>
      </c>
      <c r="P10" s="95">
        <f>0.5*'NEFZ-2 - NEFZ Berechnung Zusamm'!$B$9*'NEFZ-2 - Konstanten'!$B$3*O10</f>
        <v>7.189583333333333</v>
      </c>
      <c r="Q10" s="95">
        <f>P10*L10</f>
        <v>74.89149305555556</v>
      </c>
    </row>
    <row r="11" ht="20.35" customHeight="1">
      <c r="A11" s="73">
        <f>A10+1</f>
        <v>8</v>
      </c>
      <c r="B11" t="s" s="93">
        <v>122</v>
      </c>
      <c r="C11" s="23"/>
      <c r="D11" s="94">
        <f>F10</f>
        <v>15</v>
      </c>
      <c r="E11" s="23">
        <f>D11+(C11*G11)*3.6</f>
        <v>15</v>
      </c>
      <c r="F11" s="94">
        <v>15</v>
      </c>
      <c r="G11" s="94">
        <v>2</v>
      </c>
      <c r="H11" s="94">
        <f>H10+G11</f>
        <v>56</v>
      </c>
      <c r="I11" s="95">
        <f>D11/3.6</f>
        <v>4.166666666666667</v>
      </c>
      <c r="J11" s="95">
        <f>F11/3.6</f>
        <v>4.166666666666667</v>
      </c>
      <c r="K11" s="95">
        <f>(I11+J11)/2</f>
        <v>4.166666666666667</v>
      </c>
      <c r="L11" s="95">
        <f>(K11*G11)</f>
        <v>8.333333333333334</v>
      </c>
      <c r="M11" s="95">
        <f>0.5*((J11-I11)^2)*'NEFZ-2 - Startwerte'!$B$3</f>
        <v>0</v>
      </c>
      <c r="N11" s="95">
        <f>L11*'NEFZ-2 - Startwerte'!$B$3*'NEFZ-2 - Startwerte'!$B$6*'NEFZ-2 - Konstanten'!$B$4</f>
        <v>863.2800000000001</v>
      </c>
      <c r="O11" s="95">
        <f>((I11^3+J11^3)/2)/K11</f>
        <v>17.36111111111111</v>
      </c>
      <c r="P11" s="95">
        <f>0.5*'NEFZ-2 - NEFZ Berechnung Zusamm'!$B$9*'NEFZ-2 - Konstanten'!$B$3*O11</f>
        <v>7.189583333333333</v>
      </c>
      <c r="Q11" s="95">
        <f>P11*L11</f>
        <v>59.91319444444445</v>
      </c>
    </row>
    <row r="12" ht="20.35" customHeight="1">
      <c r="A12" s="73">
        <f>A11+1</f>
        <v>9</v>
      </c>
      <c r="B12" t="s" s="93">
        <v>102</v>
      </c>
      <c r="C12" s="23">
        <v>0.9399999999999999</v>
      </c>
      <c r="D12" s="94">
        <f>F11</f>
        <v>15</v>
      </c>
      <c r="E12" s="23">
        <f>D12+(C12*G12)*3.6</f>
        <v>31.92</v>
      </c>
      <c r="F12" s="94">
        <v>32</v>
      </c>
      <c r="G12" s="94">
        <v>5</v>
      </c>
      <c r="H12" s="94">
        <f>H11+G12</f>
        <v>61</v>
      </c>
      <c r="I12" s="95">
        <f>D12/3.6</f>
        <v>4.166666666666667</v>
      </c>
      <c r="J12" s="95">
        <f>F12/3.6</f>
        <v>8.888888888888889</v>
      </c>
      <c r="K12" s="95">
        <f>(I12+J12)/2</f>
        <v>6.527777777777779</v>
      </c>
      <c r="L12" s="95">
        <f>(K12*G12)</f>
        <v>32.63888888888889</v>
      </c>
      <c r="M12" s="95">
        <f>0.5*((J12-I12)^2)*'NEFZ-2 - Startwerte'!$B$3</f>
        <v>14717.592592592593</v>
      </c>
      <c r="N12" s="95">
        <f>L12*'NEFZ-2 - Startwerte'!$B$3*'NEFZ-2 - Startwerte'!$B$6*'NEFZ-2 - Konstanten'!$B$4</f>
        <v>3381.18</v>
      </c>
      <c r="O12" s="95">
        <f>((I12^3+J12^3)/2)/K12</f>
        <v>59.33641975308642</v>
      </c>
      <c r="P12" s="95">
        <f>0.5*'NEFZ-2 - NEFZ Berechnung Zusamm'!$B$9*'NEFZ-2 - Konstanten'!$B$3*O12</f>
        <v>24.57239814814814</v>
      </c>
      <c r="Q12" s="95">
        <f>P12*L12</f>
        <v>802.0157728909464</v>
      </c>
    </row>
    <row r="13" ht="32.35" customHeight="1">
      <c r="A13" s="73">
        <f>A12+1</f>
        <v>10</v>
      </c>
      <c r="B13" t="s" s="93">
        <v>119</v>
      </c>
      <c r="C13" s="23"/>
      <c r="D13" s="94">
        <f>F12</f>
        <v>32</v>
      </c>
      <c r="E13" s="23">
        <f>D13+(C13*G13)*3.6</f>
        <v>32</v>
      </c>
      <c r="F13" s="94">
        <v>32</v>
      </c>
      <c r="G13" s="94">
        <v>24</v>
      </c>
      <c r="H13" s="94">
        <f>H12+G13</f>
        <v>85</v>
      </c>
      <c r="I13" s="95">
        <f>D13/3.6</f>
        <v>8.888888888888889</v>
      </c>
      <c r="J13" s="95">
        <f>F13/3.6</f>
        <v>8.888888888888889</v>
      </c>
      <c r="K13" s="95">
        <f>(I13+J13)/2</f>
        <v>8.888888888888889</v>
      </c>
      <c r="L13" s="95">
        <f>(K13*G13)</f>
        <v>213.3333333333333</v>
      </c>
      <c r="M13" s="95">
        <f>0.5*((J13-I13)^2)*'NEFZ-2 - Startwerte'!$B$3</f>
        <v>0</v>
      </c>
      <c r="N13" s="95">
        <f>L13*'NEFZ-2 - Startwerte'!$B$3*'NEFZ-2 - Startwerte'!$B$6*'NEFZ-2 - Konstanten'!$B$4</f>
        <v>22099.968</v>
      </c>
      <c r="O13" s="95">
        <f>((I13^3+J13^3)/2)/K13</f>
        <v>79.01234567901236</v>
      </c>
      <c r="P13" s="95">
        <f>0.5*'NEFZ-2 - NEFZ Berechnung Zusamm'!$B$9*'NEFZ-2 - Konstanten'!$B$3*O13</f>
        <v>32.72059259259259</v>
      </c>
      <c r="Q13" s="95">
        <f>P13*L13</f>
        <v>6980.393086419753</v>
      </c>
    </row>
    <row r="14" ht="20.35" customHeight="1">
      <c r="A14" s="73">
        <f>A13+1</f>
        <v>11</v>
      </c>
      <c r="B14" t="s" s="93">
        <v>120</v>
      </c>
      <c r="C14" s="23">
        <v>-0.75</v>
      </c>
      <c r="D14" s="94">
        <f>F13</f>
        <v>32</v>
      </c>
      <c r="E14" s="23">
        <f>D14+(C14*G14)*3.6</f>
        <v>10.4</v>
      </c>
      <c r="F14" s="94">
        <v>10</v>
      </c>
      <c r="G14" s="94">
        <v>8</v>
      </c>
      <c r="H14" s="94">
        <f>H13+G14</f>
        <v>93</v>
      </c>
      <c r="I14" s="95">
        <f>D14/3.6</f>
        <v>8.888888888888889</v>
      </c>
      <c r="J14" s="95">
        <f>F14/3.6</f>
        <v>2.777777777777778</v>
      </c>
      <c r="K14" s="95">
        <f>(I14+J14)/2</f>
        <v>5.833333333333334</v>
      </c>
      <c r="L14" s="95">
        <f>(K14*G14)</f>
        <v>46.66666666666667</v>
      </c>
      <c r="M14" s="95">
        <f>0.5*((J14-I14)^2)*'NEFZ-2 - Startwerte'!$B$3</f>
        <v>24648.148148148153</v>
      </c>
      <c r="N14" s="95">
        <f>L14*'NEFZ-2 - Startwerte'!$B$3*'NEFZ-2 - Startwerte'!$B$6*'NEFZ-2 - Konstanten'!$B$4</f>
        <v>4834.368000000001</v>
      </c>
      <c r="O14" s="95">
        <f>((I14^3+J14^3)/2)/K14</f>
        <v>62.03703703703705</v>
      </c>
      <c r="P14" s="95">
        <f>0.5*'NEFZ-2 - NEFZ Berechnung Zusamm'!$B$9*'NEFZ-2 - Konstanten'!$B$3*O14</f>
        <v>25.69077777777778</v>
      </c>
      <c r="Q14" s="95">
        <f>P14*L14</f>
        <v>1198.902962962963</v>
      </c>
    </row>
    <row r="15" ht="32.35" customHeight="1">
      <c r="A15" s="73">
        <f>A14+1</f>
        <v>12</v>
      </c>
      <c r="B15" t="s" s="93">
        <v>121</v>
      </c>
      <c r="C15" s="23">
        <v>-0.92</v>
      </c>
      <c r="D15" s="94">
        <f>F14</f>
        <v>10</v>
      </c>
      <c r="E15" s="23">
        <f>D15+(C15*G15)*3.6</f>
        <v>0.06399999999999828</v>
      </c>
      <c r="F15" s="94">
        <v>0</v>
      </c>
      <c r="G15" s="94">
        <v>3</v>
      </c>
      <c r="H15" s="94">
        <f>H14+G15</f>
        <v>96</v>
      </c>
      <c r="I15" s="95">
        <f>D15/3.6</f>
        <v>2.777777777777778</v>
      </c>
      <c r="J15" s="95">
        <f>F15/3.6</f>
        <v>0</v>
      </c>
      <c r="K15" s="95">
        <f>(I15+J15)/2</f>
        <v>1.388888888888889</v>
      </c>
      <c r="L15" s="95">
        <f>(K15*G15)</f>
        <v>4.166666666666666</v>
      </c>
      <c r="M15" s="95">
        <f>0.5*((J15-I15)^2)*'NEFZ-2 - Startwerte'!$B$3</f>
        <v>5092.592592592592</v>
      </c>
      <c r="N15" s="95">
        <f>L15*'NEFZ-2 - Startwerte'!$B$3*'NEFZ-2 - Startwerte'!$B$6*'NEFZ-2 - Konstanten'!$B$4</f>
        <v>431.6399999999999</v>
      </c>
      <c r="O15" s="95">
        <f>((I15^3+J15^3)/2)/K15</f>
        <v>7.716049382716049</v>
      </c>
      <c r="P15" s="95">
        <f>0.5*'NEFZ-2 - NEFZ Berechnung Zusamm'!$B$9*'NEFZ-2 - Konstanten'!$B$3*O15</f>
        <v>3.19537037037037</v>
      </c>
      <c r="Q15" s="95">
        <f>P15*L15</f>
        <v>13.31404320987654</v>
      </c>
    </row>
    <row r="16" ht="20.35" customHeight="1">
      <c r="A16" s="73">
        <f>A15+1</f>
        <v>13</v>
      </c>
      <c r="B16" t="s" s="93">
        <v>118</v>
      </c>
      <c r="C16" s="23"/>
      <c r="D16" s="94">
        <f>F15</f>
        <v>0</v>
      </c>
      <c r="E16" s="23">
        <f>D16+(C16*G16)*3.6</f>
        <v>0</v>
      </c>
      <c r="F16" s="94">
        <v>0</v>
      </c>
      <c r="G16" s="94">
        <v>21</v>
      </c>
      <c r="H16" s="94">
        <f>H15+G16</f>
        <v>117</v>
      </c>
      <c r="I16" s="95">
        <f>D16/3.6</f>
        <v>0</v>
      </c>
      <c r="J16" s="95">
        <f>F16/3.6</f>
        <v>0</v>
      </c>
      <c r="K16" s="95">
        <f>(I16+J16)/2</f>
        <v>0</v>
      </c>
      <c r="L16" s="95">
        <f>(K16*G16)</f>
        <v>0</v>
      </c>
      <c r="M16" s="95">
        <f>0.5*((J16-I16)^2)*'NEFZ-2 - Startwerte'!$B$3</f>
        <v>0</v>
      </c>
      <c r="N16" s="95">
        <f>L16*'NEFZ-2 - Startwerte'!$B$3*'NEFZ-2 - Startwerte'!$B$6*'NEFZ-2 - Konstanten'!$B$4</f>
        <v>0</v>
      </c>
      <c r="O16" s="19"/>
      <c r="P16" s="95">
        <f>0.5*'NEFZ-2 - NEFZ Berechnung Zusamm'!$B$9*'NEFZ-2 - Konstanten'!$B$3*O16</f>
        <v>0</v>
      </c>
      <c r="Q16" s="95">
        <f>P16*L16</f>
        <v>0</v>
      </c>
    </row>
    <row r="17" ht="20.35" customHeight="1">
      <c r="A17" s="73">
        <f>A16+1</f>
        <v>14</v>
      </c>
      <c r="B17" t="s" s="93">
        <v>102</v>
      </c>
      <c r="C17" s="23">
        <v>0.83</v>
      </c>
      <c r="D17" s="94">
        <f>F16</f>
        <v>0</v>
      </c>
      <c r="E17" s="23">
        <f>D17+(C17*G17)*3.6</f>
        <v>14.94</v>
      </c>
      <c r="F17" s="94">
        <v>15</v>
      </c>
      <c r="G17" s="94">
        <v>5</v>
      </c>
      <c r="H17" s="94">
        <f>H16+G17</f>
        <v>122</v>
      </c>
      <c r="I17" s="95">
        <f>D17/3.6</f>
        <v>0</v>
      </c>
      <c r="J17" s="95">
        <f>F17/3.6</f>
        <v>4.166666666666667</v>
      </c>
      <c r="K17" s="95">
        <f>(I17+J17)/2</f>
        <v>2.083333333333333</v>
      </c>
      <c r="L17" s="95">
        <f>(K17*G17)</f>
        <v>10.41666666666667</v>
      </c>
      <c r="M17" s="95">
        <f>0.5*((J17-I17)^2)*'NEFZ-2 - Startwerte'!$B$3</f>
        <v>11458.333333333336</v>
      </c>
      <c r="N17" s="95">
        <f>L17*'NEFZ-2 - Startwerte'!$B$3*'NEFZ-2 - Startwerte'!$B$6*'NEFZ-2 - Konstanten'!$B$4</f>
        <v>1079.1</v>
      </c>
      <c r="O17" s="95">
        <f>((I17^3+J17^3)/2)/K17</f>
        <v>17.36111111111111</v>
      </c>
      <c r="P17" s="95">
        <f>0.5*'NEFZ-2 - NEFZ Berechnung Zusamm'!$B$9*'NEFZ-2 - Konstanten'!$B$3*O17</f>
        <v>7.189583333333333</v>
      </c>
      <c r="Q17" s="95">
        <f>P17*L17</f>
        <v>74.89149305555556</v>
      </c>
    </row>
    <row r="18" ht="20.35" customHeight="1">
      <c r="A18" s="73">
        <f>A17+1</f>
        <v>15</v>
      </c>
      <c r="B18" t="s" s="93">
        <v>122</v>
      </c>
      <c r="C18" s="23"/>
      <c r="D18" s="94">
        <f>F17</f>
        <v>15</v>
      </c>
      <c r="E18" s="23">
        <f>D18+(C18*G18)*3.6</f>
        <v>15</v>
      </c>
      <c r="F18" s="94">
        <v>15</v>
      </c>
      <c r="G18" s="94">
        <v>2</v>
      </c>
      <c r="H18" s="94">
        <f>H17+G18</f>
        <v>124</v>
      </c>
      <c r="I18" s="95">
        <f>D18/3.6</f>
        <v>4.166666666666667</v>
      </c>
      <c r="J18" s="95">
        <f>F18/3.6</f>
        <v>4.166666666666667</v>
      </c>
      <c r="K18" s="95">
        <f>(I18+J18)/2</f>
        <v>4.166666666666667</v>
      </c>
      <c r="L18" s="95">
        <f>(K18*G18)</f>
        <v>8.333333333333334</v>
      </c>
      <c r="M18" s="95">
        <f>0.5*((J18-I18)^2)*'NEFZ-2 - Startwerte'!$B$3</f>
        <v>0</v>
      </c>
      <c r="N18" s="95">
        <f>L18*'NEFZ-2 - Startwerte'!$B$3*'NEFZ-2 - Startwerte'!$B$6*'NEFZ-2 - Konstanten'!$B$4</f>
        <v>863.2800000000001</v>
      </c>
      <c r="O18" s="95">
        <f>((I18^3+J18^3)/2)/K18</f>
        <v>17.36111111111111</v>
      </c>
      <c r="P18" s="95">
        <f>0.5*'NEFZ-2 - NEFZ Berechnung Zusamm'!$B$9*'NEFZ-2 - Konstanten'!$B$3*O18</f>
        <v>7.189583333333333</v>
      </c>
      <c r="Q18" s="95">
        <f>P18*L18</f>
        <v>59.91319444444445</v>
      </c>
    </row>
    <row r="19" ht="20.35" customHeight="1">
      <c r="A19" s="73">
        <f>A18+1</f>
        <v>16</v>
      </c>
      <c r="B19" t="s" s="93">
        <v>102</v>
      </c>
      <c r="C19" s="23">
        <v>0.62</v>
      </c>
      <c r="D19" s="94">
        <f>F18</f>
        <v>15</v>
      </c>
      <c r="E19" s="23">
        <f>D19+(C19*G19)*3.6</f>
        <v>35.088</v>
      </c>
      <c r="F19" s="94">
        <v>35</v>
      </c>
      <c r="G19" s="94">
        <v>9</v>
      </c>
      <c r="H19" s="94">
        <f>H18+G19</f>
        <v>133</v>
      </c>
      <c r="I19" s="95">
        <f>D19/3.6</f>
        <v>4.166666666666667</v>
      </c>
      <c r="J19" s="95">
        <f>F19/3.6</f>
        <v>9.722222222222221</v>
      </c>
      <c r="K19" s="95">
        <f>(I19+J19)/2</f>
        <v>6.944444444444445</v>
      </c>
      <c r="L19" s="95">
        <f>(K19*G19)</f>
        <v>62.5</v>
      </c>
      <c r="M19" s="95">
        <f>0.5*((J19-I19)^2)*'NEFZ-2 - Startwerte'!$B$3</f>
        <v>20370.370370370361</v>
      </c>
      <c r="N19" s="95">
        <f>L19*'NEFZ-2 - Startwerte'!$B$3*'NEFZ-2 - Startwerte'!$B$6*'NEFZ-2 - Konstanten'!$B$4</f>
        <v>6474.6</v>
      </c>
      <c r="O19" s="95">
        <f>((I19^3+J19^3)/2)/K19</f>
        <v>71.37345679012344</v>
      </c>
      <c r="P19" s="95">
        <f>0.5*'NEFZ-2 - NEFZ Berechnung Zusamm'!$B$9*'NEFZ-2 - Konstanten'!$B$3*O19</f>
        <v>29.55717592592591</v>
      </c>
      <c r="Q19" s="95">
        <f>P19*L19</f>
        <v>1847.323495370370</v>
      </c>
    </row>
    <row r="20" ht="20.35" customHeight="1">
      <c r="A20" s="73">
        <f>A19+1</f>
        <v>17</v>
      </c>
      <c r="B20" t="s" s="93">
        <v>122</v>
      </c>
      <c r="C20" s="23"/>
      <c r="D20" s="94">
        <f>F19</f>
        <v>35</v>
      </c>
      <c r="E20" s="23">
        <f>D20+(C20*G20)*3.6</f>
        <v>35</v>
      </c>
      <c r="F20" s="94">
        <v>35</v>
      </c>
      <c r="G20" s="94">
        <v>2</v>
      </c>
      <c r="H20" s="94">
        <f>H19+G20</f>
        <v>135</v>
      </c>
      <c r="I20" s="95">
        <f>D20/3.6</f>
        <v>9.722222222222221</v>
      </c>
      <c r="J20" s="95">
        <f>F20/3.6</f>
        <v>9.722222222222221</v>
      </c>
      <c r="K20" s="95">
        <f>(I20+J20)/2</f>
        <v>9.722222222222221</v>
      </c>
      <c r="L20" s="95">
        <f>(K20*G20)</f>
        <v>19.44444444444444</v>
      </c>
      <c r="M20" s="95">
        <f>0.5*((J20-I20)^2)*'NEFZ-2 - Startwerte'!$B$3</f>
        <v>0</v>
      </c>
      <c r="N20" s="95">
        <f>L20*'NEFZ-2 - Startwerte'!$B$3*'NEFZ-2 - Startwerte'!$B$6*'NEFZ-2 - Konstanten'!$B$4</f>
        <v>2014.32</v>
      </c>
      <c r="O20" s="95">
        <f>((I20^3+J20^3)/2)/K20</f>
        <v>94.52160493827159</v>
      </c>
      <c r="P20" s="95">
        <f>0.5*'NEFZ-2 - NEFZ Berechnung Zusamm'!$B$9*'NEFZ-2 - Konstanten'!$B$3*O20</f>
        <v>39.14328703703703</v>
      </c>
      <c r="Q20" s="95">
        <f>P20*L20</f>
        <v>761.1194701646087</v>
      </c>
    </row>
    <row r="21" ht="20.35" customHeight="1">
      <c r="A21" s="73">
        <f>A20+1</f>
        <v>18</v>
      </c>
      <c r="B21" t="s" s="93">
        <v>102</v>
      </c>
      <c r="C21" s="23">
        <v>0.52</v>
      </c>
      <c r="D21" s="94">
        <f>F20</f>
        <v>35</v>
      </c>
      <c r="E21" s="23">
        <f>D21+(C21*G21)*3.6</f>
        <v>49.976</v>
      </c>
      <c r="F21" s="94">
        <v>50</v>
      </c>
      <c r="G21" s="94">
        <v>8</v>
      </c>
      <c r="H21" s="94">
        <f>H20+G21</f>
        <v>143</v>
      </c>
      <c r="I21" s="95">
        <f>D21/3.6</f>
        <v>9.722222222222221</v>
      </c>
      <c r="J21" s="95">
        <f>F21/3.6</f>
        <v>13.88888888888889</v>
      </c>
      <c r="K21" s="95">
        <f>(I21+J21)/2</f>
        <v>11.80555555555556</v>
      </c>
      <c r="L21" s="95">
        <f>(K21*G21)</f>
        <v>94.44444444444444</v>
      </c>
      <c r="M21" s="95">
        <f>0.5*((J21-I21)^2)*'NEFZ-2 - Startwerte'!$B$3</f>
        <v>11458.333333333339</v>
      </c>
      <c r="N21" s="95">
        <f>L21*'NEFZ-2 - Startwerte'!$B$3*'NEFZ-2 - Startwerte'!$B$6*'NEFZ-2 - Konstanten'!$B$4</f>
        <v>9783.84</v>
      </c>
      <c r="O21" s="95">
        <f>((I21^3+J21^3)/2)/K21</f>
        <v>152.391975308642</v>
      </c>
      <c r="P21" s="95">
        <f>0.5*'NEFZ-2 - NEFZ Berechnung Zusamm'!$B$9*'NEFZ-2 - Konstanten'!$B$3*O21</f>
        <v>63.10856481481481</v>
      </c>
      <c r="Q21" s="95">
        <f>P21*L21</f>
        <v>5960.253343621398</v>
      </c>
    </row>
    <row r="22" ht="32.35" customHeight="1">
      <c r="A22" s="73">
        <f>A21+1</f>
        <v>19</v>
      </c>
      <c r="B22" t="s" s="93">
        <v>119</v>
      </c>
      <c r="C22" s="23"/>
      <c r="D22" s="94">
        <f>F21</f>
        <v>50</v>
      </c>
      <c r="E22" s="23">
        <f>D22+(C22*G22)*3.6</f>
        <v>50</v>
      </c>
      <c r="F22" s="94">
        <v>50</v>
      </c>
      <c r="G22" s="94">
        <v>12</v>
      </c>
      <c r="H22" s="94">
        <f>H21+G22</f>
        <v>155</v>
      </c>
      <c r="I22" s="95">
        <f>D22/3.6</f>
        <v>13.88888888888889</v>
      </c>
      <c r="J22" s="95">
        <f>F22/3.6</f>
        <v>13.88888888888889</v>
      </c>
      <c r="K22" s="95">
        <f>(I22+J22)/2</f>
        <v>13.88888888888889</v>
      </c>
      <c r="L22" s="95">
        <f>(K22*G22)</f>
        <v>166.6666666666667</v>
      </c>
      <c r="M22" s="95">
        <f>0.5*((J22-I22)^2)*'NEFZ-2 - Startwerte'!$B$3</f>
        <v>0</v>
      </c>
      <c r="N22" s="95">
        <f>L22*'NEFZ-2 - Startwerte'!$B$3*'NEFZ-2 - Startwerte'!$B$6*'NEFZ-2 - Konstanten'!$B$4</f>
        <v>17265.6</v>
      </c>
      <c r="O22" s="95">
        <f>((I22^3+J22^3)/2)/K22</f>
        <v>192.9012345679012</v>
      </c>
      <c r="P22" s="95">
        <f>0.5*'NEFZ-2 - NEFZ Berechnung Zusamm'!$B$9*'NEFZ-2 - Konstanten'!$B$3*O22</f>
        <v>79.88425925925925</v>
      </c>
      <c r="Q22" s="95">
        <f>P22*L22</f>
        <v>13314.043209876543</v>
      </c>
    </row>
    <row r="23" ht="20.35" customHeight="1">
      <c r="A23" s="73">
        <f>A22+1</f>
        <v>20</v>
      </c>
      <c r="B23" t="s" s="93">
        <v>120</v>
      </c>
      <c r="C23" s="23">
        <v>-0.52</v>
      </c>
      <c r="D23" s="94">
        <f>F22</f>
        <v>50</v>
      </c>
      <c r="E23" s="23">
        <f>D23+(C23*G23)*3.6</f>
        <v>35.024</v>
      </c>
      <c r="F23" s="94">
        <v>35</v>
      </c>
      <c r="G23" s="94">
        <v>8</v>
      </c>
      <c r="H23" s="94">
        <f>H22+G23</f>
        <v>163</v>
      </c>
      <c r="I23" s="95">
        <f>D23/3.6</f>
        <v>13.88888888888889</v>
      </c>
      <c r="J23" s="95">
        <f>F23/3.6</f>
        <v>9.722222222222221</v>
      </c>
      <c r="K23" s="95">
        <f>(I23+J23)/2</f>
        <v>11.80555555555556</v>
      </c>
      <c r="L23" s="95">
        <f>(K23*G23)</f>
        <v>94.44444444444444</v>
      </c>
      <c r="M23" s="95">
        <f>0.5*((J23-I23)^2)*'NEFZ-2 - Startwerte'!$B$3</f>
        <v>11458.333333333339</v>
      </c>
      <c r="N23" s="95">
        <f>L23*'NEFZ-2 - Startwerte'!$B$3*'NEFZ-2 - Startwerte'!$B$6*'NEFZ-2 - Konstanten'!$B$4</f>
        <v>9783.84</v>
      </c>
      <c r="O23" s="95">
        <f>((I23^3+J23^3)/2)/K23</f>
        <v>152.391975308642</v>
      </c>
      <c r="P23" s="95">
        <f>0.5*'NEFZ-2 - NEFZ Berechnung Zusamm'!$B$9*'NEFZ-2 - Konstanten'!$B$3*O23</f>
        <v>63.10856481481481</v>
      </c>
      <c r="Q23" s="95">
        <f>P23*L23</f>
        <v>5960.253343621398</v>
      </c>
    </row>
    <row r="24" ht="32.35" customHeight="1">
      <c r="A24" s="73">
        <f>A23+1</f>
        <v>21</v>
      </c>
      <c r="B24" t="s" s="93">
        <v>119</v>
      </c>
      <c r="C24" s="23"/>
      <c r="D24" s="94">
        <f>F23</f>
        <v>35</v>
      </c>
      <c r="E24" s="23">
        <f>D24+(C24*G24)*3.6</f>
        <v>35</v>
      </c>
      <c r="F24" s="94">
        <v>35</v>
      </c>
      <c r="G24" s="94">
        <v>13</v>
      </c>
      <c r="H24" s="94">
        <f>H23+G24</f>
        <v>176</v>
      </c>
      <c r="I24" s="95">
        <f>D24/3.6</f>
        <v>9.722222222222221</v>
      </c>
      <c r="J24" s="95">
        <f>F24/3.6</f>
        <v>9.722222222222221</v>
      </c>
      <c r="K24" s="95">
        <f>(I24+J24)/2</f>
        <v>9.722222222222221</v>
      </c>
      <c r="L24" s="95">
        <f>(K24*G24)</f>
        <v>126.3888888888889</v>
      </c>
      <c r="M24" s="95">
        <f>0.5*((J24-I24)^2)*'NEFZ-2 - Startwerte'!$B$3</f>
        <v>0</v>
      </c>
      <c r="N24" s="95">
        <f>L24*'NEFZ-2 - Startwerte'!$B$3*'NEFZ-2 - Startwerte'!$B$6*'NEFZ-2 - Konstanten'!$B$4</f>
        <v>13093.08</v>
      </c>
      <c r="O24" s="95">
        <f>((I24^3+J24^3)/2)/K24</f>
        <v>94.52160493827159</v>
      </c>
      <c r="P24" s="95">
        <f>0.5*'NEFZ-2 - NEFZ Berechnung Zusamm'!$B$9*'NEFZ-2 - Konstanten'!$B$3*O24</f>
        <v>39.14328703703703</v>
      </c>
      <c r="Q24" s="95">
        <f>P24*L24</f>
        <v>4947.276556069957</v>
      </c>
    </row>
    <row r="25" ht="20.35" customHeight="1">
      <c r="A25" s="73">
        <f>A24+1</f>
        <v>22</v>
      </c>
      <c r="B25" t="s" s="93">
        <v>122</v>
      </c>
      <c r="C25" s="23"/>
      <c r="D25" s="94">
        <f>F24</f>
        <v>35</v>
      </c>
      <c r="E25" s="23">
        <f>D25+(C25*G25)*3.6</f>
        <v>35</v>
      </c>
      <c r="F25" s="94">
        <v>35</v>
      </c>
      <c r="G25" s="94">
        <v>2</v>
      </c>
      <c r="H25" s="94">
        <f>H24+G25</f>
        <v>178</v>
      </c>
      <c r="I25" s="95">
        <f>D25/3.6</f>
        <v>9.722222222222221</v>
      </c>
      <c r="J25" s="95">
        <f>F25/3.6</f>
        <v>9.722222222222221</v>
      </c>
      <c r="K25" s="95">
        <f>(I25+J25)/2</f>
        <v>9.722222222222221</v>
      </c>
      <c r="L25" s="95">
        <f>(K25*G25)</f>
        <v>19.44444444444444</v>
      </c>
      <c r="M25" s="95">
        <f>0.5*((J25-I25)^2)*'NEFZ-2 - Startwerte'!$B$3</f>
        <v>0</v>
      </c>
      <c r="N25" s="95">
        <f>L25*'NEFZ-2 - Startwerte'!$B$3*'NEFZ-2 - Startwerte'!$B$6*'NEFZ-2 - Konstanten'!$B$4</f>
        <v>2014.32</v>
      </c>
      <c r="O25" s="95">
        <f>((I25^3+J25^3)/2)/K25</f>
        <v>94.52160493827159</v>
      </c>
      <c r="P25" s="95">
        <f>0.5*'NEFZ-2 - NEFZ Berechnung Zusamm'!$B$9*'NEFZ-2 - Konstanten'!$B$3*O25</f>
        <v>39.14328703703703</v>
      </c>
      <c r="Q25" s="95">
        <f>P25*L25</f>
        <v>761.1194701646087</v>
      </c>
    </row>
    <row r="26" ht="20.35" customHeight="1">
      <c r="A26" s="73">
        <f>A25+1</f>
        <v>23</v>
      </c>
      <c r="B26" t="s" s="93">
        <v>120</v>
      </c>
      <c r="C26" s="23">
        <v>-0.99</v>
      </c>
      <c r="D26" s="94">
        <f>F25</f>
        <v>35</v>
      </c>
      <c r="E26" s="23">
        <f>D26+(C26*G26)*3.6</f>
        <v>10.052</v>
      </c>
      <c r="F26" s="94">
        <v>10</v>
      </c>
      <c r="G26" s="94">
        <v>7</v>
      </c>
      <c r="H26" s="94">
        <f>H25+G26</f>
        <v>185</v>
      </c>
      <c r="I26" s="95">
        <f>D26/3.6</f>
        <v>9.722222222222221</v>
      </c>
      <c r="J26" s="95">
        <f>F26/3.6</f>
        <v>2.777777777777778</v>
      </c>
      <c r="K26" s="95">
        <f>(I26+J26)/2</f>
        <v>6.25</v>
      </c>
      <c r="L26" s="95">
        <f>(K26*G26)</f>
        <v>43.75</v>
      </c>
      <c r="M26" s="95">
        <f>0.5*((J26-I26)^2)*'NEFZ-2 - Startwerte'!$B$3</f>
        <v>31828.7037037037</v>
      </c>
      <c r="N26" s="95">
        <f>L26*'NEFZ-2 - Startwerte'!$B$3*'NEFZ-2 - Startwerte'!$B$6*'NEFZ-2 - Konstanten'!$B$4</f>
        <v>4532.22</v>
      </c>
      <c r="O26" s="95">
        <f>((I26^3+J26^3)/2)/K26</f>
        <v>75.23148148148147</v>
      </c>
      <c r="P26" s="95">
        <f>0.5*'NEFZ-2 - NEFZ Berechnung Zusamm'!$B$9*'NEFZ-2 - Konstanten'!$B$3*O26</f>
        <v>31.1548611111111</v>
      </c>
      <c r="Q26" s="95">
        <f>P26*L26</f>
        <v>1363.025173611111</v>
      </c>
    </row>
    <row r="27" ht="32.35" customHeight="1">
      <c r="A27" s="73">
        <f>A26+1</f>
        <v>24</v>
      </c>
      <c r="B27" t="s" s="93">
        <v>121</v>
      </c>
      <c r="C27" s="23">
        <v>-0.92</v>
      </c>
      <c r="D27" s="94">
        <f>F26</f>
        <v>10</v>
      </c>
      <c r="E27" s="23">
        <f>D27+(C27*G27)*3.6</f>
        <v>0.06399999999999828</v>
      </c>
      <c r="F27" s="94">
        <v>0</v>
      </c>
      <c r="G27" s="94">
        <v>3</v>
      </c>
      <c r="H27" s="94">
        <f>H26+G27</f>
        <v>188</v>
      </c>
      <c r="I27" s="95">
        <f>D27/3.6</f>
        <v>2.777777777777778</v>
      </c>
      <c r="J27" s="95">
        <f>F27/3.6</f>
        <v>0</v>
      </c>
      <c r="K27" s="95">
        <f>(I27+J27)/2</f>
        <v>1.388888888888889</v>
      </c>
      <c r="L27" s="95">
        <f>(K27*G27)</f>
        <v>4.166666666666666</v>
      </c>
      <c r="M27" s="95">
        <f>0.5*((J27-I27)^2)*'NEFZ-2 - Startwerte'!$B$3</f>
        <v>5092.592592592592</v>
      </c>
      <c r="N27" s="95">
        <f>L27*'NEFZ-2 - Startwerte'!$B$3*'NEFZ-2 - Startwerte'!$B$6*'NEFZ-2 - Konstanten'!$B$4</f>
        <v>431.6399999999999</v>
      </c>
      <c r="O27" s="95">
        <f>((I27^3+J27^3)/2)/K27</f>
        <v>7.716049382716049</v>
      </c>
      <c r="P27" s="95">
        <f>0.5*'NEFZ-2 - NEFZ Berechnung Zusamm'!$B$9*'NEFZ-2 - Konstanten'!$B$3*O27</f>
        <v>3.19537037037037</v>
      </c>
      <c r="Q27" s="95">
        <f>P27*L27</f>
        <v>13.31404320987654</v>
      </c>
    </row>
    <row r="28" ht="20.35" customHeight="1">
      <c r="A28" s="73">
        <f>A27+1</f>
        <v>25</v>
      </c>
      <c r="B28" t="s" s="93">
        <v>118</v>
      </c>
      <c r="C28" s="23"/>
      <c r="D28" s="94">
        <f>F27</f>
        <v>0</v>
      </c>
      <c r="E28" s="23">
        <f>D28+(C28*G28)*3.6</f>
        <v>0</v>
      </c>
      <c r="F28" s="94">
        <v>0</v>
      </c>
      <c r="G28" s="94">
        <v>7</v>
      </c>
      <c r="H28" s="94">
        <f>H27+G28</f>
        <v>195</v>
      </c>
      <c r="I28" s="95">
        <f>D28/3.6</f>
        <v>0</v>
      </c>
      <c r="J28" s="95">
        <f>F28/3.6</f>
        <v>0</v>
      </c>
      <c r="K28" s="95">
        <f>(I28+J28)/2</f>
        <v>0</v>
      </c>
      <c r="L28" s="95">
        <f>(K28*G28)</f>
        <v>0</v>
      </c>
      <c r="M28" s="95">
        <f>0.5*((J28-I28)^2)*'NEFZ-2 - Startwerte'!$B$3</f>
        <v>0</v>
      </c>
      <c r="N28" s="95">
        <f>L28*'NEFZ-2 - Startwerte'!$B$3*'NEFZ-2 - Startwerte'!$B$6*'NEFZ-2 - Konstanten'!$B$4</f>
        <v>0</v>
      </c>
      <c r="O28" s="19"/>
      <c r="P28" s="95">
        <f>0.5*'NEFZ-2 - NEFZ Berechnung Zusamm'!$B$9*'NEFZ-2 - Konstanten'!$B$3*O28</f>
        <v>0</v>
      </c>
      <c r="Q28" s="95">
        <f>P28*L28</f>
        <v>0</v>
      </c>
    </row>
    <row r="29" ht="20.35" customHeight="1">
      <c r="A29" s="75"/>
      <c r="B29" s="74"/>
      <c r="C29" s="23"/>
      <c r="D29" s="94"/>
      <c r="E29" s="23"/>
      <c r="F29" s="94"/>
      <c r="G29" s="94"/>
      <c r="H29" s="94"/>
      <c r="I29" s="95"/>
      <c r="J29" s="95"/>
      <c r="K29" s="95"/>
      <c r="L29" s="95"/>
      <c r="M29" s="95"/>
      <c r="N29" s="95"/>
      <c r="O29" s="19"/>
      <c r="P29" s="19"/>
      <c r="Q29" s="95"/>
    </row>
    <row r="30" ht="20.35" customHeight="1">
      <c r="A30" s="75"/>
      <c r="B30" s="74"/>
      <c r="C30" s="23"/>
      <c r="D30" s="94"/>
      <c r="E30" s="23"/>
      <c r="F30" s="94"/>
      <c r="G30" s="94"/>
      <c r="H30" s="94"/>
      <c r="I30" s="95"/>
      <c r="J30" s="95"/>
      <c r="K30" s="95"/>
      <c r="L30" s="95"/>
      <c r="M30" s="95"/>
      <c r="N30" s="95"/>
      <c r="O30" s="19"/>
      <c r="P30" s="19"/>
      <c r="Q30" s="19"/>
    </row>
    <row r="31" ht="20.35" customHeight="1">
      <c r="A31" t="s" s="13">
        <v>123</v>
      </c>
      <c r="B31" s="74"/>
      <c r="C31" s="23"/>
      <c r="D31" s="94"/>
      <c r="E31" s="23"/>
      <c r="F31" s="94"/>
      <c r="G31" s="94"/>
      <c r="H31" s="94"/>
      <c r="I31" s="95"/>
      <c r="J31" s="95"/>
      <c r="K31" s="95"/>
      <c r="L31" s="95"/>
      <c r="M31" s="95"/>
      <c r="N31" s="95"/>
      <c r="O31" s="19"/>
      <c r="P31" s="19"/>
      <c r="Q31" s="19"/>
    </row>
    <row r="32" ht="20.35" customHeight="1">
      <c r="A32" s="73">
        <f>A29+1</f>
        <v>1</v>
      </c>
      <c r="B32" t="s" s="93">
        <v>118</v>
      </c>
      <c r="C32" s="23"/>
      <c r="D32" s="94">
        <f>F29</f>
        <v>0</v>
      </c>
      <c r="E32" s="23">
        <f>D32+(C32*G32)*3.6</f>
        <v>0</v>
      </c>
      <c r="F32" s="94">
        <v>0</v>
      </c>
      <c r="G32" s="94">
        <v>20</v>
      </c>
      <c r="H32" s="94">
        <f>H29+G32</f>
        <v>20</v>
      </c>
      <c r="I32" s="95">
        <f>D32/3.6</f>
        <v>0</v>
      </c>
      <c r="J32" s="95">
        <f>F32/3.6</f>
        <v>0</v>
      </c>
      <c r="K32" s="95">
        <f>(I32+J32)/2</f>
        <v>0</v>
      </c>
      <c r="L32" s="95">
        <f>(K32*G32)</f>
        <v>0</v>
      </c>
      <c r="M32" s="95">
        <f>0.5*((J32-I32)^2)*'NEFZ-2 - Startwerte'!$B$3</f>
        <v>0</v>
      </c>
      <c r="N32" s="95">
        <f>L32*'NEFZ-2 - Startwerte'!$B$3*'NEFZ-2 - Startwerte'!$B$6*'NEFZ-2 - Konstanten'!$B$4</f>
        <v>0</v>
      </c>
      <c r="O32" s="19"/>
      <c r="P32" s="95">
        <f>0.5*'NEFZ-2 - NEFZ Berechnung Zusamm'!$B$9*'NEFZ-2 - Konstanten'!$B$3*O32</f>
        <v>0</v>
      </c>
      <c r="Q32" s="95">
        <f>P32*L32</f>
        <v>0</v>
      </c>
    </row>
    <row r="33" ht="20.35" customHeight="1">
      <c r="A33" s="73">
        <f>A32+1</f>
        <v>2</v>
      </c>
      <c r="B33" t="s" s="93">
        <v>102</v>
      </c>
      <c r="C33" s="23">
        <v>0.83</v>
      </c>
      <c r="D33" s="94">
        <f>F32</f>
        <v>0</v>
      </c>
      <c r="E33" s="23">
        <f>D33+(C33*G33)*3.6</f>
        <v>14.94</v>
      </c>
      <c r="F33" s="94">
        <v>15</v>
      </c>
      <c r="G33" s="94">
        <v>5</v>
      </c>
      <c r="H33" s="94">
        <f>H32+G33</f>
        <v>25</v>
      </c>
      <c r="I33" s="95">
        <f>D33/3.6</f>
        <v>0</v>
      </c>
      <c r="J33" s="95">
        <f>F33/3.6</f>
        <v>4.166666666666667</v>
      </c>
      <c r="K33" s="95">
        <f>(I33+J33)/2</f>
        <v>2.083333333333333</v>
      </c>
      <c r="L33" s="95">
        <f>(K33*G33)</f>
        <v>10.41666666666667</v>
      </c>
      <c r="M33" s="95">
        <f>0.5*((J33-I33)^2)*'NEFZ-2 - Startwerte'!$B$3</f>
        <v>11458.333333333336</v>
      </c>
      <c r="N33" s="95">
        <f>L33*'NEFZ-2 - Startwerte'!$B$3*'NEFZ-2 - Startwerte'!$B$6*'NEFZ-2 - Konstanten'!$B$4</f>
        <v>1079.1</v>
      </c>
      <c r="O33" s="95">
        <f>((I33^3+J33^3)/2)/K33</f>
        <v>17.36111111111111</v>
      </c>
      <c r="P33" s="95">
        <f>0.5*'NEFZ-2 - NEFZ Berechnung Zusamm'!$B$9*'NEFZ-2 - Konstanten'!$B$3*O33</f>
        <v>7.189583333333333</v>
      </c>
      <c r="Q33" s="95">
        <f>P33*L33</f>
        <v>74.89149305555556</v>
      </c>
    </row>
    <row r="34" ht="32.35" customHeight="1">
      <c r="A34" s="73">
        <f>A33+1</f>
        <v>3</v>
      </c>
      <c r="B34" t="s" s="93">
        <v>119</v>
      </c>
      <c r="C34" s="23"/>
      <c r="D34" s="94">
        <f>F33</f>
        <v>15</v>
      </c>
      <c r="E34" s="23">
        <f>D34+(C34*G34)*3.6</f>
        <v>15</v>
      </c>
      <c r="F34" s="94">
        <v>15</v>
      </c>
      <c r="G34" s="94">
        <v>2</v>
      </c>
      <c r="H34" s="94">
        <f>H33+G34</f>
        <v>27</v>
      </c>
      <c r="I34" s="95">
        <f>D34/3.6</f>
        <v>4.166666666666667</v>
      </c>
      <c r="J34" s="95">
        <f>F34/3.6</f>
        <v>4.166666666666667</v>
      </c>
      <c r="K34" s="95">
        <f>(I34+J34)/2</f>
        <v>4.166666666666667</v>
      </c>
      <c r="L34" s="95">
        <f>(K34*G34)</f>
        <v>8.333333333333334</v>
      </c>
      <c r="M34" s="95">
        <f>0.5*((J34-I34)^2)*'NEFZ-2 - Startwerte'!$B$3</f>
        <v>0</v>
      </c>
      <c r="N34" s="95">
        <f>L34*'NEFZ-2 - Startwerte'!$B$3*'NEFZ-2 - Startwerte'!$B$6*'NEFZ-2 - Konstanten'!$B$4</f>
        <v>863.2800000000001</v>
      </c>
      <c r="O34" s="95">
        <f>((I34^3+J34^3)/2)/K34</f>
        <v>17.36111111111111</v>
      </c>
      <c r="P34" s="95">
        <f>0.5*'NEFZ-2 - NEFZ Berechnung Zusamm'!$B$9*'NEFZ-2 - Konstanten'!$B$3*O34</f>
        <v>7.189583333333333</v>
      </c>
      <c r="Q34" s="95">
        <f>P34*L34</f>
        <v>59.91319444444445</v>
      </c>
    </row>
    <row r="35" ht="20.35" customHeight="1">
      <c r="A35" s="73">
        <f>A34+1</f>
        <v>4</v>
      </c>
      <c r="B35" t="s" s="93">
        <v>102</v>
      </c>
      <c r="C35" s="23">
        <v>0.62</v>
      </c>
      <c r="D35" s="94">
        <f>F34</f>
        <v>15</v>
      </c>
      <c r="E35" s="23">
        <f>D35+(C35*G35)*3.6</f>
        <v>35.088</v>
      </c>
      <c r="F35" s="94">
        <v>35</v>
      </c>
      <c r="G35" s="94">
        <v>9</v>
      </c>
      <c r="H35" s="94">
        <f>H34+G35</f>
        <v>36</v>
      </c>
      <c r="I35" s="95">
        <f>D35/3.6</f>
        <v>4.166666666666667</v>
      </c>
      <c r="J35" s="95">
        <f>F35/3.6</f>
        <v>9.722222222222221</v>
      </c>
      <c r="K35" s="95">
        <f>(I35+J35)/2</f>
        <v>6.944444444444445</v>
      </c>
      <c r="L35" s="95">
        <f>(K35*G35)</f>
        <v>62.5</v>
      </c>
      <c r="M35" s="95">
        <f>0.5*((J35-I35)^2)*'NEFZ-2 - Startwerte'!$B$3</f>
        <v>20370.370370370361</v>
      </c>
      <c r="N35" s="95">
        <f>L35*'NEFZ-2 - Startwerte'!$B$3*'NEFZ-2 - Startwerte'!$B$6*'NEFZ-2 - Konstanten'!$B$4</f>
        <v>6474.6</v>
      </c>
      <c r="O35" s="95">
        <f>((I35^3+J35^3)/2)/K35</f>
        <v>71.37345679012344</v>
      </c>
      <c r="P35" s="95">
        <f>0.5*'NEFZ-2 - NEFZ Berechnung Zusamm'!$B$9*'NEFZ-2 - Konstanten'!$B$3*O35</f>
        <v>29.55717592592591</v>
      </c>
      <c r="Q35" s="95">
        <f>P35*L35</f>
        <v>1847.323495370370</v>
      </c>
    </row>
    <row r="36" ht="32.35" customHeight="1">
      <c r="A36" s="73">
        <f>A35+1</f>
        <v>5</v>
      </c>
      <c r="B36" t="s" s="93">
        <v>119</v>
      </c>
      <c r="C36" s="23"/>
      <c r="D36" s="94">
        <f>F35</f>
        <v>35</v>
      </c>
      <c r="E36" s="23">
        <f>D36+(C36*G36)*3.6</f>
        <v>35</v>
      </c>
      <c r="F36" s="94">
        <v>35</v>
      </c>
      <c r="G36" s="94">
        <v>2</v>
      </c>
      <c r="H36" s="94">
        <f>H35+G36</f>
        <v>38</v>
      </c>
      <c r="I36" s="95">
        <f>D36/3.6</f>
        <v>9.722222222222221</v>
      </c>
      <c r="J36" s="95">
        <f>F36/3.6</f>
        <v>9.722222222222221</v>
      </c>
      <c r="K36" s="95">
        <f>(I36+J36)/2</f>
        <v>9.722222222222221</v>
      </c>
      <c r="L36" s="95">
        <f>(K36*G36)</f>
        <v>19.44444444444444</v>
      </c>
      <c r="M36" s="95">
        <f>0.5*((J36-I36)^2)*'NEFZ-2 - Startwerte'!$B$3</f>
        <v>0</v>
      </c>
      <c r="N36" s="95">
        <f>L36*'NEFZ-2 - Startwerte'!$B$3*'NEFZ-2 - Startwerte'!$B$6*'NEFZ-2 - Konstanten'!$B$4</f>
        <v>2014.32</v>
      </c>
      <c r="O36" s="95">
        <f>((I36^3+J36^3)/2)/K36</f>
        <v>94.52160493827159</v>
      </c>
      <c r="P36" s="95">
        <f>0.5*'NEFZ-2 - NEFZ Berechnung Zusamm'!$B$9*'NEFZ-2 - Konstanten'!$B$3*O36</f>
        <v>39.14328703703703</v>
      </c>
      <c r="Q36" s="95">
        <f>P36*L36</f>
        <v>761.1194701646087</v>
      </c>
    </row>
    <row r="37" ht="20.35" customHeight="1">
      <c r="A37" s="73">
        <f>A36+1</f>
        <v>6</v>
      </c>
      <c r="B37" t="s" s="93">
        <v>102</v>
      </c>
      <c r="C37" s="23">
        <v>0.52</v>
      </c>
      <c r="D37" s="94">
        <f>F36</f>
        <v>35</v>
      </c>
      <c r="E37" s="23">
        <f>D37+(C37*G37)*3.6</f>
        <v>49.976</v>
      </c>
      <c r="F37" s="94">
        <v>50</v>
      </c>
      <c r="G37" s="94">
        <v>8</v>
      </c>
      <c r="H37" s="94">
        <f>H36+G37</f>
        <v>46</v>
      </c>
      <c r="I37" s="95">
        <f>D37/3.6</f>
        <v>9.722222222222221</v>
      </c>
      <c r="J37" s="95">
        <f>F37/3.6</f>
        <v>13.88888888888889</v>
      </c>
      <c r="K37" s="95">
        <f>(I37+J37)/2</f>
        <v>11.80555555555556</v>
      </c>
      <c r="L37" s="95">
        <f>(K37*G37)</f>
        <v>94.44444444444444</v>
      </c>
      <c r="M37" s="95">
        <f>0.5*((J37-I37)^2)*'NEFZ-2 - Startwerte'!$B$3</f>
        <v>11458.333333333339</v>
      </c>
      <c r="N37" s="95">
        <f>L37*'NEFZ-2 - Startwerte'!$B$3*'NEFZ-2 - Startwerte'!$B$6*'NEFZ-2 - Konstanten'!$B$4</f>
        <v>9783.84</v>
      </c>
      <c r="O37" s="95">
        <f>((I37^3+J37^3)/2)/K37</f>
        <v>152.391975308642</v>
      </c>
      <c r="P37" s="95">
        <f>0.5*'NEFZ-2 - NEFZ Berechnung Zusamm'!$B$9*'NEFZ-2 - Konstanten'!$B$3*O37</f>
        <v>63.10856481481481</v>
      </c>
      <c r="Q37" s="95">
        <f>P37*L37</f>
        <v>5960.253343621398</v>
      </c>
    </row>
    <row r="38" ht="32.35" customHeight="1">
      <c r="A38" s="73">
        <f>A37+1</f>
        <v>7</v>
      </c>
      <c r="B38" t="s" s="93">
        <v>119</v>
      </c>
      <c r="C38" s="23"/>
      <c r="D38" s="94">
        <f>F37</f>
        <v>50</v>
      </c>
      <c r="E38" s="23">
        <f>D38+(C38*G38)*3.6</f>
        <v>50</v>
      </c>
      <c r="F38" s="94">
        <v>50</v>
      </c>
      <c r="G38" s="94">
        <v>2</v>
      </c>
      <c r="H38" s="94">
        <f>H37+G38</f>
        <v>48</v>
      </c>
      <c r="I38" s="95">
        <f>D38/3.6</f>
        <v>13.88888888888889</v>
      </c>
      <c r="J38" s="95">
        <f>F38/3.6</f>
        <v>13.88888888888889</v>
      </c>
      <c r="K38" s="95">
        <f>(I38+J38)/2</f>
        <v>13.88888888888889</v>
      </c>
      <c r="L38" s="95">
        <f>(K38*G38)</f>
        <v>27.77777777777778</v>
      </c>
      <c r="M38" s="95">
        <f>0.5*((J38-I38)^2)*'NEFZ-2 - Startwerte'!$B$3</f>
        <v>0</v>
      </c>
      <c r="N38" s="95">
        <f>L38*'NEFZ-2 - Startwerte'!$B$3*'NEFZ-2 - Startwerte'!$B$6*'NEFZ-2 - Konstanten'!$B$4</f>
        <v>2877.6</v>
      </c>
      <c r="O38" s="95">
        <f>((I38^3+J38^3)/2)/K38</f>
        <v>192.9012345679012</v>
      </c>
      <c r="P38" s="95">
        <f>0.5*'NEFZ-2 - NEFZ Berechnung Zusamm'!$B$9*'NEFZ-2 - Konstanten'!$B$3*O38</f>
        <v>79.88425925925925</v>
      </c>
      <c r="Q38" s="95">
        <f>P38*L38</f>
        <v>2219.007201646090</v>
      </c>
    </row>
    <row r="39" ht="20.35" customHeight="1">
      <c r="A39" s="73">
        <f>A38+1</f>
        <v>8</v>
      </c>
      <c r="B39" t="s" s="93">
        <v>102</v>
      </c>
      <c r="C39" s="23">
        <v>0.43</v>
      </c>
      <c r="D39" s="94">
        <f>F38</f>
        <v>50</v>
      </c>
      <c r="E39" s="23">
        <f>D39+(C39*G39)*3.6</f>
        <v>70.124</v>
      </c>
      <c r="F39" s="94">
        <v>70</v>
      </c>
      <c r="G39" s="94">
        <v>13</v>
      </c>
      <c r="H39" s="94">
        <f>H38+G39</f>
        <v>61</v>
      </c>
      <c r="I39" s="95">
        <f>D39/3.6</f>
        <v>13.88888888888889</v>
      </c>
      <c r="J39" s="95">
        <f>F39/3.6</f>
        <v>19.44444444444444</v>
      </c>
      <c r="K39" s="95">
        <f>(I39+J39)/2</f>
        <v>16.66666666666666</v>
      </c>
      <c r="L39" s="95">
        <f>(K39*G39)</f>
        <v>216.6666666666666</v>
      </c>
      <c r="M39" s="95">
        <f>0.5*((J39-I39)^2)*'NEFZ-2 - Startwerte'!$B$3</f>
        <v>20370.370370370354</v>
      </c>
      <c r="N39" s="95">
        <f>L39*'NEFZ-2 - Startwerte'!$B$3*'NEFZ-2 - Startwerte'!$B$6*'NEFZ-2 - Konstanten'!$B$4</f>
        <v>22445.28</v>
      </c>
      <c r="O39" s="95">
        <f>((I39^3+J39^3)/2)/K39</f>
        <v>300.925925925926</v>
      </c>
      <c r="P39" s="95">
        <f>0.5*'NEFZ-2 - NEFZ Berechnung Zusamm'!$B$9*'NEFZ-2 - Konstanten'!$B$3*O39</f>
        <v>124.6194444444444</v>
      </c>
      <c r="Q39" s="95">
        <f>P39*L39</f>
        <v>27000.879629629624</v>
      </c>
    </row>
    <row r="40" ht="32.35" customHeight="1">
      <c r="A40" s="73">
        <f>A39+1</f>
        <v>9</v>
      </c>
      <c r="B40" t="s" s="93">
        <v>119</v>
      </c>
      <c r="C40" s="23"/>
      <c r="D40" s="94">
        <f>F39</f>
        <v>70</v>
      </c>
      <c r="E40" s="23">
        <f>D40+(C40*G40)*3.6</f>
        <v>70</v>
      </c>
      <c r="F40" s="94">
        <v>70</v>
      </c>
      <c r="G40" s="94">
        <v>50</v>
      </c>
      <c r="H40" s="94">
        <f>H39+G40</f>
        <v>111</v>
      </c>
      <c r="I40" s="95">
        <f>D40/3.6</f>
        <v>19.44444444444444</v>
      </c>
      <c r="J40" s="95">
        <f>F40/3.6</f>
        <v>19.44444444444444</v>
      </c>
      <c r="K40" s="95">
        <f>(I40+J40)/2</f>
        <v>19.44444444444444</v>
      </c>
      <c r="L40" s="95">
        <f>(K40*G40)</f>
        <v>972.2222222222222</v>
      </c>
      <c r="M40" s="95">
        <f>0.5*((J40-I40)^2)*'NEFZ-2 - Startwerte'!$B$3</f>
        <v>0</v>
      </c>
      <c r="N40" s="95">
        <f>L40*'NEFZ-2 - Startwerte'!$B$3*'NEFZ-2 - Startwerte'!$B$6*'NEFZ-2 - Konstanten'!$B$4</f>
        <v>100716</v>
      </c>
      <c r="O40" s="95">
        <f>((I40^3+J40^3)/2)/K40</f>
        <v>378.0864197530864</v>
      </c>
      <c r="P40" s="95">
        <f>0.5*'NEFZ-2 - NEFZ Berechnung Zusamm'!$B$9*'NEFZ-2 - Konstanten'!$B$3*O40</f>
        <v>156.5731481481481</v>
      </c>
      <c r="Q40" s="95">
        <f>P40*L40</f>
        <v>152223.8940329218</v>
      </c>
    </row>
    <row r="41" ht="20.35" customHeight="1">
      <c r="A41" s="73">
        <f>A40+1</f>
        <v>10</v>
      </c>
      <c r="B41" t="s" s="93">
        <v>120</v>
      </c>
      <c r="C41" s="23">
        <v>-0.6899999999999999</v>
      </c>
      <c r="D41" s="94">
        <f>F40</f>
        <v>70</v>
      </c>
      <c r="E41" s="23">
        <f>D41+(C41*G41)*3.6</f>
        <v>50.128</v>
      </c>
      <c r="F41" s="94">
        <v>50</v>
      </c>
      <c r="G41" s="94">
        <v>8</v>
      </c>
      <c r="H41" s="94">
        <f>H40+G41</f>
        <v>119</v>
      </c>
      <c r="I41" s="95">
        <f>D41/3.6</f>
        <v>19.44444444444444</v>
      </c>
      <c r="J41" s="95">
        <f>F41/3.6</f>
        <v>13.88888888888889</v>
      </c>
      <c r="K41" s="95">
        <f>(I41+J41)/2</f>
        <v>16.66666666666666</v>
      </c>
      <c r="L41" s="95">
        <f>(K41*G41)</f>
        <v>133.3333333333333</v>
      </c>
      <c r="M41" s="95">
        <f>0.5*((J41-I41)^2)*'NEFZ-2 - Startwerte'!$B$3</f>
        <v>20370.370370370354</v>
      </c>
      <c r="N41" s="95">
        <f>L41*'NEFZ-2 - Startwerte'!$B$3*'NEFZ-2 - Startwerte'!$B$6*'NEFZ-2 - Konstanten'!$B$4</f>
        <v>13812.48</v>
      </c>
      <c r="O41" s="95">
        <f>((I41^3+J41^3)/2)/K41</f>
        <v>300.925925925926</v>
      </c>
      <c r="P41" s="95">
        <f>0.5*'NEFZ-2 - NEFZ Berechnung Zusamm'!$B$9*'NEFZ-2 - Konstanten'!$B$3*O41</f>
        <v>124.6194444444444</v>
      </c>
      <c r="Q41" s="95">
        <f>P41*L41</f>
        <v>16615.925925925923</v>
      </c>
    </row>
    <row r="42" ht="32.35" customHeight="1">
      <c r="A42" s="73">
        <f>A41+1</f>
        <v>11</v>
      </c>
      <c r="B42" t="s" s="93">
        <v>119</v>
      </c>
      <c r="C42" s="23"/>
      <c r="D42" s="94">
        <f>F41</f>
        <v>50</v>
      </c>
      <c r="E42" s="23">
        <f>D42+(C42*G42)*3.6</f>
        <v>50</v>
      </c>
      <c r="F42" s="94">
        <v>50</v>
      </c>
      <c r="G42" s="94">
        <v>69</v>
      </c>
      <c r="H42" s="94">
        <f>H41+G42</f>
        <v>188</v>
      </c>
      <c r="I42" s="95">
        <f>D42/3.6</f>
        <v>13.88888888888889</v>
      </c>
      <c r="J42" s="95">
        <f>F42/3.6</f>
        <v>13.88888888888889</v>
      </c>
      <c r="K42" s="95">
        <f>(I42+J42)/2</f>
        <v>13.88888888888889</v>
      </c>
      <c r="L42" s="95">
        <f>(K42*G42)</f>
        <v>958.3333333333334</v>
      </c>
      <c r="M42" s="95">
        <f>0.5*((J42-I42)^2)*'NEFZ-2 - Startwerte'!$B$3</f>
        <v>0</v>
      </c>
      <c r="N42" s="95">
        <f>L42*'NEFZ-2 - Startwerte'!$B$3*'NEFZ-2 - Startwerte'!$B$6*'NEFZ-2 - Konstanten'!$B$4</f>
        <v>99277.200000000012</v>
      </c>
      <c r="O42" s="95">
        <f>((I42^3+J42^3)/2)/K42</f>
        <v>192.9012345679012</v>
      </c>
      <c r="P42" s="95">
        <f>0.5*'NEFZ-2 - NEFZ Berechnung Zusamm'!$B$9*'NEFZ-2 - Konstanten'!$B$3*O42</f>
        <v>79.88425925925925</v>
      </c>
      <c r="Q42" s="95">
        <f>P42*L42</f>
        <v>76555.748456790127</v>
      </c>
    </row>
    <row r="43" ht="20.35" customHeight="1">
      <c r="A43" s="73">
        <f>A42+1</f>
        <v>12</v>
      </c>
      <c r="B43" t="s" s="93">
        <v>102</v>
      </c>
      <c r="C43" s="23">
        <v>0.43</v>
      </c>
      <c r="D43" s="94">
        <f>F42</f>
        <v>50</v>
      </c>
      <c r="E43" s="23">
        <f>D43+(C43*G43)*3.6</f>
        <v>70.124</v>
      </c>
      <c r="F43" s="94">
        <v>70</v>
      </c>
      <c r="G43" s="94">
        <v>13</v>
      </c>
      <c r="H43" s="94">
        <f>H42+G43</f>
        <v>201</v>
      </c>
      <c r="I43" s="95">
        <f>D43/3.6</f>
        <v>13.88888888888889</v>
      </c>
      <c r="J43" s="95">
        <f>F43/3.6</f>
        <v>19.44444444444444</v>
      </c>
      <c r="K43" s="95">
        <f>(I43+J43)/2</f>
        <v>16.66666666666666</v>
      </c>
      <c r="L43" s="95">
        <f>(K43*G43)</f>
        <v>216.6666666666666</v>
      </c>
      <c r="M43" s="95">
        <f>0.5*((J43-I43)^2)*'NEFZ-2 - Startwerte'!$B$3</f>
        <v>20370.370370370354</v>
      </c>
      <c r="N43" s="95">
        <f>L43*'NEFZ-2 - Startwerte'!$B$3*'NEFZ-2 - Startwerte'!$B$6*'NEFZ-2 - Konstanten'!$B$4</f>
        <v>22445.28</v>
      </c>
      <c r="O43" s="95">
        <f>((I43^3+J43^3)/2)/K43</f>
        <v>300.925925925926</v>
      </c>
      <c r="P43" s="95">
        <f>0.5*'NEFZ-2 - NEFZ Berechnung Zusamm'!$B$9*'NEFZ-2 - Konstanten'!$B$3*O43</f>
        <v>124.6194444444444</v>
      </c>
      <c r="Q43" s="95">
        <f>P43*L43</f>
        <v>27000.879629629624</v>
      </c>
    </row>
    <row r="44" ht="20.35" customHeight="1">
      <c r="A44" s="73">
        <f>A43+1</f>
        <v>13</v>
      </c>
      <c r="B44" t="s" s="93">
        <v>118</v>
      </c>
      <c r="C44" s="23"/>
      <c r="D44" s="94">
        <f>F43</f>
        <v>70</v>
      </c>
      <c r="E44" s="23">
        <f>D44+(C44*G44)*3.6</f>
        <v>70</v>
      </c>
      <c r="F44" s="94">
        <v>70</v>
      </c>
      <c r="G44" s="94">
        <v>50</v>
      </c>
      <c r="H44" s="94">
        <f>H43+G44</f>
        <v>251</v>
      </c>
      <c r="I44" s="95">
        <f>D44/3.6</f>
        <v>19.44444444444444</v>
      </c>
      <c r="J44" s="95">
        <f>F44/3.6</f>
        <v>19.44444444444444</v>
      </c>
      <c r="K44" s="95">
        <f>(I44+J44)/2</f>
        <v>19.44444444444444</v>
      </c>
      <c r="L44" s="95">
        <f>(K44*G44)</f>
        <v>972.2222222222222</v>
      </c>
      <c r="M44" s="95">
        <f>0.5*((J44-I44)^2)*'NEFZ-2 - Startwerte'!$B$3</f>
        <v>0</v>
      </c>
      <c r="N44" s="95">
        <f>L44*'NEFZ-2 - Startwerte'!$B$3*'NEFZ-2 - Startwerte'!$B$6*'NEFZ-2 - Konstanten'!$B$4</f>
        <v>100716</v>
      </c>
      <c r="O44" s="95">
        <f>((I44^3+J44^3)/2)/K44</f>
        <v>378.0864197530864</v>
      </c>
      <c r="P44" s="95">
        <f>0.5*'NEFZ-2 - NEFZ Berechnung Zusamm'!$B$9*'NEFZ-2 - Konstanten'!$B$3*O44</f>
        <v>156.5731481481481</v>
      </c>
      <c r="Q44" s="95">
        <f>P44*L44</f>
        <v>152223.8940329218</v>
      </c>
    </row>
    <row r="45" ht="20.35" customHeight="1">
      <c r="A45" s="73">
        <f>A44+1</f>
        <v>14</v>
      </c>
      <c r="B45" t="s" s="93">
        <v>102</v>
      </c>
      <c r="C45" s="23">
        <v>0.24</v>
      </c>
      <c r="D45" s="94">
        <f>F44</f>
        <v>70</v>
      </c>
      <c r="E45" s="23">
        <f>D45+(C45*G45)*3.6</f>
        <v>100.24</v>
      </c>
      <c r="F45" s="94">
        <v>100</v>
      </c>
      <c r="G45" s="94">
        <v>35</v>
      </c>
      <c r="H45" s="94">
        <f>H44+G45</f>
        <v>286</v>
      </c>
      <c r="I45" s="95">
        <f>D45/3.6</f>
        <v>19.44444444444444</v>
      </c>
      <c r="J45" s="95">
        <f>F45/3.6</f>
        <v>27.77777777777778</v>
      </c>
      <c r="K45" s="95">
        <f>(I45+J45)/2</f>
        <v>23.61111111111111</v>
      </c>
      <c r="L45" s="95">
        <f>(K45*G45)</f>
        <v>826.3888888888889</v>
      </c>
      <c r="M45" s="95">
        <f>0.5*((J45-I45)^2)*'NEFZ-2 - Startwerte'!$B$3</f>
        <v>45833.333333333358</v>
      </c>
      <c r="N45" s="95">
        <f>L45*'NEFZ-2 - Startwerte'!$B$3*'NEFZ-2 - Startwerte'!$B$6*'NEFZ-2 - Konstanten'!$B$4</f>
        <v>85608.599999999991</v>
      </c>
      <c r="O45" s="95">
        <f>((I45^3+J45^3)/2)/K45</f>
        <v>609.5679012345679</v>
      </c>
      <c r="P45" s="95">
        <f>0.5*'NEFZ-2 - NEFZ Berechnung Zusamm'!$B$9*'NEFZ-2 - Konstanten'!$B$3*O45</f>
        <v>252.4342592592592</v>
      </c>
      <c r="Q45" s="95">
        <f>P45*L45</f>
        <v>208608.867026749</v>
      </c>
    </row>
    <row r="46" ht="32.35" customHeight="1">
      <c r="A46" s="73">
        <f>A45+1</f>
        <v>15</v>
      </c>
      <c r="B46" t="s" s="93">
        <v>119</v>
      </c>
      <c r="C46" s="23"/>
      <c r="D46" s="94">
        <f>F45</f>
        <v>100</v>
      </c>
      <c r="E46" s="23">
        <f>D46+(C46*G46)*3.6</f>
        <v>100</v>
      </c>
      <c r="F46" s="94">
        <v>100</v>
      </c>
      <c r="G46" s="94">
        <v>30</v>
      </c>
      <c r="H46" s="94">
        <f>H45+G46</f>
        <v>316</v>
      </c>
      <c r="I46" s="95">
        <f>D46/3.6</f>
        <v>27.77777777777778</v>
      </c>
      <c r="J46" s="95">
        <f>F46/3.6</f>
        <v>27.77777777777778</v>
      </c>
      <c r="K46" s="95">
        <f>(I46+J46)/2</f>
        <v>27.77777777777778</v>
      </c>
      <c r="L46" s="95">
        <f>(K46*G46)</f>
        <v>833.3333333333334</v>
      </c>
      <c r="M46" s="95">
        <f>0.5*((J46-I46)^2)*'NEFZ-2 - Startwerte'!$B$3</f>
        <v>0</v>
      </c>
      <c r="N46" s="95">
        <f>L46*'NEFZ-2 - Startwerte'!$B$3*'NEFZ-2 - Startwerte'!$B$6*'NEFZ-2 - Konstanten'!$B$4</f>
        <v>86328</v>
      </c>
      <c r="O46" s="95">
        <f>((I46^3+J46^3)/2)/K46</f>
        <v>771.604938271605</v>
      </c>
      <c r="P46" s="95">
        <f>0.5*'NEFZ-2 - NEFZ Berechnung Zusamm'!$B$9*'NEFZ-2 - Konstanten'!$B$3*O46</f>
        <v>319.537037037037</v>
      </c>
      <c r="Q46" s="95">
        <f>P46*L46</f>
        <v>266280.8641975308</v>
      </c>
    </row>
    <row r="47" ht="20.35" customHeight="1">
      <c r="A47" s="73">
        <f>A46+1</f>
        <v>16</v>
      </c>
      <c r="B47" t="s" s="93">
        <v>102</v>
      </c>
      <c r="C47" s="23">
        <v>0.28</v>
      </c>
      <c r="D47" s="94">
        <f>F46</f>
        <v>100</v>
      </c>
      <c r="E47" s="23">
        <f>D47+(C47*G47)*3.6</f>
        <v>120.16</v>
      </c>
      <c r="F47" s="94">
        <v>120</v>
      </c>
      <c r="G47" s="94">
        <v>20</v>
      </c>
      <c r="H47" s="94">
        <f>H46+G47</f>
        <v>336</v>
      </c>
      <c r="I47" s="95">
        <f>D47/3.6</f>
        <v>27.77777777777778</v>
      </c>
      <c r="J47" s="95">
        <f>F47/3.6</f>
        <v>33.33333333333334</v>
      </c>
      <c r="K47" s="95">
        <f>(I47+J47)/2</f>
        <v>30.55555555555556</v>
      </c>
      <c r="L47" s="95">
        <f>(K47*G47)</f>
        <v>611.1111111111111</v>
      </c>
      <c r="M47" s="95">
        <f>0.5*((J47-I47)^2)*'NEFZ-2 - Startwerte'!$B$3</f>
        <v>20370.370370370380</v>
      </c>
      <c r="N47" s="95">
        <f>L47*'NEFZ-2 - Startwerte'!$B$3*'NEFZ-2 - Startwerte'!$B$6*'NEFZ-2 - Konstanten'!$B$4</f>
        <v>63307.2</v>
      </c>
      <c r="O47" s="95">
        <f>((I47^3+J47^3)/2)/K47</f>
        <v>956.7901234567902</v>
      </c>
      <c r="P47" s="95">
        <f>0.5*'NEFZ-2 - NEFZ Berechnung Zusamm'!$B$9*'NEFZ-2 - Konstanten'!$B$3*O47</f>
        <v>396.2259259259259</v>
      </c>
      <c r="Q47" s="95">
        <f>P47*L47</f>
        <v>242138.0658436214</v>
      </c>
    </row>
    <row r="48" ht="32.35" customHeight="1">
      <c r="A48" s="73">
        <f>A47+1</f>
        <v>17</v>
      </c>
      <c r="B48" t="s" s="93">
        <v>119</v>
      </c>
      <c r="C48" s="23"/>
      <c r="D48" s="94">
        <f>F47</f>
        <v>120</v>
      </c>
      <c r="E48" s="23">
        <f>D48+(C48*G48)*3.6</f>
        <v>120</v>
      </c>
      <c r="F48" s="94">
        <v>120</v>
      </c>
      <c r="G48" s="94">
        <v>10</v>
      </c>
      <c r="H48" s="94">
        <f>H47+G48</f>
        <v>346</v>
      </c>
      <c r="I48" s="95">
        <f>D48/3.6</f>
        <v>33.33333333333334</v>
      </c>
      <c r="J48" s="95">
        <f>F48/3.6</f>
        <v>33.33333333333334</v>
      </c>
      <c r="K48" s="95">
        <f>(I48+J48)/2</f>
        <v>33.33333333333334</v>
      </c>
      <c r="L48" s="95">
        <f>(K48*G48)</f>
        <v>333.3333333333334</v>
      </c>
      <c r="M48" s="95">
        <f>0.5*((J48-I48)^2)*'NEFZ-2 - Startwerte'!$B$3</f>
        <v>0</v>
      </c>
      <c r="N48" s="95">
        <f>L48*'NEFZ-2 - Startwerte'!$B$3*'NEFZ-2 - Startwerte'!$B$6*'NEFZ-2 - Konstanten'!$B$4</f>
        <v>34531.2</v>
      </c>
      <c r="O48" s="95">
        <f>((I48^3+J48^3)/2)/K48</f>
        <v>1111.111111111111</v>
      </c>
      <c r="P48" s="95">
        <f>0.5*'NEFZ-2 - NEFZ Berechnung Zusamm'!$B$9*'NEFZ-2 - Konstanten'!$B$3*O48</f>
        <v>460.1333333333333</v>
      </c>
      <c r="Q48" s="95">
        <f>P48*L48</f>
        <v>153377.7777777778</v>
      </c>
    </row>
    <row r="49" ht="20.35" customHeight="1">
      <c r="A49" s="73">
        <f>A48+1</f>
        <v>18</v>
      </c>
      <c r="B49" t="s" s="93">
        <v>120</v>
      </c>
      <c r="C49" s="23">
        <v>-0.6899999999999999</v>
      </c>
      <c r="D49" s="94">
        <f>F48</f>
        <v>120</v>
      </c>
      <c r="E49" s="23">
        <f>D49+(C49*G49)*3.6</f>
        <v>80.256</v>
      </c>
      <c r="F49" s="94">
        <v>80</v>
      </c>
      <c r="G49" s="94">
        <v>16</v>
      </c>
      <c r="H49" s="94">
        <f>H48+G49</f>
        <v>362</v>
      </c>
      <c r="I49" s="95">
        <f>D49/3.6</f>
        <v>33.33333333333334</v>
      </c>
      <c r="J49" s="95">
        <f>F49/3.6</f>
        <v>22.22222222222222</v>
      </c>
      <c r="K49" s="95">
        <f>(I49+J49)/2</f>
        <v>27.77777777777778</v>
      </c>
      <c r="L49" s="95">
        <f>(K49*G49)</f>
        <v>444.4444444444445</v>
      </c>
      <c r="M49" s="95">
        <f>0.5*((J49-I49)^2)*'NEFZ-2 - Startwerte'!$B$3</f>
        <v>81481.481481481518</v>
      </c>
      <c r="N49" s="95">
        <f>L49*'NEFZ-2 - Startwerte'!$B$3*'NEFZ-2 - Startwerte'!$B$6*'NEFZ-2 - Konstanten'!$B$4</f>
        <v>46041.6</v>
      </c>
      <c r="O49" s="95">
        <f>((I49^3+J49^3)/2)/K49</f>
        <v>864.1975308641977</v>
      </c>
      <c r="P49" s="95">
        <f>0.5*'NEFZ-2 - NEFZ Berechnung Zusamm'!$B$9*'NEFZ-2 - Konstanten'!$B$3*O49</f>
        <v>357.8814814814815</v>
      </c>
      <c r="Q49" s="95">
        <f>P49*L49</f>
        <v>159058.4362139918</v>
      </c>
    </row>
    <row r="50" ht="20.35" customHeight="1">
      <c r="A50" s="73">
        <f>A49+1</f>
        <v>19</v>
      </c>
      <c r="B50" t="s" s="93">
        <v>120</v>
      </c>
      <c r="C50" s="23">
        <v>-1.04</v>
      </c>
      <c r="D50" s="94">
        <f>F49</f>
        <v>80</v>
      </c>
      <c r="E50" s="23">
        <f>D50+(C50*G50)*3.6</f>
        <v>50.048</v>
      </c>
      <c r="F50" s="94">
        <v>50</v>
      </c>
      <c r="G50" s="94">
        <v>8</v>
      </c>
      <c r="H50" s="94">
        <f>H49+G50</f>
        <v>370</v>
      </c>
      <c r="I50" s="95">
        <f>D50/3.6</f>
        <v>22.22222222222222</v>
      </c>
      <c r="J50" s="95">
        <f>F50/3.6</f>
        <v>13.88888888888889</v>
      </c>
      <c r="K50" s="95">
        <f>(I50+J50)/2</f>
        <v>18.05555555555556</v>
      </c>
      <c r="L50" s="95">
        <f>(K50*G50)</f>
        <v>144.4444444444445</v>
      </c>
      <c r="M50" s="95">
        <f>0.5*((J50-I50)^2)*'NEFZ-2 - Startwerte'!$B$3</f>
        <v>45833.333333333321</v>
      </c>
      <c r="N50" s="95">
        <f>L50*'NEFZ-2 - Startwerte'!$B$3*'NEFZ-2 - Startwerte'!$B$6*'NEFZ-2 - Konstanten'!$B$4</f>
        <v>14963.52</v>
      </c>
      <c r="O50" s="95">
        <f>((I50^3+J50^3)/2)/K50</f>
        <v>378.0864197530864</v>
      </c>
      <c r="P50" s="95">
        <f>0.5*'NEFZ-2 - NEFZ Berechnung Zusamm'!$B$9*'NEFZ-2 - Konstanten'!$B$3*O50</f>
        <v>156.5731481481481</v>
      </c>
      <c r="Q50" s="95">
        <f>P50*L50</f>
        <v>22616.121399176951</v>
      </c>
    </row>
    <row r="51" ht="32.35" customHeight="1">
      <c r="A51" s="73">
        <f>A50+1</f>
        <v>20</v>
      </c>
      <c r="B51" t="s" s="93">
        <v>121</v>
      </c>
      <c r="C51" s="23">
        <v>-1.39</v>
      </c>
      <c r="D51" s="94">
        <f>F50</f>
        <v>50</v>
      </c>
      <c r="E51" s="23">
        <f>D51+(C51*G51)*3.6</f>
        <v>-0.03999999999999915</v>
      </c>
      <c r="F51" s="94">
        <v>0</v>
      </c>
      <c r="G51" s="94">
        <v>10</v>
      </c>
      <c r="H51" s="94">
        <f>H50+G51</f>
        <v>380</v>
      </c>
      <c r="I51" s="95">
        <f>D51/3.6</f>
        <v>13.88888888888889</v>
      </c>
      <c r="J51" s="95">
        <f>F51/3.6</f>
        <v>0</v>
      </c>
      <c r="K51" s="95">
        <f>(I51+J51)/2</f>
        <v>6.944444444444445</v>
      </c>
      <c r="L51" s="95">
        <f>(K51*G51)</f>
        <v>69.44444444444444</v>
      </c>
      <c r="M51" s="95">
        <f>0.5*((J51-I51)^2)*'NEFZ-2 - Startwerte'!$B$3</f>
        <v>127314.8148148148</v>
      </c>
      <c r="N51" s="95">
        <f>L51*'NEFZ-2 - Startwerte'!$B$3*'NEFZ-2 - Startwerte'!$B$6*'NEFZ-2 - Konstanten'!$B$4</f>
        <v>7194.000000000001</v>
      </c>
      <c r="O51" s="95">
        <f>((I51^3+J51^3)/2)/K51</f>
        <v>192.9012345679012</v>
      </c>
      <c r="P51" s="95">
        <f>0.5*'NEFZ-2 - NEFZ Berechnung Zusamm'!$B$9*'NEFZ-2 - Konstanten'!$B$3*O51</f>
        <v>79.88425925925925</v>
      </c>
      <c r="Q51" s="95">
        <f>P51*L51</f>
        <v>5547.518004115226</v>
      </c>
    </row>
    <row r="52" ht="20.35" customHeight="1">
      <c r="A52" s="73">
        <f>A51+1</f>
        <v>21</v>
      </c>
      <c r="B52" t="s" s="93">
        <v>118</v>
      </c>
      <c r="C52" s="23"/>
      <c r="D52" s="94">
        <f>F51</f>
        <v>0</v>
      </c>
      <c r="E52" s="23">
        <f>D52+(C52*G52)*3.6</f>
        <v>0</v>
      </c>
      <c r="F52" s="94">
        <v>0</v>
      </c>
      <c r="G52" s="94">
        <v>20</v>
      </c>
      <c r="H52" s="94">
        <f>H51+G52</f>
        <v>400</v>
      </c>
      <c r="I52" s="95">
        <f>D52/3.6</f>
        <v>0</v>
      </c>
      <c r="J52" s="95">
        <f>F52/3.6</f>
        <v>0</v>
      </c>
      <c r="K52" s="95">
        <f>(I52+J52)/2</f>
        <v>0</v>
      </c>
      <c r="L52" s="95">
        <f>(K52*G52)</f>
        <v>0</v>
      </c>
      <c r="M52" s="95">
        <f>0.5*((J52-I52)^2)*'NEFZ-2 - Startwerte'!$B$3</f>
        <v>0</v>
      </c>
      <c r="N52" s="95">
        <f>L52*'NEFZ-2 - Startwerte'!$B$3*'NEFZ-2 - Startwerte'!$B$6*'NEFZ-2 - Konstanten'!$B$4</f>
        <v>0</v>
      </c>
      <c r="O52" s="95"/>
      <c r="P52" s="95">
        <f>0.5*'NEFZ-2 - NEFZ Berechnung Zusamm'!$B$9*'NEFZ-2 - Konstanten'!$B$3*O52</f>
        <v>0</v>
      </c>
      <c r="Q52" s="95">
        <f>P52*L52</f>
        <v>0</v>
      </c>
    </row>
  </sheetData>
  <mergeCells count="1">
    <mergeCell ref="A1:Q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18.xml><?xml version="1.0" encoding="utf-8"?>
<worksheet xmlns:r="http://schemas.openxmlformats.org/officeDocument/2006/relationships" xmlns="http://schemas.openxmlformats.org/spreadsheetml/2006/main">
  <sheetPr>
    <pageSetUpPr fitToPage="1"/>
  </sheetPr>
  <dimension ref="B1:I25"/>
  <sheetViews>
    <sheetView workbookViewId="0" showGridLines="0" defaultGridColor="1">
      <pane topLeftCell="D2" xSplit="3" ySplit="1" activePane="bottomRight" state="frozen"/>
    </sheetView>
  </sheetViews>
  <sheetFormatPr defaultColWidth="16.3333" defaultRowHeight="18" customHeight="1" outlineLevelRow="0" outlineLevelCol="0"/>
  <cols>
    <col min="1" max="1" width="12.9531" style="114" customWidth="1"/>
    <col min="2" max="2" width="46.3047" style="114" customWidth="1"/>
    <col min="3" max="3" width="16.3516" style="114" customWidth="1"/>
    <col min="4" max="4" width="16.3516" style="114" customWidth="1"/>
    <col min="5" max="5" width="16.3516" style="114" customWidth="1"/>
    <col min="6" max="6" width="16.3516" style="114" customWidth="1"/>
    <col min="7" max="7" width="16.3516" style="114" customWidth="1"/>
    <col min="8" max="8" width="16.3516" style="114" customWidth="1"/>
    <col min="9" max="9" width="16.3516" style="114" customWidth="1"/>
    <col min="10" max="256" width="16.3516" style="114" customWidth="1"/>
  </cols>
  <sheetData>
    <row r="1" ht="32.55" customHeight="1">
      <c r="B1" s="7"/>
      <c r="C1" s="8"/>
      <c r="D1" t="s" s="7">
        <v>53</v>
      </c>
      <c r="E1" t="s" s="7">
        <v>154</v>
      </c>
      <c r="F1" t="s" s="7">
        <v>75</v>
      </c>
      <c r="G1" t="s" s="7">
        <v>155</v>
      </c>
      <c r="H1" t="s" s="7">
        <v>156</v>
      </c>
      <c r="I1" s="7"/>
    </row>
    <row r="2" ht="20.55" customHeight="1">
      <c r="B2" t="s" s="77">
        <v>157</v>
      </c>
      <c r="C2" s="115"/>
      <c r="D2" s="10">
        <v>42.8</v>
      </c>
      <c r="E2" s="11">
        <v>186</v>
      </c>
      <c r="F2" s="11">
        <v>9.5</v>
      </c>
      <c r="G2" s="116">
        <f>(E2/D2*0.0416666666666667)</f>
        <v>0.1810747663551402</v>
      </c>
      <c r="H2" s="11">
        <f>F2*(E2/100)</f>
        <v>17.67</v>
      </c>
      <c r="I2" s="11"/>
    </row>
    <row r="3" ht="20.35" customHeight="1">
      <c r="B3" s="117"/>
      <c r="C3" s="75"/>
      <c r="D3" s="14">
        <v>46</v>
      </c>
      <c r="E3" s="15">
        <v>240</v>
      </c>
      <c r="F3" s="15">
        <v>7.6</v>
      </c>
      <c r="G3" s="118">
        <f>(E3/D3*0.0416666666666667)</f>
        <v>0.2173913043478261</v>
      </c>
      <c r="H3" s="15">
        <f>F3*(E3/100)</f>
        <v>18.24</v>
      </c>
      <c r="I3" s="15"/>
    </row>
    <row r="4" ht="20.35" customHeight="1">
      <c r="B4" s="117"/>
      <c r="C4" s="75"/>
      <c r="D4" s="14">
        <v>51.1</v>
      </c>
      <c r="E4" s="15">
        <v>150</v>
      </c>
      <c r="F4" s="15">
        <v>8.9</v>
      </c>
      <c r="G4" s="118">
        <f>(E4/D4*0.0416666666666667)</f>
        <v>0.1223091976516634</v>
      </c>
      <c r="H4" s="15">
        <f>F4*(E4/100)</f>
        <v>13.35</v>
      </c>
      <c r="I4" s="15"/>
    </row>
    <row r="5" ht="20.35" customHeight="1">
      <c r="B5" s="117"/>
      <c r="C5" s="75"/>
      <c r="D5" s="14">
        <v>56.2</v>
      </c>
      <c r="E5" s="15">
        <v>185</v>
      </c>
      <c r="F5" s="15">
        <v>9.800000000000001</v>
      </c>
      <c r="G5" s="118">
        <f>(E5/D5*0.0416666666666667)</f>
        <v>0.137158956109134</v>
      </c>
      <c r="H5" s="15">
        <f>F5*(E5/100)</f>
        <v>18.13</v>
      </c>
      <c r="I5" s="15"/>
    </row>
    <row r="6" ht="20.35" customHeight="1">
      <c r="B6" s="117"/>
      <c r="C6" s="75"/>
      <c r="D6" s="14">
        <v>82.7</v>
      </c>
      <c r="E6" s="15">
        <v>165</v>
      </c>
      <c r="F6" s="15">
        <v>10.6</v>
      </c>
      <c r="G6" s="118">
        <f>(E6/D6*0.0416666666666667)</f>
        <v>0.08313180169286578</v>
      </c>
      <c r="H6" s="15">
        <f>F6*(E6/100)</f>
        <v>17.49</v>
      </c>
      <c r="I6" s="15"/>
    </row>
    <row r="7" ht="20.35" customHeight="1">
      <c r="B7" s="117"/>
      <c r="C7" s="75"/>
      <c r="D7" s="14">
        <v>82.5</v>
      </c>
      <c r="E7" s="15">
        <v>169</v>
      </c>
      <c r="F7" s="15">
        <v>10.5</v>
      </c>
      <c r="G7" s="118">
        <f>(E7/D7*0.0416666666666667)</f>
        <v>0.08535353535353535</v>
      </c>
      <c r="H7" s="15">
        <f>F7*(E7/100)</f>
        <v>17.745</v>
      </c>
      <c r="I7" s="15"/>
    </row>
    <row r="8" ht="20.35" customHeight="1">
      <c r="B8" s="117"/>
      <c r="C8" s="75"/>
      <c r="D8" s="14">
        <v>101.4</v>
      </c>
      <c r="E8" s="15">
        <v>71</v>
      </c>
      <c r="F8" s="15">
        <v>22.4</v>
      </c>
      <c r="G8" s="118">
        <f>(E8/D8*0.0416666666666667)</f>
        <v>0.02917488494411571</v>
      </c>
      <c r="H8" s="15">
        <f>F8*(E8/100)</f>
        <v>15.904</v>
      </c>
      <c r="I8" s="15"/>
    </row>
    <row r="9" ht="20.35" customHeight="1">
      <c r="B9" s="117"/>
      <c r="C9" s="75"/>
      <c r="D9" s="14">
        <v>52.4</v>
      </c>
      <c r="E9" s="15">
        <v>202</v>
      </c>
      <c r="F9" s="15">
        <v>9</v>
      </c>
      <c r="G9" s="118">
        <f>(E9/D9*0.0416666666666667)</f>
        <v>0.1606234096692112</v>
      </c>
      <c r="H9" s="15">
        <f>F9*(E9/100)</f>
        <v>18.18</v>
      </c>
      <c r="I9" s="15"/>
    </row>
    <row r="10" ht="20.35" customHeight="1">
      <c r="B10" s="117"/>
      <c r="C10" t="s" s="13">
        <v>158</v>
      </c>
      <c r="D10" s="14">
        <v>82.5</v>
      </c>
      <c r="E10" s="15">
        <v>169</v>
      </c>
      <c r="F10" s="15">
        <v>10.5</v>
      </c>
      <c r="G10" s="118">
        <f>(E10/D10*0.0416666666666667)</f>
        <v>0.08535353535353535</v>
      </c>
      <c r="H10" s="15">
        <f>F10*(E10/100)</f>
        <v>17.745</v>
      </c>
      <c r="I10" s="15"/>
    </row>
    <row r="11" ht="20.35" customHeight="1">
      <c r="B11" s="117"/>
      <c r="C11" s="75"/>
      <c r="D11" s="14">
        <v>48</v>
      </c>
      <c r="E11" s="15">
        <v>215</v>
      </c>
      <c r="F11" s="15">
        <v>8.4</v>
      </c>
      <c r="G11" s="118">
        <f>(E11/D11*0.0416666666666667)</f>
        <v>0.1866319444444445</v>
      </c>
      <c r="H11" s="15">
        <f>F11*(E11/100)</f>
        <v>18.06</v>
      </c>
      <c r="I11" s="15"/>
    </row>
    <row r="12" ht="20.35" customHeight="1">
      <c r="B12" s="117"/>
      <c r="C12" s="75"/>
      <c r="D12" s="14">
        <v>46</v>
      </c>
      <c r="E12" s="15">
        <v>240</v>
      </c>
      <c r="F12" s="15">
        <v>7.6</v>
      </c>
      <c r="G12" s="118">
        <f>(E12/D12*0.0416666666666667)</f>
        <v>0.2173913043478261</v>
      </c>
      <c r="H12" s="15">
        <f>F12*(E12/100)</f>
        <v>18.24</v>
      </c>
      <c r="I12" s="15"/>
    </row>
    <row r="13" ht="20.35" customHeight="1">
      <c r="B13" s="117"/>
      <c r="C13" t="s" s="13">
        <v>159</v>
      </c>
      <c r="D13" s="14">
        <v>82.2</v>
      </c>
      <c r="E13" s="15">
        <v>172</v>
      </c>
      <c r="F13" s="15">
        <v>10.6</v>
      </c>
      <c r="G13" s="118">
        <f>(E13/D13*0.0416666666666667)</f>
        <v>0.08718572587185726</v>
      </c>
      <c r="H13" s="15">
        <f>F13*(E13/100)</f>
        <v>18.232</v>
      </c>
      <c r="I13" s="15"/>
    </row>
    <row r="14" ht="20.35" customHeight="1">
      <c r="B14" s="117"/>
      <c r="C14" s="75"/>
      <c r="D14" s="14">
        <v>42.8</v>
      </c>
      <c r="E14" s="15">
        <v>186</v>
      </c>
      <c r="F14" s="15">
        <v>9.5</v>
      </c>
      <c r="G14" s="118">
        <f>(E14/D14*0.0416666666666667)</f>
        <v>0.1810747663551402</v>
      </c>
      <c r="H14" s="15">
        <f>F14*(E14/100)</f>
        <v>17.67</v>
      </c>
      <c r="I14" s="15"/>
    </row>
    <row r="15" ht="20.35" customHeight="1">
      <c r="B15" s="117"/>
      <c r="C15" s="75"/>
      <c r="D15" s="14">
        <v>51.1</v>
      </c>
      <c r="E15" s="15">
        <v>190</v>
      </c>
      <c r="F15" s="15">
        <v>8.9</v>
      </c>
      <c r="G15" s="118">
        <f>(E15/D15*0.0416666666666667)</f>
        <v>0.154924983692107</v>
      </c>
      <c r="H15" s="15">
        <f>F15*(E15/100)</f>
        <v>16.91</v>
      </c>
      <c r="I15" s="15"/>
    </row>
    <row r="16" ht="20.35" customHeight="1">
      <c r="B16" s="117"/>
      <c r="C16" s="75"/>
      <c r="D16" s="14">
        <v>56.2</v>
      </c>
      <c r="E16" s="15">
        <v>185</v>
      </c>
      <c r="F16" s="15">
        <v>9.800000000000001</v>
      </c>
      <c r="G16" s="118">
        <f>(E16/D16*0.0416666666666667)</f>
        <v>0.137158956109134</v>
      </c>
      <c r="H16" s="15">
        <f>F16*(E16/100)</f>
        <v>18.13</v>
      </c>
      <c r="I16" s="15"/>
    </row>
    <row r="17" ht="20.35" customHeight="1">
      <c r="B17" t="s" s="81">
        <v>160</v>
      </c>
      <c r="C17" t="s" s="13">
        <v>161</v>
      </c>
      <c r="D17" s="14">
        <v>77.90000000000001</v>
      </c>
      <c r="E17" s="15">
        <v>167</v>
      </c>
      <c r="F17" s="15">
        <v>12</v>
      </c>
      <c r="G17" s="118">
        <f>(E17/D17*0.0416666666666667)</f>
        <v>0.08932391955498502</v>
      </c>
      <c r="H17" s="15">
        <f>F17*(E17/100)</f>
        <v>20.04</v>
      </c>
      <c r="I17" s="15"/>
    </row>
    <row r="18" ht="20.35" customHeight="1">
      <c r="B18" s="117"/>
      <c r="C18" t="s" s="13">
        <v>161</v>
      </c>
      <c r="D18" s="14">
        <v>78.2</v>
      </c>
      <c r="E18" s="15">
        <v>146</v>
      </c>
      <c r="F18" s="15">
        <v>12.6</v>
      </c>
      <c r="G18" s="118">
        <f>(E18/D18*0.0416666666666667)</f>
        <v>0.0777919863597613</v>
      </c>
      <c r="H18" s="15">
        <f>F18*(E18/100)</f>
        <v>18.396</v>
      </c>
      <c r="I18" s="15"/>
    </row>
    <row r="19" ht="20.35" customHeight="1">
      <c r="B19" s="117"/>
      <c r="C19" t="s" s="13">
        <v>161</v>
      </c>
      <c r="D19" s="14">
        <v>78.90000000000001</v>
      </c>
      <c r="E19" s="15">
        <v>171</v>
      </c>
      <c r="F19" s="15">
        <v>11.4</v>
      </c>
      <c r="G19" s="118">
        <f>(E19/D19*0.0416666666666667)</f>
        <v>0.0903041825095057</v>
      </c>
      <c r="H19" s="15">
        <f>F19*(E19/100)</f>
        <v>19.494</v>
      </c>
      <c r="I19" s="15"/>
    </row>
    <row r="20" ht="20.35" customHeight="1">
      <c r="B20" s="117"/>
      <c r="C20" t="s" s="13">
        <v>162</v>
      </c>
      <c r="D20" s="14">
        <v>89.59999999999999</v>
      </c>
      <c r="E20" s="15">
        <v>128</v>
      </c>
      <c r="F20" s="15">
        <v>12.8</v>
      </c>
      <c r="G20" s="118">
        <f>(E20/D20*0.0416666666666667)</f>
        <v>0.05952380952380953</v>
      </c>
      <c r="H20" s="15">
        <f>F20*(E20/100)</f>
        <v>16.384</v>
      </c>
      <c r="I20" s="15"/>
    </row>
    <row r="21" ht="68.35" customHeight="1">
      <c r="B21" t="s" s="81">
        <v>163</v>
      </c>
      <c r="C21" s="75"/>
      <c r="D21" s="14">
        <v>42.2</v>
      </c>
      <c r="E21" s="15"/>
      <c r="F21" s="15">
        <v>9.199999999999999</v>
      </c>
      <c r="G21" s="118">
        <f>(E21/D21*0.0416666666666667)</f>
        <v>0</v>
      </c>
      <c r="H21" s="15">
        <f>F21*(E21/100)</f>
        <v>0</v>
      </c>
      <c r="I21" s="15"/>
    </row>
    <row r="22" ht="20.35" customHeight="1">
      <c r="B22" t="s" s="81">
        <v>164</v>
      </c>
      <c r="C22" s="75"/>
      <c r="D22" s="14">
        <v>92</v>
      </c>
      <c r="E22" s="15"/>
      <c r="F22" s="15">
        <v>13.5</v>
      </c>
      <c r="G22" s="118">
        <f>(E22/D22*0.0416666666666667)</f>
        <v>0</v>
      </c>
      <c r="H22" s="15">
        <f>F22*(E22/100)</f>
        <v>0</v>
      </c>
      <c r="I22" s="15"/>
    </row>
    <row r="23" ht="20.35" customHeight="1">
      <c r="B23" s="117"/>
      <c r="C23" s="75"/>
      <c r="D23" s="14">
        <v>120</v>
      </c>
      <c r="E23" s="15"/>
      <c r="F23" s="15">
        <v>18.2</v>
      </c>
      <c r="G23" s="118">
        <f>(E23/D23*0.0416666666666667)</f>
        <v>0</v>
      </c>
      <c r="H23" s="15">
        <f>F23*(E23/100)</f>
        <v>0</v>
      </c>
      <c r="I23" s="15"/>
    </row>
    <row r="24" ht="20.35" customHeight="1">
      <c r="B24" s="117"/>
      <c r="C24" s="75"/>
      <c r="D24" s="14">
        <v>125</v>
      </c>
      <c r="E24" s="15"/>
      <c r="F24" s="15">
        <v>18.7</v>
      </c>
      <c r="G24" s="118">
        <f>(E24/D24*0.0416666666666667)</f>
        <v>0</v>
      </c>
      <c r="H24" s="15">
        <f>F24*(E24/100)</f>
        <v>0</v>
      </c>
      <c r="I24" s="15"/>
    </row>
    <row r="25" ht="20.35" customHeight="1">
      <c r="B25" s="117"/>
      <c r="C25" s="75"/>
      <c r="D25" s="14">
        <v>130</v>
      </c>
      <c r="E25" s="15"/>
      <c r="F25" s="15">
        <v>19.4</v>
      </c>
      <c r="G25" s="118">
        <f>(E25/D25*0.0416666666666667)</f>
        <v>0</v>
      </c>
      <c r="H25" s="15">
        <f>F25*(E25/100)</f>
        <v>0</v>
      </c>
      <c r="I25" s="15"/>
    </row>
  </sheetData>
  <mergeCells count="3">
    <mergeCell ref="B22:B25"/>
    <mergeCell ref="B17:B20"/>
    <mergeCell ref="B2:B16"/>
  </mergeCells>
  <hyperlinks>
    <hyperlink ref="B22"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2"/>
</worksheet>
</file>

<file path=xl/worksheets/sheet19.xml><?xml version="1.0" encoding="utf-8"?>
<worksheet xmlns:r="http://schemas.openxmlformats.org/officeDocument/2006/relationships" xmlns="http://schemas.openxmlformats.org/spreadsheetml/2006/main">
  <sheetPr>
    <pageSetUpPr fitToPage="1"/>
  </sheetPr>
  <dimension ref="A2:S5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19" customWidth="1"/>
    <col min="2" max="2" width="16.3516" style="119" customWidth="1"/>
    <col min="3" max="3" width="16.3516" style="119" customWidth="1"/>
    <col min="4" max="4" width="12.0781" style="119" customWidth="1"/>
    <col min="5" max="5" width="11.5391" style="119" customWidth="1"/>
    <col min="6" max="6" width="13.3281" style="119" customWidth="1"/>
    <col min="7" max="7" width="16.3516" style="119" customWidth="1"/>
    <col min="8" max="8" width="16.3516" style="119" customWidth="1"/>
    <col min="9" max="9" width="21.5391" style="119" customWidth="1"/>
    <col min="10" max="10" width="8.14062" style="119" customWidth="1"/>
    <col min="11" max="11" width="16.3516" style="119" customWidth="1"/>
    <col min="12" max="12" width="16.3516" style="119" customWidth="1"/>
    <col min="13" max="13" width="8.86719" style="119" customWidth="1"/>
    <col min="14" max="14" width="8.86719" style="119" customWidth="1"/>
    <col min="15" max="15" width="8.86719" style="119" customWidth="1"/>
    <col min="16" max="16" width="8.86719" style="119" customWidth="1"/>
    <col min="17" max="17" width="8.86719" style="119" customWidth="1"/>
    <col min="18" max="18" width="8.86719" style="119" customWidth="1"/>
    <col min="19" max="19" width="8.86719" style="119" customWidth="1"/>
    <col min="20" max="256" width="16.3516" style="119" customWidth="1"/>
  </cols>
  <sheetData>
    <row r="1" ht="28" customHeight="1">
      <c r="A1" t="s" s="25">
        <v>5</v>
      </c>
      <c r="B1" s="25"/>
      <c r="C1" s="25"/>
      <c r="D1" s="25"/>
      <c r="E1" s="25"/>
      <c r="F1" s="25"/>
      <c r="G1" s="25"/>
      <c r="H1" s="25"/>
      <c r="I1" s="25"/>
      <c r="J1" s="25"/>
      <c r="K1" s="25"/>
      <c r="L1" s="25"/>
      <c r="M1" s="25"/>
      <c r="N1" s="25"/>
      <c r="O1" s="25"/>
      <c r="P1" s="25"/>
      <c r="Q1" s="25"/>
      <c r="R1" s="25"/>
      <c r="S1" s="25"/>
    </row>
    <row r="2" ht="20.55" customHeight="1">
      <c r="A2" s="8"/>
      <c r="B2" s="8"/>
      <c r="C2" s="8"/>
      <c r="D2" s="8"/>
      <c r="E2" s="8"/>
      <c r="F2" s="8"/>
      <c r="G2" s="8"/>
      <c r="H2" s="8"/>
      <c r="I2" s="8"/>
      <c r="J2" s="8"/>
      <c r="K2" s="8"/>
      <c r="L2" s="8"/>
      <c r="M2" s="8"/>
      <c r="N2" s="8"/>
      <c r="O2" s="8"/>
      <c r="P2" s="8"/>
      <c r="Q2" s="8"/>
      <c r="R2" s="8"/>
      <c r="S2" s="8"/>
    </row>
    <row r="3" ht="20.55" customHeight="1">
      <c r="A3" s="115"/>
      <c r="B3" t="s" s="89">
        <v>10</v>
      </c>
      <c r="C3" s="11">
        <v>1245</v>
      </c>
      <c r="D3" t="s" s="12">
        <v>11</v>
      </c>
      <c r="E3" s="11">
        <v>9.81</v>
      </c>
      <c r="F3" s="91"/>
      <c r="G3" s="91"/>
      <c r="H3" s="91"/>
      <c r="I3" s="91"/>
      <c r="J3" s="91"/>
      <c r="K3" s="91"/>
      <c r="L3" s="91"/>
      <c r="M3" s="91"/>
      <c r="N3" s="91"/>
      <c r="O3" s="91"/>
      <c r="P3" s="91"/>
      <c r="Q3" s="91"/>
      <c r="R3" s="91"/>
      <c r="S3" s="91"/>
    </row>
    <row r="4" ht="20.35" customHeight="1">
      <c r="A4" s="75"/>
      <c r="B4" t="s" s="93">
        <v>166</v>
      </c>
      <c r="C4" s="15">
        <v>30.1</v>
      </c>
      <c r="D4" t="s" s="16">
        <v>13</v>
      </c>
      <c r="E4" s="19"/>
      <c r="F4" s="19"/>
      <c r="G4" t="s" s="16">
        <v>167</v>
      </c>
      <c r="H4" s="15">
        <v>30</v>
      </c>
      <c r="I4" s="15">
        <v>1.1644</v>
      </c>
      <c r="J4" s="19"/>
      <c r="K4" s="19"/>
      <c r="L4" s="19"/>
      <c r="M4" s="19"/>
      <c r="N4" s="19"/>
      <c r="O4" s="19"/>
      <c r="P4" s="19"/>
      <c r="Q4" s="19"/>
      <c r="R4" s="19"/>
      <c r="S4" s="19"/>
    </row>
    <row r="5" ht="20.35" customHeight="1">
      <c r="A5" s="75"/>
      <c r="B5" t="s" s="93">
        <v>168</v>
      </c>
      <c r="C5" s="15">
        <v>70</v>
      </c>
      <c r="D5" t="s" s="16">
        <v>169</v>
      </c>
      <c r="E5" s="19"/>
      <c r="F5" s="19"/>
      <c r="G5" s="19"/>
      <c r="H5" s="15">
        <v>25</v>
      </c>
      <c r="I5" s="15">
        <v>1.1839</v>
      </c>
      <c r="J5" s="19"/>
      <c r="K5" s="19"/>
      <c r="L5" s="19"/>
      <c r="M5" s="19"/>
      <c r="N5" s="19"/>
      <c r="O5" s="19"/>
      <c r="P5" s="19"/>
      <c r="Q5" s="19"/>
      <c r="R5" s="19"/>
      <c r="S5" s="19"/>
    </row>
    <row r="6" ht="20.35" customHeight="1">
      <c r="A6" s="75"/>
      <c r="B6" t="s" s="93">
        <v>170</v>
      </c>
      <c r="C6" s="15">
        <v>0.011</v>
      </c>
      <c r="D6" t="s" s="16">
        <v>171</v>
      </c>
      <c r="E6" s="19"/>
      <c r="F6" s="19"/>
      <c r="G6" s="19"/>
      <c r="H6" s="15">
        <v>20</v>
      </c>
      <c r="I6" s="15">
        <v>1.2041</v>
      </c>
      <c r="J6" s="19"/>
      <c r="K6" s="19"/>
      <c r="L6" s="19"/>
      <c r="M6" s="19"/>
      <c r="N6" s="19"/>
      <c r="O6" s="19"/>
      <c r="P6" s="19"/>
      <c r="Q6" s="19"/>
      <c r="R6" s="19"/>
      <c r="S6" s="19"/>
    </row>
    <row r="7" ht="18" customHeight="1">
      <c r="A7" s="75"/>
      <c r="B7" t="s" s="93">
        <v>172</v>
      </c>
      <c r="C7" s="15">
        <v>0.6</v>
      </c>
      <c r="D7" s="19"/>
      <c r="E7" s="19"/>
      <c r="F7" s="19"/>
      <c r="G7" s="19"/>
      <c r="H7" s="15">
        <v>15</v>
      </c>
      <c r="I7" s="15">
        <v>1.225</v>
      </c>
      <c r="J7" s="19"/>
      <c r="K7" s="19"/>
      <c r="L7" s="19"/>
      <c r="M7" s="19"/>
      <c r="N7" s="19"/>
      <c r="O7" s="19"/>
      <c r="P7" s="19"/>
      <c r="Q7" s="19"/>
      <c r="R7" s="19"/>
      <c r="S7" s="19"/>
    </row>
    <row r="8" ht="20.35" customHeight="1">
      <c r="A8" s="75"/>
      <c r="B8" t="s" s="93">
        <v>173</v>
      </c>
      <c r="C8" s="15">
        <v>0.7</v>
      </c>
      <c r="D8" s="15"/>
      <c r="E8" s="19"/>
      <c r="F8" s="19"/>
      <c r="G8" s="19"/>
      <c r="H8" s="15">
        <v>10</v>
      </c>
      <c r="I8" s="15">
        <v>1.2466</v>
      </c>
      <c r="J8" s="19"/>
      <c r="K8" s="19"/>
      <c r="L8" s="19"/>
      <c r="M8" s="19"/>
      <c r="N8" s="19"/>
      <c r="O8" s="19"/>
      <c r="P8" s="19"/>
      <c r="Q8" s="19"/>
      <c r="R8" s="19"/>
      <c r="S8" s="19"/>
    </row>
    <row r="9" ht="20.35" customHeight="1">
      <c r="A9" s="75"/>
      <c r="B9" t="s" s="93">
        <v>19</v>
      </c>
      <c r="C9" s="15">
        <v>0.29</v>
      </c>
      <c r="D9" s="15"/>
      <c r="E9" t="s" s="16">
        <v>174</v>
      </c>
      <c r="F9" s="15">
        <f>C9*C10</f>
        <v>0.6901999999999999</v>
      </c>
      <c r="G9" s="19"/>
      <c r="H9" s="15">
        <v>5</v>
      </c>
      <c r="I9" s="15">
        <v>1.269</v>
      </c>
      <c r="J9" s="19"/>
      <c r="K9" s="19"/>
      <c r="L9" s="19"/>
      <c r="M9" s="19"/>
      <c r="N9" s="19"/>
      <c r="O9" s="19"/>
      <c r="P9" s="19"/>
      <c r="Q9" s="19"/>
      <c r="R9" s="19"/>
      <c r="S9" s="19"/>
    </row>
    <row r="10" ht="20.35" customHeight="1">
      <c r="A10" s="75"/>
      <c r="B10" t="s" s="93">
        <v>20</v>
      </c>
      <c r="C10" s="15">
        <v>2.38</v>
      </c>
      <c r="D10" t="s" s="16">
        <v>21</v>
      </c>
      <c r="E10" s="19"/>
      <c r="F10" s="19"/>
      <c r="G10" s="19"/>
      <c r="H10" s="15">
        <v>0</v>
      </c>
      <c r="I10" s="15">
        <v>1.292</v>
      </c>
      <c r="J10" s="19"/>
      <c r="K10" s="19"/>
      <c r="L10" s="19"/>
      <c r="M10" s="19"/>
      <c r="N10" s="19"/>
      <c r="O10" s="19"/>
      <c r="P10" s="19"/>
      <c r="Q10" s="19"/>
      <c r="R10" s="19"/>
      <c r="S10" s="19"/>
    </row>
    <row r="11" ht="20.35" customHeight="1">
      <c r="A11" s="75"/>
      <c r="B11" t="s" s="93">
        <v>34</v>
      </c>
      <c r="C11" s="15">
        <v>1.2041</v>
      </c>
      <c r="D11" s="19"/>
      <c r="E11" s="19"/>
      <c r="F11" s="19"/>
      <c r="G11" s="19"/>
      <c r="H11" s="15">
        <v>-5</v>
      </c>
      <c r="I11" s="15">
        <v>1.3163</v>
      </c>
      <c r="J11" s="19"/>
      <c r="K11" s="19"/>
      <c r="L11" s="19"/>
      <c r="M11" s="19"/>
      <c r="N11" s="19"/>
      <c r="O11" s="19"/>
      <c r="P11" s="19"/>
      <c r="Q11" s="19"/>
      <c r="R11" s="19"/>
      <c r="S11" s="19"/>
    </row>
    <row r="12" ht="18" customHeight="1">
      <c r="A12" s="75"/>
      <c r="B12" t="s" s="93">
        <v>175</v>
      </c>
      <c r="C12" s="15">
        <f>C3*E3*C6</f>
        <v>134.34795</v>
      </c>
      <c r="D12" s="19"/>
      <c r="E12" s="19"/>
      <c r="F12" s="19"/>
      <c r="G12" s="19"/>
      <c r="H12" s="15">
        <f>-10</f>
        <v>-10</v>
      </c>
      <c r="I12" s="15">
        <v>1.3413</v>
      </c>
      <c r="J12" s="19"/>
      <c r="K12" s="19"/>
      <c r="L12" s="19"/>
      <c r="M12" s="19"/>
      <c r="N12" s="19"/>
      <c r="O12" s="19"/>
      <c r="P12" s="19"/>
      <c r="Q12" s="19"/>
      <c r="R12" s="19"/>
      <c r="S12" s="19"/>
    </row>
    <row r="13" ht="32.35" customHeight="1">
      <c r="A13" s="75"/>
      <c r="B13" t="s" s="93">
        <v>176</v>
      </c>
      <c r="C13" s="15">
        <v>0.3</v>
      </c>
      <c r="D13" t="s" s="16">
        <v>24</v>
      </c>
      <c r="E13" s="19"/>
      <c r="F13" s="19"/>
      <c r="G13" s="19"/>
      <c r="H13" t="s" s="16">
        <v>177</v>
      </c>
      <c r="I13" t="s" s="16">
        <v>57</v>
      </c>
      <c r="J13" s="15">
        <v>-10</v>
      </c>
      <c r="K13" s="15">
        <v>-5</v>
      </c>
      <c r="L13" s="15">
        <v>0</v>
      </c>
      <c r="M13" s="15">
        <v>5</v>
      </c>
      <c r="N13" s="15">
        <v>10</v>
      </c>
      <c r="O13" s="15">
        <v>15</v>
      </c>
      <c r="P13" s="15">
        <v>20</v>
      </c>
      <c r="Q13" s="15">
        <v>25</v>
      </c>
      <c r="R13" s="15">
        <v>30</v>
      </c>
      <c r="S13" s="15">
        <v>35</v>
      </c>
    </row>
    <row r="14" ht="20.35" customHeight="1">
      <c r="A14" s="75"/>
      <c r="B14" s="93"/>
      <c r="C14" s="15"/>
      <c r="D14" s="16"/>
      <c r="E14" s="19"/>
      <c r="F14" s="19"/>
      <c r="G14" s="19"/>
      <c r="H14" s="16"/>
      <c r="I14" t="s" s="16">
        <v>170</v>
      </c>
      <c r="J14" s="15">
        <v>0.015</v>
      </c>
      <c r="K14" s="15">
        <v>0.015</v>
      </c>
      <c r="L14" s="15">
        <v>0.015</v>
      </c>
      <c r="M14" s="15">
        <v>0.015</v>
      </c>
      <c r="N14" s="15">
        <v>0.015</v>
      </c>
      <c r="O14" s="15">
        <v>0.011</v>
      </c>
      <c r="P14" s="15">
        <v>0.011</v>
      </c>
      <c r="Q14" s="15">
        <v>0.011</v>
      </c>
      <c r="R14" s="15">
        <v>0.011</v>
      </c>
      <c r="S14" s="15">
        <v>0.011</v>
      </c>
    </row>
    <row r="15" ht="20.35" customHeight="1">
      <c r="A15" s="75"/>
      <c r="B15" s="74"/>
      <c r="C15" s="19"/>
      <c r="D15" s="19"/>
      <c r="E15" s="19"/>
      <c r="F15" s="19"/>
      <c r="G15" s="19"/>
      <c r="H15" s="15">
        <v>1.5</v>
      </c>
      <c r="I15" t="s" s="16">
        <v>34</v>
      </c>
      <c r="J15" s="15">
        <v>1.3413</v>
      </c>
      <c r="K15" s="15">
        <v>1.3163</v>
      </c>
      <c r="L15" s="15">
        <v>1.292</v>
      </c>
      <c r="M15" s="15">
        <v>1.269</v>
      </c>
      <c r="N15" s="15">
        <v>1.2466</v>
      </c>
      <c r="O15" s="15">
        <v>1.225</v>
      </c>
      <c r="P15" s="15">
        <v>1.2041</v>
      </c>
      <c r="Q15" s="15">
        <v>1.1839</v>
      </c>
      <c r="R15" s="15">
        <v>1.1644</v>
      </c>
      <c r="S15" s="15">
        <v>1.1455</v>
      </c>
    </row>
    <row r="16" ht="20.35" customHeight="1">
      <c r="A16" s="75"/>
      <c r="B16" s="74"/>
      <c r="C16" s="19"/>
      <c r="D16" s="19"/>
      <c r="E16" s="19"/>
      <c r="F16" s="19"/>
      <c r="G16" s="19"/>
      <c r="H16" s="15">
        <v>-10</v>
      </c>
      <c r="I16" t="s" s="16">
        <v>178</v>
      </c>
      <c r="J16" s="15">
        <v>1.5</v>
      </c>
      <c r="K16" s="15">
        <v>1.2</v>
      </c>
      <c r="L16" s="15">
        <v>1</v>
      </c>
      <c r="M16" s="15">
        <v>0.5</v>
      </c>
      <c r="N16" s="15">
        <v>0.5</v>
      </c>
      <c r="O16" s="15">
        <v>0</v>
      </c>
      <c r="P16" s="15">
        <v>0</v>
      </c>
      <c r="Q16" s="15">
        <v>0</v>
      </c>
      <c r="R16" s="15">
        <v>1</v>
      </c>
      <c r="S16" s="15">
        <v>1</v>
      </c>
    </row>
    <row r="17" ht="20.35" customHeight="1">
      <c r="A17" s="75"/>
      <c r="B17" s="74"/>
      <c r="C17" s="19"/>
      <c r="D17" s="19"/>
      <c r="E17" s="19"/>
      <c r="F17" s="19"/>
      <c r="G17" s="19"/>
      <c r="H17" s="15"/>
      <c r="I17" t="s" s="16">
        <v>179</v>
      </c>
      <c r="J17" s="15">
        <f>$C$13+J16</f>
        <v>1.8</v>
      </c>
      <c r="K17" s="15">
        <f>$C$13+K16</f>
        <v>1.5</v>
      </c>
      <c r="L17" s="15">
        <f>$C$13+L16</f>
        <v>1.3</v>
      </c>
      <c r="M17" s="15">
        <f>$C$13+M16</f>
        <v>0.8</v>
      </c>
      <c r="N17" s="15">
        <f>$C$13+N16</f>
        <v>0.8</v>
      </c>
      <c r="O17" s="15">
        <f>$C$13+O16</f>
        <v>0.3</v>
      </c>
      <c r="P17" s="15">
        <f>$C$13+P16</f>
        <v>0.3</v>
      </c>
      <c r="Q17" s="15">
        <f>$C$13+Q16</f>
        <v>0.3</v>
      </c>
      <c r="R17" s="15">
        <f>$C$13+R16</f>
        <v>1.3</v>
      </c>
      <c r="S17" s="15">
        <f>$C$13+S16</f>
        <v>1.3</v>
      </c>
    </row>
    <row r="18" ht="20.35" customHeight="1">
      <c r="A18" s="75"/>
      <c r="B18" s="74"/>
      <c r="C18" s="19"/>
      <c r="D18" s="19"/>
      <c r="E18" s="19"/>
      <c r="F18" s="19"/>
      <c r="G18" s="19"/>
      <c r="H18" s="15"/>
      <c r="I18" t="s" s="16">
        <v>180</v>
      </c>
      <c r="J18" s="18">
        <v>0.5</v>
      </c>
      <c r="K18" s="18">
        <v>0.6</v>
      </c>
      <c r="L18" s="18">
        <v>0.7</v>
      </c>
      <c r="M18" s="18">
        <v>0.75</v>
      </c>
      <c r="N18" s="18">
        <v>0.8</v>
      </c>
      <c r="O18" s="18">
        <v>0.9</v>
      </c>
      <c r="P18" s="18">
        <v>0.95</v>
      </c>
      <c r="Q18" s="18">
        <v>1</v>
      </c>
      <c r="R18" s="18">
        <v>0.95</v>
      </c>
      <c r="S18" s="18">
        <v>0.9</v>
      </c>
    </row>
    <row r="19" ht="20.35" customHeight="1">
      <c r="A19" s="75"/>
      <c r="B19" s="74"/>
      <c r="C19" s="19"/>
      <c r="D19" s="19"/>
      <c r="E19" s="19"/>
      <c r="F19" s="19"/>
      <c r="G19" s="19"/>
      <c r="H19" s="15"/>
      <c r="I19" t="s" s="16">
        <v>38</v>
      </c>
      <c r="J19" s="15">
        <f>$C$4*J18</f>
        <v>15.05</v>
      </c>
      <c r="K19" s="15">
        <f>$C$4*K18</f>
        <v>18.06</v>
      </c>
      <c r="L19" s="15">
        <f>$C$4*L18</f>
        <v>21.07</v>
      </c>
      <c r="M19" s="15">
        <f>$C$4*M18</f>
        <v>22.575</v>
      </c>
      <c r="N19" s="15">
        <f>$C$4*N18</f>
        <v>24.08</v>
      </c>
      <c r="O19" s="15">
        <f>$C$4*O18</f>
        <v>27.09</v>
      </c>
      <c r="P19" s="15">
        <f>$C$4*P18</f>
        <v>28.595</v>
      </c>
      <c r="Q19" s="15">
        <f>$C$4*Q18</f>
        <v>30.1</v>
      </c>
      <c r="R19" s="15">
        <f>$C$4*R18</f>
        <v>28.595</v>
      </c>
      <c r="S19" s="15">
        <f>$C$4*S18</f>
        <v>27.09</v>
      </c>
    </row>
    <row r="20" ht="44.35" customHeight="1">
      <c r="A20" t="s" s="13">
        <v>53</v>
      </c>
      <c r="B20" t="s" s="93">
        <v>77</v>
      </c>
      <c r="C20" t="s" s="16">
        <v>181</v>
      </c>
      <c r="D20" t="s" s="16">
        <v>182</v>
      </c>
      <c r="E20" t="s" s="16">
        <v>183</v>
      </c>
      <c r="F20" t="s" s="16">
        <v>184</v>
      </c>
      <c r="G20" t="s" s="16">
        <v>185</v>
      </c>
      <c r="H20" t="s" s="16">
        <v>186</v>
      </c>
      <c r="I20" t="s" s="16">
        <v>187</v>
      </c>
      <c r="J20" s="19"/>
      <c r="K20" s="15"/>
      <c r="L20" s="15"/>
      <c r="M20" s="15"/>
      <c r="N20" s="15"/>
      <c r="O20" s="15"/>
      <c r="P20" s="15"/>
      <c r="Q20" s="15"/>
      <c r="R20" s="15"/>
      <c r="S20" s="15"/>
    </row>
    <row r="21" ht="20.35" customHeight="1">
      <c r="A21" s="73">
        <v>150</v>
      </c>
      <c r="B21" s="120">
        <f>A21*1000/3600</f>
        <v>41.66666666666666</v>
      </c>
      <c r="C21" s="95">
        <f>($C$11*$F$9*(B21*B21))/2</f>
        <v>721.4147743055553</v>
      </c>
      <c r="D21" s="95">
        <f>$C$12+C21</f>
        <v>855.7627243055553</v>
      </c>
      <c r="E21" s="95">
        <f>(D21*B21/$C$8)/1000</f>
        <v>50.9382573991402</v>
      </c>
      <c r="F21" s="95">
        <f>E21+$H$15</f>
        <v>52.4382573991402</v>
      </c>
      <c r="G21" s="95">
        <f>F21*(100/A21)</f>
        <v>34.95883826609347</v>
      </c>
      <c r="H21" s="95">
        <f>$C$4/G21*100</f>
        <v>86.10125934646391</v>
      </c>
      <c r="I21" s="19"/>
      <c r="J21" s="95">
        <f>J$19/(((((J$14*$C$3*$E$3)+(0.5*$F$9*J$15*$B21*$B21))*$B21/$C$8/1000)+J$17)*(100/$A21))*100</f>
        <v>37.28992974247512</v>
      </c>
      <c r="K21" s="95">
        <f>K$19/(((((K$14*$C$3*$E$3)+(0.5*$F$9*K$15*$B21*$B21))*$B21/$C$8/1000)+K$17)*(100/$A21))*100</f>
        <v>45.64635298690583</v>
      </c>
      <c r="L21" s="95">
        <f>L$19/(((((L$14*$C$3*$E$3)+(0.5*$F$9*L$15*$B21*$B21))*$B21/$C$8/1000)+L$17)*(100/$A21))*100</f>
        <v>54.22868284702753</v>
      </c>
      <c r="M21" s="95">
        <f>M$19/(((((M$14*$C$3*$E$3)+(0.5*$F$9*M$15*$B21*$B21))*$B21/$C$8/1000)+M$17)*(100/$A21))*100</f>
        <v>59.44885661936946</v>
      </c>
      <c r="N21" s="95">
        <f>N$19/(((((N$14*$C$3*$E$3)+(0.5*$F$9*N$15*$B21*$B21))*$B21/$C$8/1000)+N$17)*(100/$A21))*100</f>
        <v>64.31408308372434</v>
      </c>
      <c r="O21" s="95">
        <f>O$19/(((((O$14*$C$3*$E$3)+(0.5*$F$9*O$15*$B21*$B21))*$B21/$C$8/1000)+O$17)*(100/$A21))*100</f>
        <v>78.16887490788933</v>
      </c>
      <c r="P21" s="95">
        <f>P$19/(((((P$14*$C$3*$E$3)+(0.5*$F$9*P$15*$B21*$B21))*$B21/$C$8/1000)+P$17)*(100/$A21))*100</f>
        <v>83.7118633170373</v>
      </c>
      <c r="Q21" s="95">
        <f>Q$19/(((((Q$14*$C$3*$E$3)+(0.5*$F$9*Q$15*$B21*$B21))*$B21/$C$8/1000)+Q$17)*(100/$A21))*100</f>
        <v>89.37430994411586</v>
      </c>
      <c r="R21" s="95">
        <f>R$19/(((((R$14*$C$3*$E$3)+(0.5*$F$9*R$15*$B21*$B21))*$B21/$C$8/1000)+R$17)*(100/$A21))*100</f>
        <v>84.39675515107585</v>
      </c>
      <c r="S21" s="15">
        <f>S$19/(((((S$14*$C$3*$E$3)+(0.5*$F$9*S$15*$B21*$B21))*$B21/$C$8/1000)+S$17)*(100/$A21))*100</f>
        <v>81.02945900001504</v>
      </c>
    </row>
    <row r="22" ht="20.35" customHeight="1">
      <c r="A22" s="73">
        <f>A21-5</f>
        <v>145</v>
      </c>
      <c r="B22" s="120">
        <f>A22*1000/3600</f>
        <v>40.27777777777778</v>
      </c>
      <c r="C22" s="95">
        <f>($C$11*$F$9*(B22*B22))/2</f>
        <v>674.1220279899691</v>
      </c>
      <c r="D22" s="95">
        <f>$C$12+C22</f>
        <v>808.469977989969</v>
      </c>
      <c r="E22" s="95">
        <f>(D22*B22/$C$8)/1000</f>
        <v>46.51910587640695</v>
      </c>
      <c r="F22" s="95">
        <f>E22+$H$15</f>
        <v>48.01910587640695</v>
      </c>
      <c r="G22" s="95">
        <f>F22*(100/A22)</f>
        <v>33.11662474234963</v>
      </c>
      <c r="H22" s="95">
        <f>$C$4/G22*100</f>
        <v>90.89090519997359</v>
      </c>
      <c r="I22" s="19"/>
      <c r="J22" s="95">
        <f>J$19/(((((J$14*$C$3*$E$3)+(0.5*$F$9*J$15*$B22*$B22))*$B22/$C$8/1000)+J$17)*(100/$A22))*100</f>
        <v>39.28450885413828</v>
      </c>
      <c r="K22" s="95">
        <f>K$19/(((((K$14*$C$3*$E$3)+(0.5*$F$9*K$15*$B22*$B22))*$B22/$C$8/1000)+K$17)*(100/$A22))*100</f>
        <v>48.09848826789194</v>
      </c>
      <c r="L22" s="95">
        <f>L$19/(((((L$14*$C$3*$E$3)+(0.5*$F$9*L$15*$B22*$B22))*$B22/$C$8/1000)+L$17)*(100/$A22))*100</f>
        <v>57.14647458127516</v>
      </c>
      <c r="M22" s="95">
        <f>M$19/(((((M$14*$C$3*$E$3)+(0.5*$F$9*M$15*$B22*$B22))*$B22/$C$8/1000)+M$17)*(100/$A22))*100</f>
        <v>62.68333121624667</v>
      </c>
      <c r="N22" s="95">
        <f>N$19/(((((N$14*$C$3*$E$3)+(0.5*$F$9*N$15*$B22*$B22))*$B22/$C$8/1000)+N$17)*(100/$A22))*100</f>
        <v>67.79907307995207</v>
      </c>
      <c r="O22" s="95">
        <f>O$19/(((((O$14*$C$3*$E$3)+(0.5*$F$9*O$15*$B22*$B22))*$B22/$C$8/1000)+O$17)*(100/$A22))*100</f>
        <v>82.70906372374347</v>
      </c>
      <c r="P22" s="95">
        <f>P$19/(((((P$14*$C$3*$E$3)+(0.5*$F$9*P$15*$B22*$B22))*$B22/$C$8/1000)+P$17)*(100/$A22))*100</f>
        <v>88.55946567936036</v>
      </c>
      <c r="Q22" s="95">
        <f>Q$19/(((((Q$14*$C$3*$E$3)+(0.5*$F$9*Q$15*$B22*$B22))*$B22/$C$8/1000)+Q$17)*(100/$A22))*100</f>
        <v>94.5343877098594</v>
      </c>
      <c r="R22" s="95">
        <f>R$19/(((((R$14*$C$3*$E$3)+(0.5*$F$9*R$15*$B22*$B22))*$B22/$C$8/1000)+R$17)*(100/$A22))*100</f>
        <v>89.09015817350917</v>
      </c>
      <c r="S22" s="15">
        <f>S$19/(((((S$14*$C$3*$E$3)+(0.5*$F$9*S$15*$B22*$B22))*$B22/$C$8/1000)+S$17)*(100/$A22))*100</f>
        <v>85.51998186391381</v>
      </c>
    </row>
    <row r="23" ht="20.35" customHeight="1">
      <c r="A23" s="73">
        <f>A22-5</f>
        <v>140</v>
      </c>
      <c r="B23" s="120">
        <f>A23*1000/3600</f>
        <v>38.88888888888889</v>
      </c>
      <c r="C23" s="95">
        <f>($C$11*$F$9*(B23*B23))/2</f>
        <v>628.4324256172838</v>
      </c>
      <c r="D23" s="95">
        <f>$C$12+C23</f>
        <v>762.7803756172838</v>
      </c>
      <c r="E23" s="95">
        <f>(D23*B23/$C$8)/1000</f>
        <v>42.37668753429354</v>
      </c>
      <c r="F23" s="95">
        <f>E23+$H$15</f>
        <v>43.87668753429354</v>
      </c>
      <c r="G23" s="95">
        <f>F23*(100/A23)</f>
        <v>31.34049109592396</v>
      </c>
      <c r="H23" s="95">
        <f>$C$4/G23*100</f>
        <v>96.04189005166771</v>
      </c>
      <c r="I23" s="19"/>
      <c r="J23" s="95">
        <f>J$19/(((((J$14*$C$3*$E$3)+(0.5*$F$9*J$15*$B23*$B23))*$B23/$C$8/1000)+J$17)*(100/$A23))*100</f>
        <v>41.4201954542195</v>
      </c>
      <c r="K23" s="95">
        <f>K$19/(((((K$14*$C$3*$E$3)+(0.5*$F$9*K$15*$B23*$B23))*$B23/$C$8/1000)+K$17)*(100/$A23))*100</f>
        <v>50.72623581314125</v>
      </c>
      <c r="L23" s="95">
        <f>L$19/(((((L$14*$C$3*$E$3)+(0.5*$F$9*L$15*$B23*$B23))*$B23/$C$8/1000)+L$17)*(100/$A23))*100</f>
        <v>60.27448148944586</v>
      </c>
      <c r="M23" s="95">
        <f>M$19/(((((M$14*$C$3*$E$3)+(0.5*$F$9*M$15*$B23*$B23))*$B23/$C$8/1000)+M$17)*(100/$A23))*100</f>
        <v>66.1572183166497</v>
      </c>
      <c r="N23" s="95">
        <f>N$19/(((((N$14*$C$3*$E$3)+(0.5*$F$9*N$15*$B23*$B23))*$B23/$C$8/1000)+N$17)*(100/$A23))*100</f>
        <v>71.54032104509285</v>
      </c>
      <c r="O23" s="95">
        <f>O$19/(((((O$14*$C$3*$E$3)+(0.5*$F$9*O$15*$B23*$B23))*$B23/$C$8/1000)+O$17)*(100/$A23))*100</f>
        <v>87.62395683170845</v>
      </c>
      <c r="P23" s="95">
        <f>P$19/(((((P$14*$C$3*$E$3)+(0.5*$F$9*P$15*$B23*$B23))*$B23/$C$8/1000)+P$17)*(100/$A23))*100</f>
        <v>93.80531225116954</v>
      </c>
      <c r="Q23" s="95">
        <f>Q$19/(((((Q$14*$C$3*$E$3)+(0.5*$F$9*Q$15*$B23*$B23))*$B23/$C$8/1000)+Q$17)*(100/$A23))*100</f>
        <v>100.1164430255556</v>
      </c>
      <c r="R23" s="95">
        <f>R$19/(((((R$14*$C$3*$E$3)+(0.5*$F$9*R$15*$B23*$B23))*$B23/$C$8/1000)+R$17)*(100/$A23))*100</f>
        <v>94.13862278826635</v>
      </c>
      <c r="S23" s="15">
        <f>S$19/(((((S$14*$C$3*$E$3)+(0.5*$F$9*S$15*$B23*$B23))*$B23/$C$8/1000)+S$17)*(100/$A23))*100</f>
        <v>90.34823105521393</v>
      </c>
    </row>
    <row r="24" ht="20.35" customHeight="1">
      <c r="A24" s="73">
        <f>A23-5</f>
        <v>135</v>
      </c>
      <c r="B24" s="120">
        <f>A24*1000/3600</f>
        <v>37.5</v>
      </c>
      <c r="C24" s="95">
        <f>($C$11*$F$9*(B24*B24))/2</f>
        <v>584.3459671874999</v>
      </c>
      <c r="D24" s="95">
        <f>$C$12+C24</f>
        <v>718.6939171874999</v>
      </c>
      <c r="E24" s="95">
        <f>(D24*B24/$C$8)/1000</f>
        <v>38.50145984933035</v>
      </c>
      <c r="F24" s="95">
        <f>E24+$H$15</f>
        <v>40.00145984933035</v>
      </c>
      <c r="G24" s="95">
        <f>F24*(100/A24)</f>
        <v>29.63071099950396</v>
      </c>
      <c r="H24" s="95">
        <f>$C$4/G24*100</f>
        <v>101.5837925742109</v>
      </c>
      <c r="I24" s="19"/>
      <c r="J24" s="95">
        <f>J$19/(((((J$14*$C$3*$E$3)+(0.5*$F$9*J$15*$B24*$B24))*$B24/$C$8/1000)+J$17)*(100/$A24))*100</f>
        <v>43.70712133968836</v>
      </c>
      <c r="K24" s="95">
        <f>K$19/(((((K$14*$C$3*$E$3)+(0.5*$F$9*K$15*$B24*$B24))*$B24/$C$8/1000)+K$17)*(100/$A24))*100</f>
        <v>53.54271254493739</v>
      </c>
      <c r="L24" s="95">
        <f>L$19/(((((L$14*$C$3*$E$3)+(0.5*$F$9*L$15*$B24*$B24))*$B24/$C$8/1000)+L$17)*(100/$A24))*100</f>
        <v>63.62873928136443</v>
      </c>
      <c r="M24" s="95">
        <f>M$19/(((((M$14*$C$3*$E$3)+(0.5*$F$9*M$15*$B24*$B24))*$B24/$C$8/1000)+M$17)*(100/$A24))*100</f>
        <v>69.89019682423519</v>
      </c>
      <c r="N24" s="95">
        <f>N$19/(((((N$14*$C$3*$E$3)+(0.5*$F$9*N$15*$B24*$B24))*$B24/$C$8/1000)+N$17)*(100/$A24))*100</f>
        <v>75.55862778784928</v>
      </c>
      <c r="O24" s="95">
        <f>O$19/(((((O$14*$C$3*$E$3)+(0.5*$F$9*O$15*$B24*$B24))*$B24/$C$8/1000)+O$17)*(100/$A24))*100</f>
        <v>92.95124721002669</v>
      </c>
      <c r="P24" s="95">
        <f>P$19/(((((P$14*$C$3*$E$3)+(0.5*$F$9*P$15*$B24*$B24))*$B24/$C$8/1000)+P$17)*(100/$A24))*100</f>
        <v>99.48916909286399</v>
      </c>
      <c r="Q24" s="95">
        <f>Q$19/(((((Q$14*$C$3*$E$3)+(0.5*$F$9*Q$15*$B24*$B24))*$B24/$C$8/1000)+Q$17)*(100/$A24))*100</f>
        <v>106.1623007984822</v>
      </c>
      <c r="R24" s="95">
        <f>R$19/(((((R$14*$C$3*$E$3)+(0.5*$F$9*R$15*$B24*$B24))*$B24/$C$8/1000)+R$17)*(100/$A24))*100</f>
        <v>99.57160116839505</v>
      </c>
      <c r="S24" s="15">
        <f>S$19/(((((S$14*$C$3*$E$3)+(0.5*$F$9*S$15*$B24*$B24))*$B24/$C$8/1000)+S$17)*(100/$A24))*100</f>
        <v>95.54188973279634</v>
      </c>
    </row>
    <row r="25" ht="20.35" customHeight="1">
      <c r="A25" s="73">
        <f>A24-5</f>
        <v>130</v>
      </c>
      <c r="B25" s="120">
        <f>A25*1000/3600</f>
        <v>36.11111111111111</v>
      </c>
      <c r="C25" s="95">
        <f>($C$11*$F$9*(B25*B25))/2</f>
        <v>541.8626527006172</v>
      </c>
      <c r="D25" s="95">
        <f>$C$12+C25</f>
        <v>676.2106027006172</v>
      </c>
      <c r="E25" s="95">
        <f>(D25*B25/$C$8)/1000</f>
        <v>34.88388029804771</v>
      </c>
      <c r="F25" s="95">
        <f>E25+$H$15</f>
        <v>36.38388029804771</v>
      </c>
      <c r="G25" s="95">
        <f>F25*(100/A25)</f>
        <v>27.98760022926747</v>
      </c>
      <c r="H25" s="95">
        <f>$C$4/G25*100</f>
        <v>107.5476273543579</v>
      </c>
      <c r="I25" s="19"/>
      <c r="J25" s="95">
        <f>J$19/(((((J$14*$C$3*$E$3)+(0.5*$F$9*J$15*$B25*$B25))*$B25/$C$8/1000)+J$17)*(100/$A25))*100</f>
        <v>46.15560301266473</v>
      </c>
      <c r="K25" s="95">
        <f>K$19/(((((K$14*$C$3*$E$3)+(0.5*$F$9*K$15*$B25*$B25))*$B25/$C$8/1000)+K$17)*(100/$A25))*100</f>
        <v>56.56144062958091</v>
      </c>
      <c r="L25" s="95">
        <f>L$19/(((((L$14*$C$3*$E$3)+(0.5*$F$9*L$15*$B25*$B25))*$B25/$C$8/1000)+L$17)*(100/$A25))*100</f>
        <v>67.22589137124982</v>
      </c>
      <c r="M25" s="95">
        <f>M$19/(((((M$14*$C$3*$E$3)+(0.5*$F$9*M$15*$B25*$B25))*$B25/$C$8/1000)+M$17)*(100/$A25))*100</f>
        <v>73.90312085484364</v>
      </c>
      <c r="N25" s="95">
        <f>N$19/(((((N$14*$C$3*$E$3)+(0.5*$F$9*N$15*$B25*$B25))*$B25/$C$8/1000)+N$17)*(100/$A25))*100</f>
        <v>79.8759803483654</v>
      </c>
      <c r="O25" s="95">
        <f>O$19/(((((O$14*$C$3*$E$3)+(0.5*$F$9*O$15*$B25*$B25))*$B25/$C$8/1000)+O$17)*(100/$A25))*100</f>
        <v>98.73258647678915</v>
      </c>
      <c r="P25" s="95">
        <f>P$19/(((((P$14*$C$3*$E$3)+(0.5*$F$9*P$15*$B25*$B25))*$B25/$C$8/1000)+P$17)*(100/$A25))*100</f>
        <v>105.6549183464073</v>
      </c>
      <c r="Q25" s="95">
        <f>Q$19/(((((Q$14*$C$3*$E$3)+(0.5*$F$9*Q$15*$B25*$B25))*$B25/$C$8/1000)+Q$17)*(100/$A25))*100</f>
        <v>112.7180516576049</v>
      </c>
      <c r="R25" s="95">
        <f>R$19/(((((R$14*$C$3*$E$3)+(0.5*$F$9*R$15*$B25*$B25))*$B25/$C$8/1000)+R$17)*(100/$A25))*100</f>
        <v>105.4201227717501</v>
      </c>
      <c r="S25" s="15">
        <f>S$19/(((((S$14*$C$3*$E$3)+(0.5*$F$9*S$15*$B25*$B25))*$B25/$C$8/1000)+S$17)*(100/$A25))*100</f>
        <v>101.1300455234959</v>
      </c>
    </row>
    <row r="26" ht="20.35" customHeight="1">
      <c r="A26" s="73">
        <f>A25-5</f>
        <v>125</v>
      </c>
      <c r="B26" s="120">
        <f>A26*1000/3600</f>
        <v>34.72222222222222</v>
      </c>
      <c r="C26" s="95">
        <f>($C$11*$F$9*(B26*B26))/2</f>
        <v>500.9824821566357</v>
      </c>
      <c r="D26" s="95">
        <f>$C$12+C26</f>
        <v>635.3304321566357</v>
      </c>
      <c r="E26" s="95">
        <f>(D26*B26/$C$8)/1000</f>
        <v>31.51440635697598</v>
      </c>
      <c r="F26" s="95">
        <f>E26+$H$15</f>
        <v>33.01440635697598</v>
      </c>
      <c r="G26" s="95">
        <f>F26*(100/A26)</f>
        <v>26.41152508558079</v>
      </c>
      <c r="H26" s="95">
        <f>$C$4/G26*100</f>
        <v>113.9653992053375</v>
      </c>
      <c r="I26" s="19"/>
      <c r="J26" s="95">
        <f>J$19/(((((J$14*$C$3*$E$3)+(0.5*$F$9*J$15*$B26*$B26))*$B26/$C$8/1000)+J$17)*(100/$A26))*100</f>
        <v>48.77589603140066</v>
      </c>
      <c r="K26" s="95">
        <f>K$19/(((((K$14*$C$3*$E$3)+(0.5*$F$9*K$15*$B26*$B26))*$B26/$C$8/1000)+K$17)*(100/$A26))*100</f>
        <v>59.79609193973792</v>
      </c>
      <c r="L26" s="95">
        <f>L$19/(((((L$14*$C$3*$E$3)+(0.5*$F$9*L$15*$B26*$B26))*$B26/$C$8/1000)+L$17)*(100/$A26))*100</f>
        <v>71.0829204797091</v>
      </c>
      <c r="M26" s="95">
        <f>M$19/(((((M$14*$C$3*$E$3)+(0.5*$F$9*M$15*$B26*$B26))*$B26/$C$8/1000)+M$17)*(100/$A26))*100</f>
        <v>78.21785267393076</v>
      </c>
      <c r="N26" s="95">
        <f>N$19/(((((N$14*$C$3*$E$3)+(0.5*$F$9*N$15*$B26*$B26))*$B26/$C$8/1000)+N$17)*(100/$A26))*100</f>
        <v>84.51535815872793</v>
      </c>
      <c r="O26" s="95">
        <f>O$19/(((((O$14*$C$3*$E$3)+(0.5*$F$9*O$15*$B26*$B26))*$B26/$C$8/1000)+O$17)*(100/$A26))*100</f>
        <v>105.0138638089523</v>
      </c>
      <c r="P26" s="95">
        <f>P$19/(((((P$14*$C$3*$E$3)+(0.5*$F$9*P$15*$B26*$B26))*$B26/$C$8/1000)+P$17)*(100/$A26))*100</f>
        <v>112.350831252152</v>
      </c>
      <c r="Q26" s="95">
        <f>Q$19/(((((Q$14*$C$3*$E$3)+(0.5*$F$9*Q$15*$B26*$B26))*$B26/$C$8/1000)+Q$17)*(100/$A26))*100</f>
        <v>119.8343168989647</v>
      </c>
      <c r="R26" s="95">
        <f>R$19/(((((R$14*$C$3*$E$3)+(0.5*$F$9*R$15*$B26*$B26))*$B26/$C$8/1000)+R$17)*(100/$A26))*100</f>
        <v>111.7164151502475</v>
      </c>
      <c r="S26" s="15">
        <f>S$19/(((((S$14*$C$3*$E$3)+(0.5*$F$9*S$15*$B26*$B26))*$B26/$C$8/1000)+S$17)*(100/$A26))*100</f>
        <v>107.1428082882508</v>
      </c>
    </row>
    <row r="27" ht="20.35" customHeight="1">
      <c r="A27" s="73">
        <f>A26-5</f>
        <v>120</v>
      </c>
      <c r="B27" s="120">
        <f>A27*1000/3600</f>
        <v>33.33333333333334</v>
      </c>
      <c r="C27" s="95">
        <f>($C$11*$F$9*(B27*B27))/2</f>
        <v>461.7054555555555</v>
      </c>
      <c r="D27" s="95">
        <f>$C$12+C27</f>
        <v>596.0534055555555</v>
      </c>
      <c r="E27" s="95">
        <f>(D27*B27/$C$8)/1000</f>
        <v>28.3834955026455</v>
      </c>
      <c r="F27" s="95">
        <f>E27+$H$15</f>
        <v>29.8834955026455</v>
      </c>
      <c r="G27" s="95">
        <f>F27*(100/A27)</f>
        <v>24.90291291887125</v>
      </c>
      <c r="H27" s="95">
        <f>$C$4/G27*100</f>
        <v>120.8693942674892</v>
      </c>
      <c r="I27" s="19"/>
      <c r="J27" s="95">
        <f>J$19/(((((J$14*$C$3*$E$3)+(0.5*$F$9*J$15*$B27*$B27))*$B27/$C$8/1000)+J$17)*(100/$A27))*100</f>
        <v>51.57784024174467</v>
      </c>
      <c r="K27" s="95">
        <f>K$19/(((((K$14*$C$3*$E$3)+(0.5*$F$9*K$15*$B27*$B27))*$B27/$C$8/1000)+K$17)*(100/$A27))*100</f>
        <v>63.26010971916403</v>
      </c>
      <c r="L27" s="95">
        <f>L$19/(((((L$14*$C$3*$E$3)+(0.5*$F$9*L$15*$B27*$B27))*$B27/$C$8/1000)+L$17)*(100/$A27))*100</f>
        <v>75.21674385667617</v>
      </c>
      <c r="M27" s="95">
        <f>M$19/(((((M$14*$C$3*$E$3)+(0.5*$F$9*M$15*$B27*$B27))*$B27/$C$8/1000)+M$17)*(100/$A27))*100</f>
        <v>82.85697744405253</v>
      </c>
      <c r="N27" s="95">
        <f>N$19/(((((N$14*$C$3*$E$3)+(0.5*$F$9*N$15*$B27*$B27))*$B27/$C$8/1000)+N$17)*(100/$A27))*100</f>
        <v>89.50041046570328</v>
      </c>
      <c r="O27" s="95">
        <f>O$19/(((((O$14*$C$3*$E$3)+(0.5*$F$9*O$15*$B27*$B27))*$B27/$C$8/1000)+O$17)*(100/$A27))*100</f>
        <v>111.8454239550858</v>
      </c>
      <c r="P27" s="95">
        <f>P$19/(((((P$14*$C$3*$E$3)+(0.5*$F$9*P$15*$B27*$B27))*$B27/$C$8/1000)+P$17)*(100/$A27))*100</f>
        <v>119.6297710536542</v>
      </c>
      <c r="Q27" s="95">
        <f>Q$19/(((((Q$14*$C$3*$E$3)+(0.5*$F$9*Q$15*$B27*$B27))*$B27/$C$8/1000)+Q$17)*(100/$A27))*100</f>
        <v>127.5664336332082</v>
      </c>
      <c r="R27" s="95">
        <f>R$19/(((((R$14*$C$3*$E$3)+(0.5*$F$9*R$15*$B27*$B27))*$B27/$C$8/1000)+R$17)*(100/$A27))*100</f>
        <v>118.4932854205061</v>
      </c>
      <c r="S27" s="15">
        <f>S$19/(((((S$14*$C$3*$E$3)+(0.5*$F$9*S$15*$B27*$B27))*$B27/$C$8/1000)+S$17)*(100/$A27))*100</f>
        <v>113.6106966776822</v>
      </c>
    </row>
    <row r="28" ht="20.35" customHeight="1">
      <c r="A28" s="73">
        <f>A27-5</f>
        <v>115</v>
      </c>
      <c r="B28" s="120">
        <f>A28*1000/3600</f>
        <v>31.94444444444444</v>
      </c>
      <c r="C28" s="95">
        <f>($C$11*$F$9*(B28*B28))/2</f>
        <v>424.0315728973765</v>
      </c>
      <c r="D28" s="95">
        <f>$C$12+C28</f>
        <v>558.3795228973764</v>
      </c>
      <c r="E28" s="95">
        <f>(D28*B28/$C$8)/1000</f>
        <v>25.48160521158662</v>
      </c>
      <c r="F28" s="95">
        <f>E28+$H$15</f>
        <v>26.98160521158662</v>
      </c>
      <c r="G28" s="95">
        <f>F28*(100/A28)</f>
        <v>23.46226540137967</v>
      </c>
      <c r="H28" s="95">
        <f>$C$4/G28*100</f>
        <v>128.2911069543609</v>
      </c>
      <c r="I28" s="19"/>
      <c r="J28" s="95">
        <f>J$19/(((((J$14*$C$3*$E$3)+(0.5*$F$9*J$15*$B28*$B28))*$B28/$C$8/1000)+J$17)*(100/$A28))*100</f>
        <v>54.57036009612728</v>
      </c>
      <c r="K28" s="95">
        <f>K$19/(((((K$14*$C$3*$E$3)+(0.5*$F$9*K$15*$B28*$B28))*$B28/$C$8/1000)+K$17)*(100/$A28))*100</f>
        <v>66.96616561886573</v>
      </c>
      <c r="L28" s="95">
        <f>L$19/(((((L$14*$C$3*$E$3)+(0.5*$F$9*L$15*$B28*$B28))*$B28/$C$8/1000)+L$17)*(100/$A28))*100</f>
        <v>79.64362467420077</v>
      </c>
      <c r="M28" s="95">
        <f>M$19/(((((M$14*$C$3*$E$3)+(0.5*$F$9*M$15*$B28*$B28))*$B28/$C$8/1000)+M$17)*(100/$A28))*100</f>
        <v>87.84335450653194</v>
      </c>
      <c r="N28" s="95">
        <f>N$19/(((((N$14*$C$3*$E$3)+(0.5*$F$9*N$15*$B28*$B28))*$B28/$C$8/1000)+N$17)*(100/$A28))*100</f>
        <v>94.85495668664635</v>
      </c>
      <c r="O28" s="95">
        <f>O$19/(((((O$14*$C$3*$E$3)+(0.5*$F$9*O$15*$B28*$B28))*$B28/$C$8/1000)+O$17)*(100/$A28))*100</f>
        <v>119.2821754725673</v>
      </c>
      <c r="P28" s="95">
        <f>P$19/(((((P$14*$C$3*$E$3)+(0.5*$F$9*P$15*$B28*$B28))*$B28/$C$8/1000)+P$17)*(100/$A28))*100</f>
        <v>127.5492729413968</v>
      </c>
      <c r="Q28" s="95">
        <f>Q$19/(((((Q$14*$C$3*$E$3)+(0.5*$F$9*Q$15*$B28*$B28))*$B28/$C$8/1000)+Q$17)*(100/$A28))*100</f>
        <v>135.974503242534</v>
      </c>
      <c r="R28" s="95">
        <f>R$19/(((((R$14*$C$3*$E$3)+(0.5*$F$9*R$15*$B28*$B28))*$B28/$C$8/1000)+R$17)*(100/$A28))*100</f>
        <v>125.7831689435388</v>
      </c>
      <c r="S28" s="15">
        <f>S$19/(((((S$14*$C$3*$E$3)+(0.5*$F$9*S$15*$B28*$B28))*$B28/$C$8/1000)+S$17)*(100/$A28))*100</f>
        <v>120.5637047014972</v>
      </c>
    </row>
    <row r="29" ht="20.35" customHeight="1">
      <c r="A29" s="73">
        <f>A28-5</f>
        <v>110</v>
      </c>
      <c r="B29" s="120">
        <f>A29*1000/3600</f>
        <v>30.55555555555556</v>
      </c>
      <c r="C29" s="95">
        <f>($C$11*$F$9*(B29*B29))/2</f>
        <v>387.9608341820987</v>
      </c>
      <c r="D29" s="95">
        <f>$C$12+C29</f>
        <v>522.3087841820987</v>
      </c>
      <c r="E29" s="95">
        <f>(D29*B29/$C$8)/1000</f>
        <v>22.79919296032971</v>
      </c>
      <c r="F29" s="95">
        <f>E29+$H$15</f>
        <v>24.29919296032971</v>
      </c>
      <c r="G29" s="95">
        <f>F29*(100/A29)</f>
        <v>22.09017541848155</v>
      </c>
      <c r="H29" s="95">
        <f>$C$4/G29*100</f>
        <v>136.2596694221681</v>
      </c>
      <c r="I29" s="19"/>
      <c r="J29" s="95">
        <f>J$19/(((((J$14*$C$3*$E$3)+(0.5*$F$9*J$15*$B29*$B29))*$B29/$C$8/1000)+J$17)*(100/$A29))*100</f>
        <v>57.76077471041129</v>
      </c>
      <c r="K29" s="95">
        <f>K$19/(((((K$14*$C$3*$E$3)+(0.5*$F$9*K$15*$B29*$B29))*$B29/$C$8/1000)+K$17)*(100/$A29))*100</f>
        <v>70.92539850084972</v>
      </c>
      <c r="L29" s="95">
        <f>L$19/(((((L$14*$C$3*$E$3)+(0.5*$F$9*L$15*$B29*$B29))*$B29/$C$8/1000)+L$17)*(100/$A29))*100</f>
        <v>84.37833842659163</v>
      </c>
      <c r="M29" s="95">
        <f>M$19/(((((M$14*$C$3*$E$3)+(0.5*$F$9*M$15*$B29*$B29))*$B29/$C$8/1000)+M$17)*(100/$A29))*100</f>
        <v>93.19944556656688</v>
      </c>
      <c r="N29" s="95">
        <f>N$19/(((((N$14*$C$3*$E$3)+(0.5*$F$9*N$15*$B29*$B29))*$B29/$C$8/1000)+N$17)*(100/$A29))*100</f>
        <v>100.6022463397172</v>
      </c>
      <c r="O29" s="95">
        <f>O$19/(((((O$14*$C$3*$E$3)+(0.5*$F$9*O$15*$B29*$B29))*$B29/$C$8/1000)+O$17)*(100/$A29))*100</f>
        <v>127.3835175496239</v>
      </c>
      <c r="P29" s="95">
        <f>P$19/(((((P$14*$C$3*$E$3)+(0.5*$F$9*P$15*$B29*$B29))*$B29/$C$8/1000)+P$17)*(100/$A29))*100</f>
        <v>136.1714240580595</v>
      </c>
      <c r="Q29" s="95">
        <f>Q$19/(((((Q$14*$C$3*$E$3)+(0.5*$F$9*Q$15*$B29*$B29))*$B29/$C$8/1000)+Q$17)*(100/$A29))*100</f>
        <v>145.1232207859507</v>
      </c>
      <c r="R29" s="95">
        <f>R$19/(((((R$14*$C$3*$E$3)+(0.5*$F$9*R$15*$B29*$B29))*$B29/$C$8/1000)+R$17)*(100/$A29))*100</f>
        <v>133.6167211976752</v>
      </c>
      <c r="S29" s="15">
        <f>S$19/(((((S$14*$C$3*$E$3)+(0.5*$F$9*S$15*$B29*$B29))*$B29/$C$8/1000)+S$17)*(100/$A29))*100</f>
        <v>128.029931001152</v>
      </c>
    </row>
    <row r="30" ht="20.35" customHeight="1">
      <c r="A30" s="73">
        <f>A29-5</f>
        <v>105</v>
      </c>
      <c r="B30" s="120">
        <f>A30*1000/3600</f>
        <v>29.16666666666667</v>
      </c>
      <c r="C30" s="95">
        <f>($C$11*$F$9*(B30*B30))/2</f>
        <v>353.4932394097222</v>
      </c>
      <c r="D30" s="95">
        <f>$C$12+C30</f>
        <v>487.8411894097221</v>
      </c>
      <c r="E30" s="95">
        <f>(D30*B30/$C$8)/1000</f>
        <v>20.32671622540509</v>
      </c>
      <c r="F30" s="95">
        <f>E30+$H$15</f>
        <v>21.82671622540509</v>
      </c>
      <c r="G30" s="95">
        <f>F30*(100/A30)</f>
        <v>20.78734878610008</v>
      </c>
      <c r="H30" s="95">
        <f>$C$4/G30*100</f>
        <v>144.7996101365607</v>
      </c>
      <c r="I30" s="19"/>
      <c r="J30" s="95">
        <f>J$19/(((((J$14*$C$3*$E$3)+(0.5*$F$9*J$15*$B30*$B30))*$B30/$C$8/1000)+J$17)*(100/$A30))*100</f>
        <v>61.15386125411195</v>
      </c>
      <c r="K30" s="95">
        <f>K$19/(((((K$14*$C$3*$E$3)+(0.5*$F$9*K$15*$B30*$B30))*$B30/$C$8/1000)+K$17)*(100/$A30))*100</f>
        <v>75.14636741260544</v>
      </c>
      <c r="L30" s="95">
        <f>L$19/(((((L$14*$C$3*$E$3)+(0.5*$F$9*L$15*$B30*$B30))*$B30/$C$8/1000)+L$17)*(100/$A30))*100</f>
        <v>89.43301665687073</v>
      </c>
      <c r="M30" s="95">
        <f>M$19/(((((M$14*$C$3*$E$3)+(0.5*$F$9*M$15*$B30*$B30))*$B30/$C$8/1000)+M$17)*(100/$A30))*100</f>
        <v>98.94634218405245</v>
      </c>
      <c r="N30" s="95">
        <f>N$19/(((((N$14*$C$3*$E$3)+(0.5*$F$9*N$15*$B30*$B30))*$B30/$C$8/1000)+N$17)*(100/$A30))*100</f>
        <v>106.7638964954497</v>
      </c>
      <c r="O30" s="95">
        <f>O$19/(((((O$14*$C$3*$E$3)+(0.5*$F$9*O$15*$B30*$B30))*$B30/$C$8/1000)+O$17)*(100/$A30))*100</f>
        <v>136.2129819776135</v>
      </c>
      <c r="P30" s="95">
        <f>P$19/(((((P$14*$C$3*$E$3)+(0.5*$F$9*P$15*$B30*$B30))*$B30/$C$8/1000)+P$17)*(100/$A30))*100</f>
        <v>145.5624330693013</v>
      </c>
      <c r="Q30" s="95">
        <f>Q$19/(((((Q$14*$C$3*$E$3)+(0.5*$F$9*Q$15*$B30*$B30))*$B30/$C$8/1000)+Q$17)*(100/$A30))*100</f>
        <v>155.0813677894216</v>
      </c>
      <c r="R30" s="95">
        <f>R$19/(((((R$14*$C$3*$E$3)+(0.5*$F$9*R$15*$B30*$B30))*$B30/$C$8/1000)+R$17)*(100/$A30))*100</f>
        <v>142.0207905729702</v>
      </c>
      <c r="S30" s="15">
        <f>S$19/(((((S$14*$C$3*$E$3)+(0.5*$F$9*S$15*$B30*$B30))*$B30/$C$8/1000)+S$17)*(100/$A30))*100</f>
        <v>136.0336180254283</v>
      </c>
    </row>
    <row r="31" ht="20.35" customHeight="1">
      <c r="A31" s="73">
        <f>A30-5</f>
        <v>100</v>
      </c>
      <c r="B31" s="120">
        <f>A31*1000/3600</f>
        <v>27.77777777777778</v>
      </c>
      <c r="C31" s="95">
        <f>($C$11*$F$9*(B31*B31))/2</f>
        <v>320.6287885802469</v>
      </c>
      <c r="D31" s="95">
        <f>$C$12+C31</f>
        <v>454.9767385802469</v>
      </c>
      <c r="E31" s="95">
        <f>(D31*B31/$C$8)/1000</f>
        <v>18.05463248334313</v>
      </c>
      <c r="F31" s="95">
        <f>E31+$H$15</f>
        <v>19.55463248334313</v>
      </c>
      <c r="G31" s="95">
        <f>F31*(100/A31)</f>
        <v>19.55463248334313</v>
      </c>
      <c r="H31" s="95">
        <f>$C$4/G31*100</f>
        <v>153.9277203273421</v>
      </c>
      <c r="I31" s="19"/>
      <c r="J31" s="95">
        <f>J$19/(((((J$14*$C$3*$E$3)+(0.5*$F$9*J$15*$B31*$B31))*$B31/$C$8/1000)+J$17)*(100/$A31))*100</f>
        <v>64.75060320815375</v>
      </c>
      <c r="K31" s="95">
        <f>K$19/(((((K$14*$C$3*$E$3)+(0.5*$F$9*K$15*$B31*$B31))*$B31/$C$8/1000)+K$17)*(100/$A31))*100</f>
        <v>79.63363522878946</v>
      </c>
      <c r="L31" s="95">
        <f>L$19/(((((L$14*$C$3*$E$3)+(0.5*$F$9*L$15*$B31*$B31))*$B31/$C$8/1000)+L$17)*(100/$A31))*100</f>
        <v>94.8155711718435</v>
      </c>
      <c r="M31" s="95">
        <f>M$19/(((((M$14*$C$3*$E$3)+(0.5*$F$9*M$15*$B31*$B31))*$B31/$C$8/1000)+M$17)*(100/$A31))*100</f>
        <v>105.1023930351736</v>
      </c>
      <c r="N31" s="95">
        <f>N$19/(((((N$14*$C$3*$E$3)+(0.5*$F$9*N$15*$B31*$B31))*$B31/$C$8/1000)+N$17)*(100/$A31))*100</f>
        <v>113.3584020380303</v>
      </c>
      <c r="O31" s="95">
        <f>O$19/(((((O$14*$C$3*$E$3)+(0.5*$F$9*O$15*$B31*$B31))*$B31/$C$8/1000)+O$17)*(100/$A31))*100</f>
        <v>145.8374429925025</v>
      </c>
      <c r="P31" s="95">
        <f>P$19/(((((P$14*$C$3*$E$3)+(0.5*$F$9*P$15*$B31*$B31))*$B31/$C$8/1000)+P$17)*(100/$A31))*100</f>
        <v>155.7917328279388</v>
      </c>
      <c r="Q31" s="95">
        <f>Q$19/(((((Q$14*$C$3*$E$3)+(0.5*$F$9*Q$15*$B31*$B31))*$B31/$C$8/1000)+Q$17)*(100/$A31))*100</f>
        <v>165.9208028270846</v>
      </c>
      <c r="R31" s="95">
        <f>R$19/(((((R$14*$C$3*$E$3)+(0.5*$F$9*R$15*$B31*$B31))*$B31/$C$8/1000)+R$17)*(100/$A31))*100</f>
        <v>151.0155635156493</v>
      </c>
      <c r="S31" s="15">
        <f>S$19/(((((S$14*$C$3*$E$3)+(0.5*$F$9*S$15*$B31*$B31))*$B31/$C$8/1000)+S$17)*(100/$A31))*100</f>
        <v>144.5924056960544</v>
      </c>
    </row>
    <row r="32" ht="20.35" customHeight="1">
      <c r="A32" s="73">
        <f>A31-5</f>
        <v>95</v>
      </c>
      <c r="B32" s="120">
        <f>A32*1000/3600</f>
        <v>26.38888888888889</v>
      </c>
      <c r="C32" s="95">
        <f>($C$11*$F$9*(B32*B32))/2</f>
        <v>289.3674816936728</v>
      </c>
      <c r="D32" s="95">
        <f>$C$12+C32</f>
        <v>423.7154316936728</v>
      </c>
      <c r="E32" s="95">
        <f>(D32*B32/$C$8)/1000</f>
        <v>15.97339921067418</v>
      </c>
      <c r="F32" s="95">
        <f>E32+$H$15</f>
        <v>17.47339921067417</v>
      </c>
      <c r="G32" s="95">
        <f>F32*(100/A32)</f>
        <v>18.39305180070966</v>
      </c>
      <c r="H32" s="95">
        <f>$C$4/G32*100</f>
        <v>163.6487534865674</v>
      </c>
      <c r="I32" s="19"/>
      <c r="J32" s="95">
        <f>J$19/(((((J$14*$C$3*$E$3)+(0.5*$F$9*J$15*$B32*$B32))*$B32/$C$8/1000)+J$17)*(100/$A32))*100</f>
        <v>68.54654310274046</v>
      </c>
      <c r="K32" s="95">
        <f>K$19/(((((K$14*$C$3*$E$3)+(0.5*$F$9*K$15*$B32*$B32))*$B32/$C$8/1000)+K$17)*(100/$A32))*100</f>
        <v>84.38588258813824</v>
      </c>
      <c r="L32" s="95">
        <f>L$19/(((((L$14*$C$3*$E$3)+(0.5*$F$9*L$15*$B32*$B32))*$B32/$C$8/1000)+L$17)*(100/$A32))*100</f>
        <v>100.5275809226801</v>
      </c>
      <c r="M32" s="95">
        <f>M$19/(((((M$14*$C$3*$E$3)+(0.5*$F$9*M$15*$B32*$B32))*$B32/$C$8/1000)+M$17)*(100/$A32))*100</f>
        <v>111.6813055178723</v>
      </c>
      <c r="N32" s="95">
        <f>N$19/(((((N$14*$C$3*$E$3)+(0.5*$F$9*N$15*$B32*$B32))*$B32/$C$8/1000)+N$17)*(100/$A32))*100</f>
        <v>120.399087517621</v>
      </c>
      <c r="O32" s="95">
        <f>O$19/(((((O$14*$C$3*$E$3)+(0.5*$F$9*O$15*$B32*$B32))*$B32/$C$8/1000)+O$17)*(100/$A32))*100</f>
        <v>156.3256881457489</v>
      </c>
      <c r="P32" s="95">
        <f>P$19/(((((P$14*$C$3*$E$3)+(0.5*$F$9*P$15*$B32*$B32))*$B32/$C$8/1000)+P$17)*(100/$A32))*100</f>
        <v>166.9303975667331</v>
      </c>
      <c r="Q32" s="95">
        <f>Q$19/(((((Q$14*$C$3*$E$3)+(0.5*$F$9*Q$15*$B32*$B32))*$B32/$C$8/1000)+Q$17)*(100/$A32))*100</f>
        <v>177.7147198024177</v>
      </c>
      <c r="R32" s="95">
        <f>R$19/(((((R$14*$C$3*$E$3)+(0.5*$F$9*R$15*$B32*$B32))*$B32/$C$8/1000)+R$17)*(100/$A32))*100</f>
        <v>160.6106201597317</v>
      </c>
      <c r="S32" s="15">
        <f>S$19/(((((S$14*$C$3*$E$3)+(0.5*$F$9*S$15*$B32*$B32))*$B32/$C$8/1000)+S$17)*(100/$A32))*100</f>
        <v>153.7135556228337</v>
      </c>
    </row>
    <row r="33" ht="20.35" customHeight="1">
      <c r="A33" s="73">
        <f>A32-5</f>
        <v>90</v>
      </c>
      <c r="B33" s="120">
        <f>A33*1000/3600</f>
        <v>25</v>
      </c>
      <c r="C33" s="95">
        <f>($C$11*$F$9*(B33*B33))/2</f>
        <v>259.70931875</v>
      </c>
      <c r="D33" s="95">
        <f>$C$12+C33</f>
        <v>394.0572687499999</v>
      </c>
      <c r="E33" s="95">
        <f>(D33*B33/$C$8)/1000</f>
        <v>14.07347388392857</v>
      </c>
      <c r="F33" s="95">
        <f>E33+$H$15</f>
        <v>15.57347388392857</v>
      </c>
      <c r="G33" s="95">
        <f>F33*(100/A33)</f>
        <v>17.30385987103174</v>
      </c>
      <c r="H33" s="95">
        <f>$C$4/G33*100</f>
        <v>173.9496287206427</v>
      </c>
      <c r="I33" s="19"/>
      <c r="J33" s="95">
        <f>J$19/(((((J$14*$C$3*$E$3)+(0.5*$F$9*J$15*$B33*$B33))*$B33/$C$8/1000)+J$17)*(100/$A33))*100</f>
        <v>72.52964974660772</v>
      </c>
      <c r="K33" s="95">
        <f>K$19/(((((K$14*$C$3*$E$3)+(0.5*$F$9*K$15*$B33*$B33))*$B33/$C$8/1000)+K$17)*(100/$A33))*100</f>
        <v>89.39343593558937</v>
      </c>
      <c r="L33" s="95">
        <f>L$19/(((((L$14*$C$3*$E$3)+(0.5*$F$9*L$15*$B33*$B33))*$B33/$C$8/1000)+L$17)*(100/$A33))*100</f>
        <v>106.5615027996869</v>
      </c>
      <c r="M33" s="95">
        <f>M$19/(((((M$14*$C$3*$E$3)+(0.5*$F$9*M$15*$B33*$B33))*$B33/$C$8/1000)+M$17)*(100/$A33))*100</f>
        <v>118.6895671596113</v>
      </c>
      <c r="N33" s="95">
        <f>N$19/(((((N$14*$C$3*$E$3)+(0.5*$F$9*N$15*$B33*$B33))*$B33/$C$8/1000)+N$17)*(100/$A33))*100</f>
        <v>127.8913399080879</v>
      </c>
      <c r="O33" s="95">
        <f>O$19/(((((O$14*$C$3*$E$3)+(0.5*$F$9*O$15*$B33*$B33))*$B33/$C$8/1000)+O$17)*(100/$A33))*100</f>
        <v>167.7460639979266</v>
      </c>
      <c r="P33" s="95">
        <f>P$19/(((((P$14*$C$3*$E$3)+(0.5*$F$9*P$15*$B33*$B33))*$B33/$C$8/1000)+P$17)*(100/$A33))*100</f>
        <v>179.048573836946</v>
      </c>
      <c r="Q33" s="95">
        <f>Q$19/(((((Q$14*$C$3*$E$3)+(0.5*$F$9*Q$15*$B33*$B33))*$B33/$C$8/1000)+Q$17)*(100/$A33))*100</f>
        <v>190.5348589766014</v>
      </c>
      <c r="R33" s="95">
        <f>R$19/(((((R$14*$C$3*$E$3)+(0.5*$F$9*R$15*$B33*$B33))*$B33/$C$8/1000)+R$17)*(100/$A33))*100</f>
        <v>170.7995820518863</v>
      </c>
      <c r="S33" s="15">
        <f>S$19/(((((S$14*$C$3*$E$3)+(0.5*$F$9*S$15*$B33*$B33))*$B33/$C$8/1000)+S$17)*(100/$A33))*100</f>
        <v>163.3888512786451</v>
      </c>
    </row>
    <row r="34" ht="20.35" customHeight="1">
      <c r="A34" s="73">
        <f>A33-5</f>
        <v>85</v>
      </c>
      <c r="B34" s="120">
        <f>A34*1000/3600</f>
        <v>23.61111111111111</v>
      </c>
      <c r="C34" s="95">
        <f>($C$11*$F$9*(B34*B34))/2</f>
        <v>231.6542997492283</v>
      </c>
      <c r="D34" s="95">
        <f>$C$12+C34</f>
        <v>366.0022497492283</v>
      </c>
      <c r="E34" s="95">
        <f>(D34*B34/$C$8)/1000</f>
        <v>12.34531397963667</v>
      </c>
      <c r="F34" s="95">
        <f>E34+$H$15</f>
        <v>13.84531397963667</v>
      </c>
      <c r="G34" s="95">
        <f>F34*(100/A34)</f>
        <v>16.2886046819255</v>
      </c>
      <c r="H34" s="95">
        <f>$C$4/G34*100</f>
        <v>184.7917644744623</v>
      </c>
      <c r="I34" s="19"/>
      <c r="J34" s="95">
        <f>J$19/(((((J$14*$C$3*$E$3)+(0.5*$F$9*J$15*$B34*$B34))*$B34/$C$8/1000)+J$17)*(100/$A34))*100</f>
        <v>76.67760636566653</v>
      </c>
      <c r="K34" s="95">
        <f>K$19/(((((K$14*$C$3*$E$3)+(0.5*$F$9*K$15*$B34*$B34))*$B34/$C$8/1000)+K$17)*(100/$A34))*100</f>
        <v>94.63508232475013</v>
      </c>
      <c r="L34" s="95">
        <f>L$19/(((((L$14*$C$3*$E$3)+(0.5*$F$9*L$15*$B34*$B34))*$B34/$C$8/1000)+L$17)*(100/$A34))*100</f>
        <v>112.8970502595955</v>
      </c>
      <c r="M34" s="95">
        <f>M$19/(((((M$14*$C$3*$E$3)+(0.5*$F$9*M$15*$B34*$B34))*$B34/$C$8/1000)+M$17)*(100/$A34))*100</f>
        <v>126.1230018834468</v>
      </c>
      <c r="N34" s="95">
        <f>N$19/(((((N$14*$C$3*$E$3)+(0.5*$F$9*N$15*$B34*$B34))*$B34/$C$8/1000)+N$17)*(100/$A34))*100</f>
        <v>135.8289313096364</v>
      </c>
      <c r="O34" s="95">
        <f>O$19/(((((O$14*$C$3*$E$3)+(0.5*$F$9*O$15*$B34*$B34))*$B34/$C$8/1000)+O$17)*(100/$A34))*100</f>
        <v>180.1628072964949</v>
      </c>
      <c r="P34" s="95">
        <f>P$19/(((((P$14*$C$3*$E$3)+(0.5*$F$9*P$15*$B34*$B34))*$B34/$C$8/1000)+P$17)*(100/$A34))*100</f>
        <v>192.2115183469597</v>
      </c>
      <c r="Q34" s="95">
        <f>Q$19/(((((Q$14*$C$3*$E$3)+(0.5*$F$9*Q$15*$B34*$B34))*$B34/$C$8/1000)+Q$17)*(100/$A34))*100</f>
        <v>204.4472471125295</v>
      </c>
      <c r="R34" s="95">
        <f>R$19/(((((R$14*$C$3*$E$3)+(0.5*$F$9*R$15*$B34*$B34))*$B34/$C$8/1000)+R$17)*(100/$A34))*100</f>
        <v>181.552982241323</v>
      </c>
      <c r="S34" s="15">
        <f>S$19/(((((S$14*$C$3*$E$3)+(0.5*$F$9*S$15*$B34*$B34))*$B34/$C$8/1000)+S$17)*(100/$A34))*100</f>
        <v>173.5878349767613</v>
      </c>
    </row>
    <row r="35" ht="20.35" customHeight="1">
      <c r="A35" s="73">
        <f>A34-5</f>
        <v>80</v>
      </c>
      <c r="B35" s="120">
        <f>A35*1000/3600</f>
        <v>22.22222222222222</v>
      </c>
      <c r="C35" s="95">
        <f>($C$11*$F$9*(B35*B35))/2</f>
        <v>205.202424691358</v>
      </c>
      <c r="D35" s="95">
        <f>$C$12+C35</f>
        <v>339.550374691358</v>
      </c>
      <c r="E35" s="95">
        <f>(D35*B35/$C$8)/1000</f>
        <v>10.77937697432882</v>
      </c>
      <c r="F35" s="95">
        <f>E35+$H$15</f>
        <v>12.27937697432882</v>
      </c>
      <c r="G35" s="95">
        <f>F35*(100/A35)</f>
        <v>15.34922121791103</v>
      </c>
      <c r="H35" s="95">
        <f>$C$4/G35*100</f>
        <v>196.1011544017377</v>
      </c>
      <c r="I35" s="19"/>
      <c r="J35" s="95">
        <f>J$19/(((((J$14*$C$3*$E$3)+(0.5*$F$9*J$15*$B35*$B35))*$B35/$C$8/1000)+J$17)*(100/$A35))*100</f>
        <v>80.95443415445412</v>
      </c>
      <c r="K35" s="95">
        <f>K$19/(((((K$14*$C$3*$E$3)+(0.5*$F$9*K$15*$B35*$B35))*$B35/$C$8/1000)+K$17)*(100/$A35))*100</f>
        <v>100.0740429468855</v>
      </c>
      <c r="L35" s="95">
        <f>L$19/(((((L$14*$C$3*$E$3)+(0.5*$F$9*L$15*$B35*$B35))*$B35/$C$8/1000)+L$17)*(100/$A35))*100</f>
        <v>119.4965758128308</v>
      </c>
      <c r="M35" s="95">
        <f>M$19/(((((M$14*$C$3*$E$3)+(0.5*$F$9*M$15*$B35*$B35))*$B35/$C$8/1000)+M$17)*(100/$A35))*100</f>
        <v>133.9622482301221</v>
      </c>
      <c r="N35" s="95">
        <f>N$19/(((((N$14*$C$3*$E$3)+(0.5*$F$9*N$15*$B35*$B35))*$B35/$C$8/1000)+N$17)*(100/$A35))*100</f>
        <v>144.1892135452295</v>
      </c>
      <c r="O35" s="95">
        <f>O$19/(((((O$14*$C$3*$E$3)+(0.5*$F$9*O$15*$B35*$B35))*$B35/$C$8/1000)+O$17)*(100/$A35))*100</f>
        <v>193.6305428081265</v>
      </c>
      <c r="P35" s="95">
        <f>P$19/(((((P$14*$C$3*$E$3)+(0.5*$F$9*P$15*$B35*$B35))*$B35/$C$8/1000)+P$17)*(100/$A35))*100</f>
        <v>206.473703828331</v>
      </c>
      <c r="Q35" s="95">
        <f>Q$19/(((((Q$14*$C$3*$E$3)+(0.5*$F$9*Q$15*$B35*$B35))*$B35/$C$8/1000)+Q$17)*(100/$A35))*100</f>
        <v>219.5059089908879</v>
      </c>
      <c r="R35" s="95">
        <f>R$19/(((((R$14*$C$3*$E$3)+(0.5*$F$9*R$15*$B35*$B35))*$B35/$C$8/1000)+R$17)*(100/$A35))*100</f>
        <v>192.8089577357846</v>
      </c>
      <c r="S35" s="15">
        <f>S$19/(((((S$14*$C$3*$E$3)+(0.5*$F$9*S$15*$B35*$B35))*$B35/$C$8/1000)+S$17)*(100/$A35))*100</f>
        <v>184.2490190868913</v>
      </c>
    </row>
    <row r="36" ht="20.35" customHeight="1">
      <c r="A36" s="73">
        <f>A35-5</f>
        <v>75</v>
      </c>
      <c r="B36" s="120">
        <f>A36*1000/3600</f>
        <v>20.83333333333333</v>
      </c>
      <c r="C36" s="95">
        <f>($C$11*$F$9*(B36*B36))/2</f>
        <v>180.3536935763888</v>
      </c>
      <c r="D36" s="95">
        <f>$C$12+C36</f>
        <v>314.7016435763888</v>
      </c>
      <c r="E36" s="95">
        <f>(D36*B36/$C$8)/1000</f>
        <v>9.366120344535382</v>
      </c>
      <c r="F36" s="95">
        <f>E36+$H$15</f>
        <v>10.86612034453538</v>
      </c>
      <c r="G36" s="95">
        <f>F36*(100/A36)</f>
        <v>14.48816045938051</v>
      </c>
      <c r="H36" s="95">
        <f>$C$4/G36*100</f>
        <v>207.7558437069314</v>
      </c>
      <c r="I36" s="19"/>
      <c r="J36" s="95">
        <f>J$19/(((((J$14*$C$3*$E$3)+(0.5*$F$9*J$15*$B36*$B36))*$B36/$C$8/1000)+J$17)*(100/$A36))*100</f>
        <v>85.30639339365705</v>
      </c>
      <c r="K36" s="95">
        <f>K$19/(((((K$14*$C$3*$E$3)+(0.5*$F$9*K$15*$B36*$B36))*$B36/$C$8/1000)+K$17)*(100/$A36))*100</f>
        <v>105.6529955202978</v>
      </c>
      <c r="L36" s="95">
        <f>L$19/(((((L$14*$C$3*$E$3)+(0.5*$F$9*L$15*$B36*$B36))*$B36/$C$8/1000)+L$17)*(100/$A36))*100</f>
        <v>126.2993035574122</v>
      </c>
      <c r="M36" s="95">
        <f>M$19/(((((M$14*$C$3*$E$3)+(0.5*$F$9*M$15*$B36*$B36))*$B36/$C$8/1000)+M$17)*(100/$A36))*100</f>
        <v>142.166927170305</v>
      </c>
      <c r="N36" s="95">
        <f>N$19/(((((N$14*$C$3*$E$3)+(0.5*$F$9*N$15*$B36*$B36))*$B36/$C$8/1000)+N$17)*(100/$A36))*100</f>
        <v>152.9269489787872</v>
      </c>
      <c r="O36" s="95">
        <f>O$19/(((((O$14*$C$3*$E$3)+(0.5*$F$9*O$15*$B36*$B36))*$B36/$C$8/1000)+O$17)*(100/$A36))*100</f>
        <v>208.1862741185863</v>
      </c>
      <c r="P36" s="95">
        <f>P$19/(((((P$14*$C$3*$E$3)+(0.5*$F$9*P$15*$B36*$B36))*$B36/$C$8/1000)+P$17)*(100/$A36))*100</f>
        <v>221.8702978607582</v>
      </c>
      <c r="Q36" s="95">
        <f>Q$19/(((((Q$14*$C$3*$E$3)+(0.5*$F$9*Q$15*$B36*$B36))*$B36/$C$8/1000)+Q$17)*(100/$A36))*100</f>
        <v>235.7438356218482</v>
      </c>
      <c r="R36" s="95">
        <f>R$19/(((((R$14*$C$3*$E$3)+(0.5*$F$9*R$15*$B36*$B36))*$B36/$C$8/1000)+R$17)*(100/$A36))*100</f>
        <v>204.4613816415017</v>
      </c>
      <c r="S36" s="15">
        <f>S$19/(((((S$14*$C$3*$E$3)+(0.5*$F$9*S$15*$B36*$B36))*$B36/$C$8/1000)+S$17)*(100/$A36))*100</f>
        <v>195.2687314447028</v>
      </c>
    </row>
    <row r="37" ht="20.35" customHeight="1">
      <c r="A37" s="73">
        <f>A36-5</f>
        <v>70</v>
      </c>
      <c r="B37" s="120">
        <f>A37*1000/3600</f>
        <v>19.44444444444444</v>
      </c>
      <c r="C37" s="95">
        <f>($C$11*$F$9*(B37*B37))/2</f>
        <v>157.1081064043209</v>
      </c>
      <c r="D37" s="95">
        <f>$C$12+C37</f>
        <v>291.456056404321</v>
      </c>
      <c r="E37" s="95">
        <f>(D37*B37/$C$8)/1000</f>
        <v>8.096001566786693</v>
      </c>
      <c r="F37" s="95">
        <f>E37+$H$15</f>
        <v>9.596001566786693</v>
      </c>
      <c r="G37" s="95">
        <f>F37*(100/A37)</f>
        <v>13.70857366683813</v>
      </c>
      <c r="H37" s="95">
        <f>$C$4/G37*100</f>
        <v>219.5706185889617</v>
      </c>
      <c r="I37" s="19"/>
      <c r="J37" s="95">
        <f>J$19/(((((J$14*$C$3*$E$3)+(0.5*$F$9*J$15*$B37*$B37))*$B37/$C$8/1000)+J$17)*(100/$A37))*100</f>
        <v>89.65716107056306</v>
      </c>
      <c r="K37" s="95">
        <f>K$19/(((((K$14*$C$3*$E$3)+(0.5*$F$9*K$15*$B37*$B37))*$B37/$C$8/1000)+K$17)*(100/$A37))*100</f>
        <v>111.288083337164</v>
      </c>
      <c r="L37" s="95">
        <f>L$19/(((((L$14*$C$3*$E$3)+(0.5*$F$9*L$15*$B37*$B37))*$B37/$C$8/1000)+L$17)*(100/$A37))*100</f>
        <v>133.2142972411301</v>
      </c>
      <c r="M37" s="95">
        <f>M$19/(((((M$14*$C$3*$E$3)+(0.5*$F$9*M$15*$B37*$B37))*$B37/$C$8/1000)+M$17)*(100/$A37))*100</f>
        <v>150.6682644975482</v>
      </c>
      <c r="N37" s="95">
        <f>N$19/(((((N$14*$C$3*$E$3)+(0.5*$F$9*N$15*$B37*$B37))*$B37/$C$8/1000)+N$17)*(100/$A37))*100</f>
        <v>161.9665420992631</v>
      </c>
      <c r="O37" s="95">
        <f>O$19/(((((O$14*$C$3*$E$3)+(0.5*$F$9*O$15*$B37*$B37))*$B37/$C$8/1000)+O$17)*(100/$A37))*100</f>
        <v>223.8380215609754</v>
      </c>
      <c r="P37" s="95">
        <f>P$19/(((((P$14*$C$3*$E$3)+(0.5*$F$9*P$15*$B37*$B37))*$B37/$C$8/1000)+P$17)*(100/$A37))*100</f>
        <v>238.4051484599793</v>
      </c>
      <c r="Q37" s="95">
        <f>Q$19/(((((Q$14*$C$3*$E$3)+(0.5*$F$9*Q$15*$B37*$B37))*$B37/$C$8/1000)+Q$17)*(100/$A37))*100</f>
        <v>253.1603251006829</v>
      </c>
      <c r="R37" s="95">
        <f>R$19/(((((R$14*$C$3*$E$3)+(0.5*$F$9*R$15*$B37*$B37))*$B37/$C$8/1000)+R$17)*(100/$A37))*100</f>
        <v>216.3451569630614</v>
      </c>
      <c r="S37" s="15">
        <f>S$19/(((((S$14*$C$3*$E$3)+(0.5*$F$9*S$15*$B37*$B37))*$B37/$C$8/1000)+S$17)*(100/$A37))*100</f>
        <v>206.4873598108084</v>
      </c>
    </row>
    <row r="38" ht="20.35" customHeight="1">
      <c r="A38" s="73">
        <f>A37-5</f>
        <v>65</v>
      </c>
      <c r="B38" s="120">
        <f>A38*1000/3600</f>
        <v>18.05555555555556</v>
      </c>
      <c r="C38" s="95">
        <f>($C$11*$F$9*(B38*B38))/2</f>
        <v>135.4656631751543</v>
      </c>
      <c r="D38" s="95">
        <f>$C$12+C38</f>
        <v>269.8136131751543</v>
      </c>
      <c r="E38" s="95">
        <f>(D38*B38/$C$8)/1000</f>
        <v>6.959478117613108</v>
      </c>
      <c r="F38" s="95">
        <f>E38+$H$15</f>
        <v>8.459478117613108</v>
      </c>
      <c r="G38" s="95">
        <f>F38*(100/A38)</f>
        <v>13.01458171940478</v>
      </c>
      <c r="H38" s="95">
        <f>$C$4/G38*100</f>
        <v>231.2790426074225</v>
      </c>
      <c r="I38" s="19"/>
      <c r="J38" s="95">
        <f>J$19/(((((J$14*$C$3*$E$3)+(0.5*$F$9*J$15*$B38*$B38))*$B38/$C$8/1000)+J$17)*(100/$A38))*100</f>
        <v>93.90237888046593</v>
      </c>
      <c r="K38" s="95">
        <f>K$19/(((((K$14*$C$3*$E$3)+(0.5*$F$9*K$15*$B38*$B38))*$B38/$C$8/1000)+K$17)*(100/$A38))*100</f>
        <v>116.8619366802744</v>
      </c>
      <c r="L38" s="95">
        <f>L$19/(((((L$14*$C$3*$E$3)+(0.5*$F$9*L$15*$B38*$B38))*$B38/$C$8/1000)+L$17)*(100/$A38))*100</f>
        <v>140.1121291074648</v>
      </c>
      <c r="M38" s="95">
        <f>M$19/(((((M$14*$C$3*$E$3)+(0.5*$F$9*M$15*$B38*$B38))*$B38/$C$8/1000)+M$17)*(100/$A38))*100</f>
        <v>159.359955845934</v>
      </c>
      <c r="N38" s="95">
        <f>N$19/(((((N$14*$C$3*$E$3)+(0.5*$F$9*N$15*$B38*$B38))*$B38/$C$8/1000)+N$17)*(100/$A38))*100</f>
        <v>171.1924628519559</v>
      </c>
      <c r="O38" s="95">
        <f>O$19/(((((O$14*$C$3*$E$3)+(0.5*$F$9*O$15*$B38*$B38))*$B38/$C$8/1000)+O$17)*(100/$A38))*100</f>
        <v>240.5490915943173</v>
      </c>
      <c r="P38" s="95">
        <f>P$19/(((((P$14*$C$3*$E$3)+(0.5*$F$9*P$15*$B38*$B38))*$B38/$C$8/1000)+P$17)*(100/$A38))*100</f>
        <v>256.0342451464164</v>
      </c>
      <c r="Q38" s="95">
        <f>Q$19/(((((Q$14*$C$3*$E$3)+(0.5*$F$9*Q$15*$B38*$B38))*$B38/$C$8/1000)+Q$17)*(100/$A38))*100</f>
        <v>271.7036524667737</v>
      </c>
      <c r="R38" s="95">
        <f>R$19/(((((R$14*$C$3*$E$3)+(0.5*$F$9*R$15*$B38*$B38))*$B38/$C$8/1000)+R$17)*(100/$A38))*100</f>
        <v>228.2186380985579</v>
      </c>
      <c r="S38" s="15">
        <f>S$19/(((((S$14*$C$3*$E$3)+(0.5*$F$9*S$15*$B38*$B38))*$B38/$C$8/1000)+S$17)*(100/$A38))*100</f>
        <v>217.6729942057813</v>
      </c>
    </row>
    <row r="39" ht="20.35" customHeight="1">
      <c r="A39" s="73">
        <f>A38-5</f>
        <v>60</v>
      </c>
      <c r="B39" s="120">
        <f>A39*1000/3600</f>
        <v>16.66666666666667</v>
      </c>
      <c r="C39" s="95">
        <f>($C$11*$F$9*(B39*B39))/2</f>
        <v>115.4263638888889</v>
      </c>
      <c r="D39" s="95">
        <f>$C$12+C39</f>
        <v>249.7743138888889</v>
      </c>
      <c r="E39" s="95">
        <f>(D39*B39/$C$8)/1000</f>
        <v>5.947007473544974</v>
      </c>
      <c r="F39" s="95">
        <f>E39+$H$15</f>
        <v>7.447007473544974</v>
      </c>
      <c r="G39" s="95">
        <f>F39*(100/A39)</f>
        <v>12.41167912257496</v>
      </c>
      <c r="H39" s="95">
        <f>$C$4/G39*100</f>
        <v>242.513520553820</v>
      </c>
      <c r="I39" s="19"/>
      <c r="J39" s="95">
        <f>J$19/(((((J$14*$C$3*$E$3)+(0.5*$F$9*J$15*$B39*$B39))*$B39/$C$8/1000)+J$17)*(100/$A39))*100</f>
        <v>97.90380171455561</v>
      </c>
      <c r="K39" s="95">
        <f>K$19/(((((K$14*$C$3*$E$3)+(0.5*$F$9*K$15*$B39*$B39))*$B39/$C$8/1000)+K$17)*(100/$A39))*100</f>
        <v>122.2158656934401</v>
      </c>
      <c r="L39" s="95">
        <f>L$19/(((((L$14*$C$3*$E$3)+(0.5*$F$9*L$15*$B39*$B39))*$B39/$C$8/1000)+L$17)*(100/$A39))*100</f>
        <v>146.8153404628652</v>
      </c>
      <c r="M39" s="95">
        <f>M$19/(((((M$14*$C$3*$E$3)+(0.5*$F$9*M$15*$B39*$B39))*$B39/$C$8/1000)+M$17)*(100/$A39))*100</f>
        <v>168.087114916701</v>
      </c>
      <c r="N39" s="95">
        <f>N$19/(((((N$14*$C$3*$E$3)+(0.5*$F$9*N$15*$B39*$B39))*$B39/$C$8/1000)+N$17)*(100/$A39))*100</f>
        <v>180.4377074997921</v>
      </c>
      <c r="O39" s="95">
        <f>O$19/(((((O$14*$C$3*$E$3)+(0.5*$F$9*O$15*$B39*$B39))*$B39/$C$8/1000)+O$17)*(100/$A39))*100</f>
        <v>258.2168288370813</v>
      </c>
      <c r="P39" s="95">
        <f>P$19/(((((P$14*$C$3*$E$3)+(0.5*$F$9*P$15*$B39*$B39))*$B39/$C$8/1000)+P$17)*(100/$A39))*100</f>
        <v>274.6435004705374</v>
      </c>
      <c r="Q39" s="95">
        <f>Q$19/(((((Q$14*$C$3*$E$3)+(0.5*$F$9*Q$15*$B39*$B39))*$B39/$C$8/1000)+Q$17)*(100/$A39))*100</f>
        <v>291.2479110638128</v>
      </c>
      <c r="R39" s="95">
        <f>R$19/(((((R$14*$C$3*$E$3)+(0.5*$F$9*R$15*$B39*$B39))*$B39/$C$8/1000)+R$17)*(100/$A39))*100</f>
        <v>239.7435837956992</v>
      </c>
      <c r="S39" s="15">
        <f>S$19/(((((S$14*$C$3*$E$3)+(0.5*$F$9*S$15*$B39*$B39))*$B39/$C$8/1000)+S$17)*(100/$A39))*100</f>
        <v>228.5028757173929</v>
      </c>
    </row>
    <row r="40" ht="20.35" customHeight="1">
      <c r="A40" s="73">
        <f>A39-5</f>
        <v>55</v>
      </c>
      <c r="B40" s="120">
        <f>A40*1000/3600</f>
        <v>15.27777777777778</v>
      </c>
      <c r="C40" s="95">
        <f>($C$11*$F$9*(B40*B40))/2</f>
        <v>96.99020854552468</v>
      </c>
      <c r="D40" s="95">
        <f>$C$12+C40</f>
        <v>231.3381585455247</v>
      </c>
      <c r="E40" s="95">
        <f>(D40*B40/$C$8)/1000</f>
        <v>5.049047111112642</v>
      </c>
      <c r="F40" s="95">
        <f>E40+$H$15</f>
        <v>6.549047111112642</v>
      </c>
      <c r="G40" s="95">
        <f>F40*(100/A40)</f>
        <v>11.90735838384117</v>
      </c>
      <c r="H40" s="95">
        <f>$C$4/G40*100</f>
        <v>252.7848665481262</v>
      </c>
      <c r="I40" s="19"/>
      <c r="J40" s="95">
        <f>J$19/(((((J$14*$C$3*$E$3)+(0.5*$F$9*J$15*$B40*$B40))*$B40/$C$8/1000)+J$17)*(100/$A40))*100</f>
        <v>101.4834412736815</v>
      </c>
      <c r="K40" s="95">
        <f>K$19/(((((K$14*$C$3*$E$3)+(0.5*$F$9*K$15*$B40*$B40))*$B40/$C$8/1000)+K$17)*(100/$A40))*100</f>
        <v>127.1415505689949</v>
      </c>
      <c r="L40" s="95">
        <f>L$19/(((((L$14*$C$3*$E$3)+(0.5*$F$9*L$15*$B40*$B40))*$B40/$C$8/1000)+L$17)*(100/$A40))*100</f>
        <v>153.0879427693068</v>
      </c>
      <c r="M40" s="95">
        <f>M$19/(((((M$14*$C$3*$E$3)+(0.5*$F$9*M$15*$B40*$B40))*$B40/$C$8/1000)+M$17)*(100/$A40))*100</f>
        <v>176.6332125295516</v>
      </c>
      <c r="N40" s="95">
        <f>N$19/(((((N$14*$C$3*$E$3)+(0.5*$F$9*N$15*$B40*$B40))*$B40/$C$8/1000)+N$17)*(100/$A40))*100</f>
        <v>189.470207126951</v>
      </c>
      <c r="O40" s="95">
        <f>O$19/(((((O$14*$C$3*$E$3)+(0.5*$F$9*O$15*$B40*$B40))*$B40/$C$8/1000)+O$17)*(100/$A40))*100</f>
        <v>276.644649893523</v>
      </c>
      <c r="P40" s="95">
        <f>P$19/(((((P$14*$C$3*$E$3)+(0.5*$F$9*P$15*$B40*$B40))*$B40/$C$8/1000)+P$17)*(100/$A40))*100</f>
        <v>294.0196575821262</v>
      </c>
      <c r="Q40" s="95">
        <f>Q$19/(((((Q$14*$C$3*$E$3)+(0.5*$F$9*Q$15*$B40*$B40))*$B40/$C$8/1000)+Q$17)*(100/$A40))*100</f>
        <v>311.5628409763481</v>
      </c>
      <c r="R40" s="95">
        <f>R$19/(((((R$14*$C$3*$E$3)+(0.5*$F$9*R$15*$B40*$B40))*$B40/$C$8/1000)+R$17)*(100/$A40))*100</f>
        <v>250.4637045633042</v>
      </c>
      <c r="S40" s="15">
        <f>S$19/(((((S$14*$C$3*$E$3)+(0.5*$F$9*S$15*$B40*$B40))*$B40/$C$8/1000)+S$17)*(100/$A40))*100</f>
        <v>238.5436653907772</v>
      </c>
    </row>
    <row r="41" ht="20.35" customHeight="1">
      <c r="A41" s="73">
        <f>A40-5</f>
        <v>50</v>
      </c>
      <c r="B41" s="120">
        <f>A41*1000/3600</f>
        <v>13.88888888888889</v>
      </c>
      <c r="C41" s="95">
        <f>($C$11*$F$9*(B41*B41))/2</f>
        <v>80.15719714506172</v>
      </c>
      <c r="D41" s="95">
        <f>$C$12+C41</f>
        <v>214.5051471450617</v>
      </c>
      <c r="E41" s="95">
        <f>(D41*B41/$C$8)/1000</f>
        <v>4.256054506846462</v>
      </c>
      <c r="F41" s="95">
        <f>E41+$H$15</f>
        <v>5.756054506846462</v>
      </c>
      <c r="G41" s="95">
        <f>F41*(100/A41)</f>
        <v>11.51210901369292</v>
      </c>
      <c r="H41" s="95">
        <f>$C$4/G41*100</f>
        <v>261.4638200888991</v>
      </c>
      <c r="I41" s="19"/>
      <c r="J41" s="95">
        <f>J$19/(((((J$14*$C$3*$E$3)+(0.5*$F$9*J$15*$B41*$B41))*$B41/$C$8/1000)+J$17)*(100/$A41))*100</f>
        <v>104.4182467508926</v>
      </c>
      <c r="K41" s="95">
        <f>K$19/(((((K$14*$C$3*$E$3)+(0.5*$F$9*K$15*$B41*$B41))*$B41/$C$8/1000)+K$17)*(100/$A41))*100</f>
        <v>131.3727052308934</v>
      </c>
      <c r="L41" s="95">
        <f>L$19/(((((L$14*$C$3*$E$3)+(0.5*$F$9*L$15*$B41*$B41))*$B41/$C$8/1000)+L$17)*(100/$A41))*100</f>
        <v>158.6243407631303</v>
      </c>
      <c r="M41" s="95">
        <f>M$19/(((((M$14*$C$3*$E$3)+(0.5*$F$9*M$15*$B41*$B41))*$B41/$C$8/1000)+M$17)*(100/$A41))*100</f>
        <v>184.7049327552026</v>
      </c>
      <c r="N41" s="95">
        <f>N$19/(((((N$14*$C$3*$E$3)+(0.5*$F$9*N$15*$B41*$B41))*$B41/$C$8/1000)+N$17)*(100/$A41))*100</f>
        <v>197.9770971765016</v>
      </c>
      <c r="O41" s="95">
        <f>O$19/(((((O$14*$C$3*$E$3)+(0.5*$F$9*O$15*$B41*$B41))*$B41/$C$8/1000)+O$17)*(100/$A41))*100</f>
        <v>295.5062103487999</v>
      </c>
      <c r="P41" s="95">
        <f>P$19/(((((P$14*$C$3*$E$3)+(0.5*$F$9*P$15*$B41*$B41))*$B41/$C$8/1000)+P$17)*(100/$A41))*100</f>
        <v>313.8131903056669</v>
      </c>
      <c r="Q41" s="95">
        <f>Q$19/(((((Q$14*$C$3*$E$3)+(0.5*$F$9*Q$15*$B41*$B41))*$B41/$C$8/1000)+Q$17)*(100/$A41))*100</f>
        <v>332.2755279770982</v>
      </c>
      <c r="R41" s="95">
        <f>R$19/(((((R$14*$C$3*$E$3)+(0.5*$F$9*R$15*$B41*$B41))*$B41/$C$8/1000)+R$17)*(100/$A41))*100</f>
        <v>259.7836902874311</v>
      </c>
      <c r="S41" s="15">
        <f>S$19/(((((S$14*$C$3*$E$3)+(0.5*$F$9*S$15*$B41*$B41))*$B41/$C$8/1000)+S$17)*(100/$A41))*100</f>
        <v>247.2322842112155</v>
      </c>
    </row>
    <row r="42" ht="20.35" customHeight="1">
      <c r="A42" s="73">
        <f>A41-5</f>
        <v>45</v>
      </c>
      <c r="B42" s="120">
        <f>A42*1000/3600</f>
        <v>12.5</v>
      </c>
      <c r="C42" s="95">
        <f>($C$11*$F$9*(B42*B42))/2</f>
        <v>64.92732968749999</v>
      </c>
      <c r="D42" s="95">
        <f>$C$12+C42</f>
        <v>199.2752796875</v>
      </c>
      <c r="E42" s="95">
        <f>(D42*B42/$C$8)/1000</f>
        <v>3.558487137276786</v>
      </c>
      <c r="F42" s="95">
        <f>E42+$H$15</f>
        <v>5.058487137276787</v>
      </c>
      <c r="G42" s="95">
        <f>F42*(100/A42)</f>
        <v>11.24108252728175</v>
      </c>
      <c r="H42" s="95">
        <f>$C$4/G42*100</f>
        <v>267.767805520049</v>
      </c>
      <c r="I42" s="19"/>
      <c r="J42" s="95">
        <f>J$19/(((((J$14*$C$3*$E$3)+(0.5*$F$9*J$15*$B42*$B42))*$B42/$C$8/1000)+J$17)*(100/$A42))*100</f>
        <v>106.435894194022</v>
      </c>
      <c r="K42" s="95">
        <f>K$19/(((((K$14*$C$3*$E$3)+(0.5*$F$9*K$15*$B42*$B42))*$B42/$C$8/1000)+K$17)*(100/$A42))*100</f>
        <v>134.5772051185542</v>
      </c>
      <c r="L42" s="95">
        <f>L$19/(((((L$14*$C$3*$E$3)+(0.5*$F$9*L$15*$B42*$B42))*$B42/$C$8/1000)+L$17)*(100/$A42))*100</f>
        <v>163.038025018131</v>
      </c>
      <c r="M42" s="95">
        <f>M$19/(((((M$14*$C$3*$E$3)+(0.5*$F$9*M$15*$B42*$B42))*$B42/$C$8/1000)+M$17)*(100/$A42))*100</f>
        <v>191.9146742277902</v>
      </c>
      <c r="N42" s="95">
        <f>N$19/(((((N$14*$C$3*$E$3)+(0.5*$F$9*N$15*$B42*$B42))*$B42/$C$8/1000)+N$17)*(100/$A42))*100</f>
        <v>205.5465209440779</v>
      </c>
      <c r="O42" s="95">
        <f>O$19/(((((O$14*$C$3*$E$3)+(0.5*$F$9*O$15*$B42*$B42))*$B42/$C$8/1000)+O$17)*(100/$A42))*100</f>
        <v>314.3006160488182</v>
      </c>
      <c r="P42" s="95">
        <f>P$19/(((((P$14*$C$3*$E$3)+(0.5*$F$9*P$15*$B42*$B42))*$B42/$C$8/1000)+P$17)*(100/$A42))*100</f>
        <v>333.4921056412203</v>
      </c>
      <c r="Q42" s="95">
        <f>Q$19/(((((Q$14*$C$3*$E$3)+(0.5*$F$9*Q$15*$B42*$B42))*$B42/$C$8/1000)+Q$17)*(100/$A42))*100</f>
        <v>352.8228796406615</v>
      </c>
      <c r="R42" s="95">
        <f>R$19/(((((R$14*$C$3*$E$3)+(0.5*$F$9*R$15*$B42*$B42))*$B42/$C$8/1000)+R$17)*(100/$A42))*100</f>
        <v>266.9513467533905</v>
      </c>
      <c r="S42" s="15">
        <f>S$19/(((((S$14*$C$3*$E$3)+(0.5*$F$9*S$15*$B42*$B42))*$B42/$C$8/1000)+S$17)*(100/$A42))*100</f>
        <v>253.8597094987329</v>
      </c>
    </row>
    <row r="43" ht="20.35" customHeight="1">
      <c r="A43" s="73">
        <f>A42-5</f>
        <v>40</v>
      </c>
      <c r="B43" s="120">
        <f>A43*1000/3600</f>
        <v>11.11111111111111</v>
      </c>
      <c r="C43" s="95">
        <f>($C$11*$F$9*(B43*B43))/2</f>
        <v>51.30060617283949</v>
      </c>
      <c r="D43" s="95">
        <f>$C$12+C43</f>
        <v>185.6485561728395</v>
      </c>
      <c r="E43" s="95">
        <f>(D43*B43/$C$8)/1000</f>
        <v>2.94680247893396</v>
      </c>
      <c r="F43" s="95">
        <f>E43+$H$15</f>
        <v>4.446802478933961</v>
      </c>
      <c r="G43" s="95">
        <f>F43*(100/A43)</f>
        <v>11.1170061973349</v>
      </c>
      <c r="H43" s="95">
        <f>$C$4/G43*100</f>
        <v>270.7563481183983</v>
      </c>
      <c r="I43" s="19"/>
      <c r="J43" s="95">
        <f>J$19/(((((J$14*$C$3*$E$3)+(0.5*$F$9*J$15*$B43*$B43))*$B43/$C$8/1000)+J$17)*(100/$A43))*100</f>
        <v>107.2119882117089</v>
      </c>
      <c r="K43" s="95">
        <f>K$19/(((((K$14*$C$3*$E$3)+(0.5*$F$9*K$15*$B43*$B43))*$B43/$C$8/1000)+K$17)*(100/$A43))*100</f>
        <v>136.3498153463929</v>
      </c>
      <c r="L43" s="95">
        <f>L$19/(((((L$14*$C$3*$E$3)+(0.5*$F$9*L$15*$B43*$B43))*$B43/$C$8/1000)+L$17)*(100/$A43))*100</f>
        <v>165.8498915454001</v>
      </c>
      <c r="M43" s="95">
        <f>M$19/(((((M$14*$C$3*$E$3)+(0.5*$F$9*M$15*$B43*$B43))*$B43/$C$8/1000)+M$17)*(100/$A43))*100</f>
        <v>197.7596234540524</v>
      </c>
      <c r="N43" s="95">
        <f>N$19/(((((N$14*$C$3*$E$3)+(0.5*$F$9*N$15*$B43*$B43))*$B43/$C$8/1000)+N$17)*(100/$A43))*100</f>
        <v>211.6457433772772</v>
      </c>
      <c r="O43" s="95">
        <f>O$19/(((((O$14*$C$3*$E$3)+(0.5*$F$9*O$15*$B43*$B43))*$B43/$C$8/1000)+O$17)*(100/$A43))*100</f>
        <v>332.297179236278</v>
      </c>
      <c r="P43" s="95">
        <f>P$19/(((((P$14*$C$3*$E$3)+(0.5*$F$9*P$15*$B43*$B43))*$B43/$C$8/1000)+P$17)*(100/$A43))*100</f>
        <v>352.2850581214136</v>
      </c>
      <c r="Q43" s="95">
        <f>Q$19/(((((Q$14*$C$3*$E$3)+(0.5*$F$9*Q$15*$B43*$B43))*$B43/$C$8/1000)+Q$17)*(100/$A43))*100</f>
        <v>372.3931879975789</v>
      </c>
      <c r="R43" s="95">
        <f>R$19/(((((R$14*$C$3*$E$3)+(0.5*$F$9*R$15*$B43*$B43))*$B43/$C$8/1000)+R$17)*(100/$A43))*100</f>
        <v>271.0455696865527</v>
      </c>
      <c r="S43" s="15">
        <f>S$19/(((((S$14*$C$3*$E$3)+(0.5*$F$9*S$15*$B43*$B43))*$B43/$C$8/1000)+S$17)*(100/$A43))*100</f>
        <v>257.5601165324037</v>
      </c>
    </row>
    <row r="44" ht="20.35" customHeight="1">
      <c r="A44" s="73">
        <f>A43-5</f>
        <v>35</v>
      </c>
      <c r="B44" s="120">
        <f>A44*1000/3600</f>
        <v>9.722222222222221</v>
      </c>
      <c r="C44" s="95">
        <f>($C$11*$F$9*(B44*B44))/2</f>
        <v>39.27702660108024</v>
      </c>
      <c r="D44" s="95">
        <f>$C$12+C44</f>
        <v>173.6249766010802</v>
      </c>
      <c r="E44" s="95">
        <f>(D44*B44/$C$8)/1000</f>
        <v>2.411458008348336</v>
      </c>
      <c r="F44" s="95">
        <f>E44+$H$15</f>
        <v>3.911458008348336</v>
      </c>
      <c r="G44" s="95">
        <f>F44*(100/A44)</f>
        <v>11.17559430956667</v>
      </c>
      <c r="H44" s="95">
        <f>$C$4/G44*100</f>
        <v>269.3369065324196</v>
      </c>
      <c r="I44" s="19"/>
      <c r="J44" s="95">
        <f>J$19/(((((J$14*$C$3*$E$3)+(0.5*$F$9*J$15*$B44*$B44))*$B44/$C$8/1000)+J$17)*(100/$A44))*100</f>
        <v>106.3681323960935</v>
      </c>
      <c r="K44" s="95">
        <f>K$19/(((((K$14*$C$3*$E$3)+(0.5*$F$9*K$15*$B44*$B44))*$B44/$C$8/1000)+K$17)*(100/$A44))*100</f>
        <v>136.2045268914385</v>
      </c>
      <c r="L44" s="95">
        <f>L$19/(((((L$14*$C$3*$E$3)+(0.5*$F$9*L$15*$B44*$B44))*$B44/$C$8/1000)+L$17)*(100/$A44))*100</f>
        <v>166.474563954007</v>
      </c>
      <c r="M44" s="95">
        <f>M$19/(((((M$14*$C$3*$E$3)+(0.5*$F$9*M$15*$B44*$B44))*$B44/$C$8/1000)+M$17)*(100/$A44))*100</f>
        <v>201.5940876152599</v>
      </c>
      <c r="N44" s="95">
        <f>N$19/(((((N$14*$C$3*$E$3)+(0.5*$F$9*N$15*$B44*$B44))*$B44/$C$8/1000)+N$17)*(100/$A44))*100</f>
        <v>215.5919142688894</v>
      </c>
      <c r="O44" s="95">
        <f>O$19/(((((O$14*$C$3*$E$3)+(0.5*$F$9*O$15*$B44*$B44))*$B44/$C$8/1000)+O$17)*(100/$A44))*100</f>
        <v>348.465837410148</v>
      </c>
      <c r="P44" s="95">
        <f>P$19/(((((P$14*$C$3*$E$3)+(0.5*$F$9*P$15*$B44*$B44))*$B44/$C$8/1000)+P$17)*(100/$A44))*100</f>
        <v>369.1095332911481</v>
      </c>
      <c r="Q44" s="95">
        <f>Q$19/(((((Q$14*$C$3*$E$3)+(0.5*$F$9*Q$15*$B44*$B44))*$B44/$C$8/1000)+Q$17)*(100/$A44))*100</f>
        <v>389.8521571833101</v>
      </c>
      <c r="R44" s="95">
        <f>R$19/(((((R$14*$C$3*$E$3)+(0.5*$F$9*R$15*$B44*$B44))*$B44/$C$8/1000)+R$17)*(100/$A44))*100</f>
        <v>270.9713223125722</v>
      </c>
      <c r="S44" s="15">
        <f>S$19/(((((S$14*$C$3*$E$3)+(0.5*$F$9*S$15*$B44*$B44))*$B44/$C$8/1000)+S$17)*(100/$A44))*100</f>
        <v>257.3061879475432</v>
      </c>
    </row>
    <row r="45" ht="20.35" customHeight="1">
      <c r="A45" s="73">
        <f>A44-5</f>
        <v>30</v>
      </c>
      <c r="B45" s="120">
        <f>A45*1000/3600</f>
        <v>8.333333333333334</v>
      </c>
      <c r="C45" s="95">
        <f>($C$11*$F$9*(B45*B45))/2</f>
        <v>28.85659097222222</v>
      </c>
      <c r="D45" s="95">
        <f>$C$12+C45</f>
        <v>163.2045409722222</v>
      </c>
      <c r="E45" s="95">
        <f>(D45*B45/$C$8)/1000</f>
        <v>1.942911202050265</v>
      </c>
      <c r="F45" s="95">
        <f>E45+$H$15</f>
        <v>3.442911202050265</v>
      </c>
      <c r="G45" s="95">
        <f>F45*(100/A45)</f>
        <v>11.47637067350088</v>
      </c>
      <c r="H45" s="95">
        <f>$C$4/G45*100</f>
        <v>262.2780394284524</v>
      </c>
      <c r="I45" s="19"/>
      <c r="J45" s="95">
        <f>J$19/(((((J$14*$C$3*$E$3)+(0.5*$F$9*J$15*$B45*$B45))*$B45/$C$8/1000)+J$17)*(100/$A45))*100</f>
        <v>103.4684895859102</v>
      </c>
      <c r="K45" s="95">
        <f>K$19/(((((K$14*$C$3*$E$3)+(0.5*$F$9*K$15*$B45*$B45))*$B45/$C$8/1000)+K$17)*(100/$A45))*100</f>
        <v>133.5629286788499</v>
      </c>
      <c r="L45" s="95">
        <f>L$19/(((((L$14*$C$3*$E$3)+(0.5*$F$9*L$15*$B45*$B45))*$B45/$C$8/1000)+L$17)*(100/$A45))*100</f>
        <v>164.1996451205449</v>
      </c>
      <c r="M45" s="95">
        <f>M$19/(((((M$14*$C$3*$E$3)+(0.5*$F$9*M$15*$B45*$B45))*$B45/$C$8/1000)+M$17)*(100/$A45))*100</f>
        <v>202.5862788472517</v>
      </c>
      <c r="N45" s="95">
        <f>N$19/(((((N$14*$C$3*$E$3)+(0.5*$F$9*N$15*$B45*$B45))*$B45/$C$8/1000)+N$17)*(100/$A45))*100</f>
        <v>216.5059179602978</v>
      </c>
      <c r="O45" s="95">
        <f>O$19/(((((O$14*$C$3*$E$3)+(0.5*$F$9*O$15*$B45*$B45))*$B45/$C$8/1000)+O$17)*(100/$A45))*100</f>
        <v>361.3808524208607</v>
      </c>
      <c r="P45" s="95">
        <f>P$19/(((((P$14*$C$3*$E$3)+(0.5*$F$9*P$15*$B45*$B45))*$B45/$C$8/1000)+P$17)*(100/$A45))*100</f>
        <v>382.4716730719574</v>
      </c>
      <c r="Q45" s="95">
        <f>Q$19/(((((Q$14*$C$3*$E$3)+(0.5*$F$9*Q$15*$B45*$B45))*$B45/$C$8/1000)+Q$17)*(100/$A45))*100</f>
        <v>403.6388965828501</v>
      </c>
      <c r="R45" s="95">
        <f>R$19/(((((R$14*$C$3*$E$3)+(0.5*$F$9*R$15*$B45*$B45))*$B45/$C$8/1000)+R$17)*(100/$A45))*100</f>
        <v>265.4579919636829</v>
      </c>
      <c r="S45" s="15">
        <f>S$19/(((((S$14*$C$3*$E$3)+(0.5*$F$9*S$15*$B45*$B45))*$B45/$C$8/1000)+S$17)*(100/$A45))*100</f>
        <v>251.9068477541193</v>
      </c>
    </row>
    <row r="46" ht="20.35" customHeight="1">
      <c r="A46" s="73">
        <f>A45-5</f>
        <v>25</v>
      </c>
      <c r="B46" s="120">
        <f>A46*1000/3600</f>
        <v>6.944444444444445</v>
      </c>
      <c r="C46" s="95">
        <f>($C$11*$F$9*(B46*B46))/2</f>
        <v>20.03929928626543</v>
      </c>
      <c r="D46" s="95">
        <f>$C$12+C46</f>
        <v>154.3872492862654</v>
      </c>
      <c r="E46" s="95">
        <f>(D46*B46/$C$8)/1000</f>
        <v>1.531619536570094</v>
      </c>
      <c r="F46" s="95">
        <f>E46+$H$15</f>
        <v>3.031619536570093</v>
      </c>
      <c r="G46" s="95">
        <f>F46*(100/A46)</f>
        <v>12.12647814628037</v>
      </c>
      <c r="H46" s="95">
        <f>$C$4/G46*100</f>
        <v>248.2171627813699</v>
      </c>
      <c r="I46" s="19"/>
      <c r="J46" s="95">
        <f>J$19/(((((J$14*$C$3*$E$3)+(0.5*$F$9*J$15*$B46*$B46))*$B46/$C$8/1000)+J$17)*(100/$A46))*100</f>
        <v>98.00901386703327</v>
      </c>
      <c r="K46" s="95">
        <f>K$19/(((((K$14*$C$3*$E$3)+(0.5*$F$9*K$15*$B46*$B46))*$B46/$C$8/1000)+K$17)*(100/$A46))*100</f>
        <v>127.7298182486931</v>
      </c>
      <c r="L46" s="95">
        <f>L$19/(((((L$14*$C$3*$E$3)+(0.5*$F$9*L$15*$B46*$B46))*$B46/$C$8/1000)+L$17)*(100/$A46))*100</f>
        <v>158.1455248771504</v>
      </c>
      <c r="M46" s="95">
        <f>M$19/(((((M$14*$C$3*$E$3)+(0.5*$F$9*M$15*$B46*$B46))*$B46/$C$8/1000)+M$17)*(100/$A46))*100</f>
        <v>199.6377393621693</v>
      </c>
      <c r="N46" s="95">
        <f>N$19/(((((N$14*$C$3*$E$3)+(0.5*$F$9*N$15*$B46*$B46))*$B46/$C$8/1000)+N$17)*(100/$A46))*100</f>
        <v>213.2258693304196</v>
      </c>
      <c r="O46" s="95">
        <f>O$19/(((((O$14*$C$3*$E$3)+(0.5*$F$9*O$15*$B46*$B46))*$B46/$C$8/1000)+O$17)*(100/$A46))*100</f>
        <v>369.0594456974896</v>
      </c>
      <c r="P46" s="95">
        <f>P$19/(((((P$14*$C$3*$E$3)+(0.5*$F$9*P$15*$B46*$B46))*$B46/$C$8/1000)+P$17)*(100/$A46))*100</f>
        <v>390.2966668168876</v>
      </c>
      <c r="Q46" s="95">
        <f>Q$19/(((((Q$14*$C$3*$E$3)+(0.5*$F$9*Q$15*$B46*$B46))*$B46/$C$8/1000)+Q$17)*(100/$A46))*100</f>
        <v>411.588039102738</v>
      </c>
      <c r="R46" s="95">
        <f>R$19/(((((R$14*$C$3*$E$3)+(0.5*$F$9*R$15*$B46*$B46))*$B46/$C$8/1000)+R$17)*(100/$A46))*100</f>
        <v>253.0472857778002</v>
      </c>
      <c r="S46" s="15">
        <f>S$19/(((((S$14*$C$3*$E$3)+(0.5*$F$9*S$15*$B46*$B46))*$B46/$C$8/1000)+S$17)*(100/$A46))*100</f>
        <v>239.994097601353</v>
      </c>
    </row>
    <row r="47" ht="20.35" customHeight="1">
      <c r="A47" s="73">
        <f>A46-5</f>
        <v>20</v>
      </c>
      <c r="B47" s="120">
        <f>A47*1000/3600</f>
        <v>5.555555555555555</v>
      </c>
      <c r="C47" s="95">
        <f>($C$11*$F$9*(B47*B47))/2</f>
        <v>12.82515154320987</v>
      </c>
      <c r="D47" s="95">
        <f>$C$12+C47</f>
        <v>147.1731015432099</v>
      </c>
      <c r="E47" s="95">
        <f>(D47*B47/$C$8)/1000</f>
        <v>1.168040488438173</v>
      </c>
      <c r="F47" s="95">
        <f>E47+$H$15</f>
        <v>2.668040488438173</v>
      </c>
      <c r="G47" s="95">
        <f>F47*(100/A47)</f>
        <v>13.34020244219087</v>
      </c>
      <c r="H47" s="95">
        <f>$C$4/G47*100</f>
        <v>225.6337572869446</v>
      </c>
      <c r="I47" s="19"/>
      <c r="J47" s="95">
        <f>J$19/(((((J$14*$C$3*$E$3)+(0.5*$F$9*J$15*$B47*$B47))*$B47/$C$8/1000)+J$17)*(100/$A47))*100</f>
        <v>89.38734437551344</v>
      </c>
      <c r="K47" s="95">
        <f>K$19/(((((K$14*$C$3*$E$3)+(0.5*$F$9*K$15*$B47*$B47))*$B47/$C$8/1000)+K$17)*(100/$A47))*100</f>
        <v>117.8369008700518</v>
      </c>
      <c r="L47" s="95">
        <f>L$19/(((((L$14*$C$3*$E$3)+(0.5*$F$9*L$15*$B47*$B47))*$B47/$C$8/1000)+L$17)*(100/$A47))*100</f>
        <v>147.1780050895025</v>
      </c>
      <c r="M47" s="95">
        <f>M$19/(((((M$14*$C$3*$E$3)+(0.5*$F$9*M$15*$B47*$B47))*$B47/$C$8/1000)+M$17)*(100/$A47))*100</f>
        <v>191.2118531697504</v>
      </c>
      <c r="N47" s="95">
        <f>N$19/(((((N$14*$C$3*$E$3)+(0.5*$F$9*N$15*$B47*$B47))*$B47/$C$8/1000)+N$17)*(100/$A47))*100</f>
        <v>204.1230016592561</v>
      </c>
      <c r="O47" s="95">
        <f>O$19/(((((O$14*$C$3*$E$3)+(0.5*$F$9*O$15*$B47*$B47))*$B47/$C$8/1000)+O$17)*(100/$A47))*100</f>
        <v>368.6197651950812</v>
      </c>
      <c r="P47" s="95">
        <f>P$19/(((((P$14*$C$3*$E$3)+(0.5*$F$9*P$15*$B47*$B47))*$B47/$C$8/1000)+P$17)*(100/$A47))*100</f>
        <v>389.5669121554242</v>
      </c>
      <c r="Q47" s="95">
        <f>Q$19/(((((Q$14*$C$3*$E$3)+(0.5*$F$9*Q$15*$B47*$B47))*$B47/$C$8/1000)+Q$17)*(100/$A47))*100</f>
        <v>410.5479704328594</v>
      </c>
      <c r="R47" s="95">
        <f>R$19/(((((R$14*$C$3*$E$3)+(0.5*$F$9*R$15*$B47*$B47))*$B47/$C$8/1000)+R$17)*(100/$A47))*100</f>
        <v>232.0378121509574</v>
      </c>
      <c r="S47" s="15">
        <f>S$19/(((((S$14*$C$3*$E$3)+(0.5*$F$9*S$15*$B47*$B47))*$B47/$C$8/1000)+S$17)*(100/$A47))*100</f>
        <v>219.9678857498835</v>
      </c>
    </row>
    <row r="48" ht="20.35" customHeight="1">
      <c r="A48" s="73">
        <f>A47-5</f>
        <v>15</v>
      </c>
      <c r="B48" s="120">
        <f>A48*1000/3600</f>
        <v>4.166666666666667</v>
      </c>
      <c r="C48" s="95">
        <f>($C$11*$F$9*(B48*B48))/2</f>
        <v>7.214147743055555</v>
      </c>
      <c r="D48" s="95">
        <f>$C$12+C48</f>
        <v>141.5620977430555</v>
      </c>
      <c r="E48" s="95">
        <f>(D48*B48/$C$8)/1000</f>
        <v>0.8426315341848545</v>
      </c>
      <c r="F48" s="95">
        <f>E48+$H$15</f>
        <v>2.342631534184854</v>
      </c>
      <c r="G48" s="95">
        <f>F48*(100/A48)</f>
        <v>15.61754356123236</v>
      </c>
      <c r="H48" s="95">
        <f>$C$4/G48*100</f>
        <v>192.7319740264252</v>
      </c>
      <c r="I48" s="19"/>
      <c r="J48" s="95">
        <f>J$19/(((((J$14*$C$3*$E$3)+(0.5*$F$9*J$15*$B48*$B48))*$B48/$C$8/1000)+J$17)*(100/$A48))*100</f>
        <v>76.82959408059959</v>
      </c>
      <c r="K48" s="95">
        <f>K$19/(((((K$14*$C$3*$E$3)+(0.5*$F$9*K$15*$B48*$B48))*$B48/$C$8/1000)+K$17)*(100/$A48))*100</f>
        <v>102.7136534630117</v>
      </c>
      <c r="L48" s="95">
        <f>L$19/(((((L$14*$C$3*$E$3)+(0.5*$F$9*L$15*$B48*$B48))*$B48/$C$8/1000)+L$17)*(100/$A48))*100</f>
        <v>129.7114164694146</v>
      </c>
      <c r="M48" s="95">
        <f>M$19/(((((M$14*$C$3*$E$3)+(0.5*$F$9*M$15*$B48*$B48))*$B48/$C$8/1000)+M$17)*(100/$A48))*100</f>
        <v>174.9328776204106</v>
      </c>
      <c r="N48" s="95">
        <f>N$19/(((((N$14*$C$3*$E$3)+(0.5*$F$9*N$15*$B48*$B48))*$B48/$C$8/1000)+N$17)*(100/$A48))*100</f>
        <v>186.6721053439596</v>
      </c>
      <c r="O48" s="95">
        <f>O$19/(((((O$14*$C$3*$E$3)+(0.5*$F$9*O$15*$B48*$B48))*$B48/$C$8/1000)+O$17)*(100/$A48))*100</f>
        <v>355.394626298340</v>
      </c>
      <c r="P48" s="95">
        <f>P$19/(((((P$14*$C$3*$E$3)+(0.5*$F$9*P$15*$B48*$B48))*$B48/$C$8/1000)+P$17)*(100/$A48))*100</f>
        <v>375.3834785471697</v>
      </c>
      <c r="Q48" s="95">
        <f>Q$19/(((((Q$14*$C$3*$E$3)+(0.5*$F$9*Q$15*$B48*$B48))*$B48/$C$8/1000)+Q$17)*(100/$A48))*100</f>
        <v>395.3897816465252</v>
      </c>
      <c r="R48" s="95">
        <f>R$19/(((((R$14*$C$3*$E$3)+(0.5*$F$9*R$15*$B48*$B48))*$B48/$C$8/1000)+R$17)*(100/$A48))*100</f>
        <v>200.3184426132247</v>
      </c>
      <c r="S48" s="15">
        <f>S$19/(((((S$14*$C$3*$E$3)+(0.5*$F$9*S$15*$B48*$B48))*$B48/$C$8/1000)+S$17)*(100/$A48))*100</f>
        <v>189.835124010592</v>
      </c>
    </row>
    <row r="49" ht="20.35" customHeight="1">
      <c r="A49" s="73">
        <f>A48-5</f>
        <v>10</v>
      </c>
      <c r="B49" s="120">
        <f>A49*1000/3600</f>
        <v>2.777777777777778</v>
      </c>
      <c r="C49" s="95">
        <f>($C$11*$F$9*(B49*B49))/2</f>
        <v>3.206287885802468</v>
      </c>
      <c r="D49" s="95">
        <f>$C$12+C49</f>
        <v>137.5542378858025</v>
      </c>
      <c r="E49" s="95">
        <f>(D49*B49/$C$8)/1000</f>
        <v>0.545850150340486</v>
      </c>
      <c r="F49" s="95">
        <f>E49+$H$15</f>
        <v>2.045850150340486</v>
      </c>
      <c r="G49" s="95">
        <f>F49*(100/A49)</f>
        <v>20.45850150340486</v>
      </c>
      <c r="H49" s="95">
        <f>$C$4/G49*100</f>
        <v>147.1271001690448</v>
      </c>
      <c r="I49" s="19"/>
      <c r="J49" s="95">
        <f>J$19/(((((J$14*$C$3*$E$3)+(0.5*$F$9*J$15*$B49*$B49))*$B49/$C$8/1000)+J$17)*(100/$A49))*100</f>
        <v>59.22482330919919</v>
      </c>
      <c r="K49" s="95">
        <f>K$19/(((((K$14*$C$3*$E$3)+(0.5*$F$9*K$15*$B49*$B49))*$B49/$C$8/1000)+K$17)*(100/$A49))*100</f>
        <v>80.59261832121234</v>
      </c>
      <c r="L49" s="95">
        <f>L$19/(((((L$14*$C$3*$E$3)+(0.5*$F$9*L$15*$B49*$B49))*$B49/$C$8/1000)+L$17)*(100/$A49))*100</f>
        <v>103.2517565704389</v>
      </c>
      <c r="M49" s="95">
        <f>M$19/(((((M$14*$C$3*$E$3)+(0.5*$F$9*M$15*$B49*$B49))*$B49/$C$8/1000)+M$17)*(100/$A49))*100</f>
        <v>146.5528229673443</v>
      </c>
      <c r="N49" s="95">
        <f>N$19/(((((N$14*$C$3*$E$3)+(0.5*$F$9*N$15*$B49*$B49))*$B49/$C$8/1000)+N$17)*(100/$A49))*100</f>
        <v>156.347035065339</v>
      </c>
      <c r="O49" s="95">
        <f>O$19/(((((O$14*$C$3*$E$3)+(0.5*$F$9*O$15*$B49*$B49))*$B49/$C$8/1000)+O$17)*(100/$A49))*100</f>
        <v>320.1858966872347</v>
      </c>
      <c r="P49" s="95">
        <f>P$19/(((((P$14*$C$3*$E$3)+(0.5*$F$9*P$15*$B49*$B49))*$B49/$C$8/1000)+P$17)*(100/$A49))*100</f>
        <v>338.062244104224</v>
      </c>
      <c r="Q49" s="95">
        <f>Q$19/(((((Q$14*$C$3*$E$3)+(0.5*$F$9*Q$15*$B49*$B49))*$B49/$C$8/1000)+Q$17)*(100/$A49))*100</f>
        <v>355.9448152367283</v>
      </c>
      <c r="R49" s="95">
        <f>R$19/(((((R$14*$C$3*$E$3)+(0.5*$F$9*R$15*$B49*$B49))*$B49/$C$8/1000)+R$17)*(100/$A49))*100</f>
        <v>154.9502820069117</v>
      </c>
      <c r="S49" s="15">
        <f>S$19/(((((S$14*$C$3*$E$3)+(0.5*$F$9*S$15*$B49*$B49))*$B49/$C$8/1000)+S$17)*(100/$A49))*100</f>
        <v>146.8108917335165</v>
      </c>
    </row>
    <row r="50" ht="20.35" customHeight="1">
      <c r="A50" s="73">
        <f>A49-5</f>
        <v>5</v>
      </c>
      <c r="B50" s="120">
        <f>A50*1000/3600</f>
        <v>1.388888888888889</v>
      </c>
      <c r="C50" s="95">
        <f>($C$11*$F$9*(B50*B50))/2</f>
        <v>0.8015719714506171</v>
      </c>
      <c r="D50" s="95">
        <f>$C$12+C50</f>
        <v>135.1495219714506</v>
      </c>
      <c r="E50" s="95">
        <f>(D50*B50/$C$8)/1000</f>
        <v>0.2681538134354179</v>
      </c>
      <c r="F50" s="95">
        <f>E50+$H$15</f>
        <v>1.768153813435418</v>
      </c>
      <c r="G50" s="95">
        <f>F50*(100/A50)</f>
        <v>35.36307626870836</v>
      </c>
      <c r="H50" s="95">
        <f>$C$4/G50*100</f>
        <v>85.11702933105543</v>
      </c>
      <c r="I50" s="19"/>
      <c r="J50" s="95">
        <f>J$19/(((((J$14*$C$3*$E$3)+(0.5*$F$9*J$15*$B50*$B50))*$B50/$C$8/1000)+J$17)*(100/$A50))*100</f>
        <v>34.75321699852667</v>
      </c>
      <c r="K50" s="95">
        <f>K$19/(((((K$14*$C$3*$E$3)+(0.5*$F$9*K$15*$B50*$B50))*$B50/$C$8/1000)+K$17)*(100/$A50))*100</f>
        <v>48.41215232581352</v>
      </c>
      <c r="L50" s="95">
        <f>L$19/(((((L$14*$C$3*$E$3)+(0.5*$F$9*L$15*$B50*$B50))*$B50/$C$8/1000)+L$17)*(100/$A50))*100</f>
        <v>63.26559560683756</v>
      </c>
      <c r="M50" s="95">
        <f>M$19/(((((M$14*$C$3*$E$3)+(0.5*$F$9*M$15*$B50*$B50))*$B50/$C$8/1000)+M$17)*(100/$A50))*100</f>
        <v>96.87413629069911</v>
      </c>
      <c r="N50" s="95">
        <f>N$19/(((((N$14*$C$3*$E$3)+(0.5*$F$9*N$15*$B50*$B50))*$B50/$C$8/1000)+N$17)*(100/$A50))*100</f>
        <v>103.3350359908042</v>
      </c>
      <c r="O50" s="95">
        <f>O$19/(((((O$14*$C$3*$E$3)+(0.5*$F$9*O$15*$B50*$B50))*$B50/$C$8/1000)+O$17)*(100/$A50))*100</f>
        <v>238.392167509272</v>
      </c>
      <c r="P50" s="95">
        <f>P$19/(((((P$14*$C$3*$E$3)+(0.5*$F$9*P$15*$B50*$B50))*$B50/$C$8/1000)+P$17)*(100/$A50))*100</f>
        <v>251.6484033355027</v>
      </c>
      <c r="Q50" s="95">
        <f>Q$19/(((((Q$14*$C$3*$E$3)+(0.5*$F$9*Q$15*$B50*$B50))*$B50/$C$8/1000)+Q$17)*(100/$A50))*100</f>
        <v>264.9054962990977</v>
      </c>
      <c r="R50" s="95">
        <f>R$19/(((((R$14*$C$3*$E$3)+(0.5*$F$9*R$15*$B50*$B50))*$B50/$C$8/1000)+R$17)*(100/$A50))*100</f>
        <v>91.17714082244042</v>
      </c>
      <c r="S50" s="15">
        <f>S$19/(((((S$14*$C$3*$E$3)+(0.5*$F$9*S$15*$B50*$B50))*$B50/$C$8/1000)+S$17)*(100/$A50))*100</f>
        <v>86.37971908328835</v>
      </c>
    </row>
  </sheetData>
  <mergeCells count="1">
    <mergeCell ref="A1:S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E1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9.8594" style="6" customWidth="1"/>
    <col min="2" max="2" width="8.67188" style="6" customWidth="1"/>
    <col min="3" max="3" width="8.67188" style="6" customWidth="1"/>
    <col min="4" max="4" width="8.67188" style="6" customWidth="1"/>
    <col min="5" max="5" width="9.55469" style="6" customWidth="1"/>
    <col min="6" max="256" width="16.3516" style="6" customWidth="1"/>
  </cols>
  <sheetData>
    <row r="1" ht="29.25" customHeight="1">
      <c r="A1" t="s" s="7">
        <v>7</v>
      </c>
      <c r="B1" s="8"/>
      <c r="C1" t="s" s="7">
        <v>8</v>
      </c>
      <c r="D1" t="s" s="7">
        <v>9</v>
      </c>
      <c r="E1" s="8"/>
    </row>
    <row r="2" ht="18.45" customHeight="1">
      <c r="A2" t="s" s="9">
        <v>10</v>
      </c>
      <c r="B2" s="10">
        <v>1320</v>
      </c>
      <c r="C2" s="11">
        <v>1320</v>
      </c>
      <c r="D2" s="11">
        <v>1270</v>
      </c>
      <c r="E2" t="s" s="12">
        <v>11</v>
      </c>
    </row>
    <row r="3" ht="18.3" customHeight="1">
      <c r="A3" t="s" s="13">
        <v>12</v>
      </c>
      <c r="B3" s="14">
        <v>29.7</v>
      </c>
      <c r="C3" s="15">
        <v>29.7</v>
      </c>
      <c r="D3" s="15">
        <v>19.7</v>
      </c>
      <c r="E3" t="s" s="16">
        <v>13</v>
      </c>
    </row>
    <row r="4" ht="18.3" customHeight="1">
      <c r="A4" t="s" s="13">
        <v>14</v>
      </c>
      <c r="B4" s="17">
        <v>0.6</v>
      </c>
      <c r="C4" s="18"/>
      <c r="D4" s="18"/>
      <c r="E4" s="19"/>
    </row>
    <row r="5" ht="18.3" customHeight="1">
      <c r="A5" t="s" s="13">
        <v>15</v>
      </c>
      <c r="B5" s="14">
        <v>11400</v>
      </c>
      <c r="C5" s="19"/>
      <c r="D5" s="18"/>
      <c r="E5" t="s" s="16">
        <v>16</v>
      </c>
    </row>
    <row r="6" ht="18.3" customHeight="1">
      <c r="A6" t="s" s="13">
        <v>17</v>
      </c>
      <c r="B6" s="14">
        <v>9.699999999999999</v>
      </c>
      <c r="C6" s="19"/>
      <c r="D6" s="18"/>
      <c r="E6" s="19"/>
    </row>
    <row r="7" ht="18.3" customHeight="1">
      <c r="A7" t="s" s="13">
        <v>18</v>
      </c>
      <c r="B7" s="17">
        <v>0.95</v>
      </c>
      <c r="C7" s="18"/>
      <c r="D7" s="18"/>
      <c r="E7" s="15"/>
    </row>
    <row r="8" ht="18.3" customHeight="1">
      <c r="A8" t="s" s="13">
        <v>19</v>
      </c>
      <c r="B8" s="14">
        <v>0.29</v>
      </c>
      <c r="C8" s="15"/>
      <c r="D8" s="15"/>
      <c r="E8" s="15"/>
    </row>
    <row r="9" ht="18.3" customHeight="1">
      <c r="A9" t="s" s="13">
        <v>20</v>
      </c>
      <c r="B9" s="14">
        <v>2.38</v>
      </c>
      <c r="C9" s="15"/>
      <c r="D9" s="15"/>
      <c r="E9" t="s" s="16">
        <v>21</v>
      </c>
    </row>
    <row r="10" ht="18.3" customHeight="1">
      <c r="A10" t="s" s="13">
        <v>22</v>
      </c>
      <c r="B10" s="14">
        <f>B8*B9</f>
        <v>0.6901999999999999</v>
      </c>
      <c r="C10" s="15"/>
      <c r="D10" s="15"/>
      <c r="E10" s="19"/>
    </row>
    <row r="11" ht="18.3" customHeight="1">
      <c r="A11" t="s" s="13">
        <v>23</v>
      </c>
      <c r="B11" s="14">
        <v>0.05</v>
      </c>
      <c r="C11" s="15"/>
      <c r="D11" s="15"/>
      <c r="E11" t="s" s="16">
        <v>24</v>
      </c>
    </row>
    <row r="12" ht="18.3" customHeight="1">
      <c r="A12" t="s" s="13">
        <v>25</v>
      </c>
      <c r="B12" s="14">
        <v>9.81</v>
      </c>
      <c r="C12" s="15"/>
      <c r="D12" s="15"/>
      <c r="E12" t="s" s="16">
        <v>26</v>
      </c>
    </row>
    <row r="13" ht="18.3" customHeight="1">
      <c r="A13" t="s" s="13">
        <v>27</v>
      </c>
      <c r="B13" s="14">
        <v>0.01</v>
      </c>
      <c r="C13" s="15"/>
      <c r="D13" s="15"/>
      <c r="E13" s="16"/>
    </row>
    <row r="14" ht="18.3" customHeight="1">
      <c r="A14" t="s" s="13">
        <v>28</v>
      </c>
      <c r="B14" s="14">
        <v>0.008</v>
      </c>
      <c r="C14" s="15"/>
      <c r="D14" s="15"/>
      <c r="E14" s="16"/>
    </row>
    <row r="15" ht="18.3" customHeight="1">
      <c r="A15" t="s" s="13">
        <v>29</v>
      </c>
      <c r="B15" s="14">
        <v>0.006</v>
      </c>
      <c r="C15" s="15"/>
      <c r="D15" s="15"/>
      <c r="E15" s="16"/>
    </row>
    <row r="16" ht="18.3" customHeight="1">
      <c r="A16" t="s" s="13">
        <v>30</v>
      </c>
      <c r="B16" s="14">
        <v>0.0078</v>
      </c>
      <c r="C16" s="15"/>
      <c r="D16" s="15"/>
      <c r="E16" s="16"/>
    </row>
  </sheetData>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K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7.6953" style="20" customWidth="1"/>
    <col min="2" max="2" width="8.73438" style="20" customWidth="1"/>
    <col min="3" max="3" width="8.73438" style="20" customWidth="1"/>
    <col min="4" max="4" width="8.73438" style="20" customWidth="1"/>
    <col min="5" max="5" width="8.73438" style="20" customWidth="1"/>
    <col min="6" max="6" width="8.73438" style="20" customWidth="1"/>
    <col min="7" max="7" width="8.73438" style="20" customWidth="1"/>
    <col min="8" max="8" width="8.73438" style="20" customWidth="1"/>
    <col min="9" max="9" width="8.73438" style="20" customWidth="1"/>
    <col min="10" max="10" width="8.73438" style="20" customWidth="1"/>
    <col min="11" max="11" width="8.73438" style="20" customWidth="1"/>
    <col min="12" max="256" width="16.3516" style="20" customWidth="1"/>
  </cols>
  <sheetData>
    <row r="1" ht="20.55" customHeight="1">
      <c r="A1" t="s" s="7">
        <v>33</v>
      </c>
      <c r="B1" s="21">
        <v>-10</v>
      </c>
      <c r="C1" s="21">
        <v>-5</v>
      </c>
      <c r="D1" s="21">
        <v>0</v>
      </c>
      <c r="E1" s="21">
        <v>5</v>
      </c>
      <c r="F1" s="21">
        <v>10</v>
      </c>
      <c r="G1" s="21">
        <v>15</v>
      </c>
      <c r="H1" s="21">
        <v>20</v>
      </c>
      <c r="I1" s="21">
        <v>25</v>
      </c>
      <c r="J1" s="21">
        <v>30</v>
      </c>
      <c r="K1" s="21">
        <v>35</v>
      </c>
    </row>
    <row r="2" ht="20.55" customHeight="1">
      <c r="A2" t="s" s="9">
        <v>34</v>
      </c>
      <c r="B2" s="10">
        <v>1.3413</v>
      </c>
      <c r="C2" s="11">
        <v>1.3163</v>
      </c>
      <c r="D2" s="11">
        <v>1.292</v>
      </c>
      <c r="E2" s="11">
        <v>1.269</v>
      </c>
      <c r="F2" s="11">
        <v>1.2466</v>
      </c>
      <c r="G2" s="11">
        <v>1.225</v>
      </c>
      <c r="H2" s="11">
        <v>1.2041</v>
      </c>
      <c r="I2" s="11">
        <v>1.1839</v>
      </c>
      <c r="J2" s="11">
        <v>1.1644</v>
      </c>
      <c r="K2" s="11">
        <v>1.1455</v>
      </c>
    </row>
    <row r="3" ht="32.35" customHeight="1">
      <c r="A3" t="s" s="13">
        <v>35</v>
      </c>
      <c r="B3" s="22">
        <v>1</v>
      </c>
      <c r="C3" s="23">
        <v>0.8</v>
      </c>
      <c r="D3" s="23">
        <v>0.5</v>
      </c>
      <c r="E3" s="23">
        <v>0.3</v>
      </c>
      <c r="F3" s="23">
        <v>0.2</v>
      </c>
      <c r="G3" s="23">
        <v>0</v>
      </c>
      <c r="H3" s="23">
        <v>0</v>
      </c>
      <c r="I3" s="23">
        <v>0.1</v>
      </c>
      <c r="J3" s="23">
        <v>0.4</v>
      </c>
      <c r="K3" s="23">
        <v>1</v>
      </c>
    </row>
    <row r="4" ht="32.35" customHeight="1">
      <c r="A4" t="s" s="13">
        <v>36</v>
      </c>
      <c r="B4" s="22">
        <f>'RangeCalculation - Table 1'!$B$11+B3</f>
        <v>1.05</v>
      </c>
      <c r="C4" s="23">
        <f>'RangeCalculation - Table 1'!$B$11+C3</f>
        <v>0.8500000000000001</v>
      </c>
      <c r="D4" s="23">
        <f>'RangeCalculation - Table 1'!$B$11+D3</f>
        <v>0.55</v>
      </c>
      <c r="E4" s="23">
        <f>'RangeCalculation - Table 1'!$B$11+E3</f>
        <v>0.35</v>
      </c>
      <c r="F4" s="23">
        <f>'RangeCalculation - Table 1'!$B$11+F3</f>
        <v>0.25</v>
      </c>
      <c r="G4" s="23">
        <f>'RangeCalculation - Table 1'!$B$11+G3</f>
        <v>0.05</v>
      </c>
      <c r="H4" s="23">
        <f>'RangeCalculation - Table 1'!$B$11+H3</f>
        <v>0.05</v>
      </c>
      <c r="I4" s="23">
        <f>'RangeCalculation - Table 1'!$B$11+I3</f>
        <v>0.15</v>
      </c>
      <c r="J4" s="23">
        <f>'RangeCalculation - Table 1'!$B$11+J3</f>
        <v>0.45</v>
      </c>
      <c r="K4" s="23">
        <f>'RangeCalculation - Table 1'!$B$11+K3</f>
        <v>1.05</v>
      </c>
    </row>
    <row r="5" ht="20.35" customHeight="1">
      <c r="A5" t="s" s="13">
        <v>37</v>
      </c>
      <c r="B5" s="17">
        <v>0.6</v>
      </c>
      <c r="C5" s="18">
        <v>0.7</v>
      </c>
      <c r="D5" s="18">
        <v>0.75</v>
      </c>
      <c r="E5" s="18">
        <v>0.85</v>
      </c>
      <c r="F5" s="18">
        <v>0.9</v>
      </c>
      <c r="G5" s="18">
        <v>0.95</v>
      </c>
      <c r="H5" s="18">
        <v>0.97</v>
      </c>
      <c r="I5" s="18">
        <v>1</v>
      </c>
      <c r="J5" s="18">
        <v>0.99</v>
      </c>
      <c r="K5" s="18">
        <v>0.98</v>
      </c>
    </row>
    <row r="6" ht="32.35" customHeight="1">
      <c r="A6" t="s" s="13">
        <v>38</v>
      </c>
      <c r="B6" s="22">
        <f>'RangeCalculation - Table 1'!$B$3*B5</f>
        <v>17.82</v>
      </c>
      <c r="C6" s="23">
        <f>'RangeCalculation - Table 1'!$B$3*C5</f>
        <v>20.79</v>
      </c>
      <c r="D6" s="23">
        <f>'RangeCalculation - Table 1'!$B$3*D5</f>
        <v>22.275</v>
      </c>
      <c r="E6" s="23">
        <f>'RangeCalculation - Table 1'!$B$3*E5</f>
        <v>25.245</v>
      </c>
      <c r="F6" s="23">
        <f>'RangeCalculation - Table 1'!$B$3*F5</f>
        <v>26.73</v>
      </c>
      <c r="G6" s="23">
        <f>'RangeCalculation - Table 1'!$B$3*G5</f>
        <v>28.215</v>
      </c>
      <c r="H6" s="23">
        <f>'RangeCalculation - Table 1'!$B$3*H5</f>
        <v>28.809</v>
      </c>
      <c r="I6" s="23">
        <f>'RangeCalculation - Table 1'!$B$3*I5</f>
        <v>29.7</v>
      </c>
      <c r="J6" s="23">
        <f>'RangeCalculation - Table 1'!$B$3*J5</f>
        <v>29.403</v>
      </c>
      <c r="K6" s="23">
        <f>'RangeCalculation - Table 1'!$B$3*K5</f>
        <v>29.106</v>
      </c>
    </row>
  </sheetData>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2:C1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3.0469" style="24" customWidth="1"/>
    <col min="2" max="2" width="16.1172" style="24" customWidth="1"/>
    <col min="3" max="3" width="14" style="24" customWidth="1"/>
    <col min="4" max="256" width="16.3516" style="24" customWidth="1"/>
  </cols>
  <sheetData>
    <row r="1" ht="28" customHeight="1">
      <c r="A1" t="s" s="25">
        <v>39</v>
      </c>
      <c r="B1" s="25"/>
      <c r="C1" s="25"/>
    </row>
    <row r="2" ht="15.85" customHeight="1">
      <c r="A2" s="8"/>
      <c r="B2" s="8"/>
      <c r="C2" s="8"/>
    </row>
    <row r="3" ht="15.85" customHeight="1">
      <c r="A3" t="s" s="9">
        <v>41</v>
      </c>
      <c r="B3" s="10">
        <v>19</v>
      </c>
      <c r="C3" t="s" s="12">
        <v>42</v>
      </c>
    </row>
    <row r="4" ht="15.7" customHeight="1">
      <c r="A4" t="s" s="13">
        <v>43</v>
      </c>
      <c r="B4" s="14">
        <v>155</v>
      </c>
      <c r="C4" t="s" s="16">
        <v>44</v>
      </c>
    </row>
    <row r="5" ht="15.7" customHeight="1">
      <c r="A5" t="s" s="13">
        <v>45</v>
      </c>
      <c r="B5" s="14">
        <v>70</v>
      </c>
      <c r="C5" s="16"/>
    </row>
    <row r="6" ht="15.7" customHeight="1">
      <c r="A6" t="s" s="13">
        <v>46</v>
      </c>
      <c r="B6" s="14">
        <f>((B3*2.54)+(2*(B4*B5/1000)))</f>
        <v>69.95999999999999</v>
      </c>
      <c r="C6" t="s" s="16">
        <v>47</v>
      </c>
    </row>
    <row r="7" ht="15.7" customHeight="1">
      <c r="A7" t="s" s="13">
        <v>48</v>
      </c>
      <c r="B7" s="14">
        <f>B6*3.1415926535/100</f>
        <v>2.1978582203886</v>
      </c>
      <c r="C7" t="s" s="16">
        <v>49</v>
      </c>
    </row>
    <row r="8" ht="15.7" customHeight="1">
      <c r="A8" t="s" s="13">
        <v>50</v>
      </c>
      <c r="B8" s="14">
        <f>B7/'RangeCalculation - Table 1'!$B$6</f>
        <v>0.2265833216895464</v>
      </c>
      <c r="C8" t="s" s="16">
        <v>51</v>
      </c>
    </row>
    <row r="9" ht="15.7" customHeight="1">
      <c r="A9" t="s" s="13">
        <v>52</v>
      </c>
      <c r="B9" s="14">
        <f>'RangeCalculation - Table 1'!$B$5*B8*60/1000</f>
        <v>154.9829920356497</v>
      </c>
      <c r="C9" t="s" s="16">
        <v>53</v>
      </c>
    </row>
    <row r="10" ht="15.7" customHeight="1">
      <c r="A10" t="s" s="13">
        <v>54</v>
      </c>
      <c r="B10" s="14">
        <f>'RangeCalculation - Table 1'!B5/B9</f>
        <v>73.55645835884839</v>
      </c>
      <c r="C10" t="s" s="16">
        <v>54</v>
      </c>
    </row>
  </sheetData>
  <mergeCells count="1">
    <mergeCell ref="A1:C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2:B6"/>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16.3516" style="26" customWidth="1"/>
    <col min="2" max="2" width="16.3516" style="26" customWidth="1"/>
    <col min="3" max="256" width="16.3516" style="26" customWidth="1"/>
  </cols>
  <sheetData>
    <row r="1" ht="28" customHeight="1">
      <c r="A1" t="s" s="25">
        <v>55</v>
      </c>
      <c r="B1" s="25"/>
    </row>
    <row r="2" ht="20.55" customHeight="1">
      <c r="A2" t="s" s="7">
        <v>57</v>
      </c>
      <c r="B2" t="s" s="7">
        <v>58</v>
      </c>
    </row>
    <row r="3" ht="20.55" customHeight="1">
      <c r="A3" s="27">
        <v>-10</v>
      </c>
      <c r="B3" s="28">
        <v>0.6</v>
      </c>
    </row>
    <row r="4" ht="20.35" customHeight="1">
      <c r="A4" s="29">
        <v>0</v>
      </c>
      <c r="B4" s="30">
        <v>0.75</v>
      </c>
    </row>
    <row r="5" ht="20.35" customHeight="1">
      <c r="A5" s="29">
        <v>25</v>
      </c>
      <c r="B5" s="30">
        <v>1</v>
      </c>
    </row>
    <row r="6" ht="20.35" customHeight="1">
      <c r="A6" s="29">
        <v>60</v>
      </c>
      <c r="B6" s="30">
        <v>0.95</v>
      </c>
    </row>
  </sheetData>
  <mergeCells count="1">
    <mergeCell ref="A1:B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2:M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4766" style="31" customWidth="1"/>
    <col min="2" max="2" width="14.4141" style="31" customWidth="1"/>
    <col min="3" max="3" width="11.75" style="31" customWidth="1"/>
    <col min="4" max="4" width="8.54688" style="31" customWidth="1"/>
    <col min="5" max="5" width="8.54688" style="31" customWidth="1"/>
    <col min="6" max="6" width="8.54688" style="31" customWidth="1"/>
    <col min="7" max="7" width="8.54688" style="31" customWidth="1"/>
    <col min="8" max="8" width="8.54688" style="31" customWidth="1"/>
    <col min="9" max="9" width="8.54688" style="31" customWidth="1"/>
    <col min="10" max="10" width="8.54688" style="31" customWidth="1"/>
    <col min="11" max="11" width="8.54688" style="31" customWidth="1"/>
    <col min="12" max="12" width="8.54688" style="31" customWidth="1"/>
    <col min="13" max="13" width="8.54688" style="31" customWidth="1"/>
    <col min="14" max="256" width="16.3516" style="31" customWidth="1"/>
  </cols>
  <sheetData>
    <row r="1" ht="28" customHeight="1">
      <c r="A1" t="s" s="25">
        <v>59</v>
      </c>
      <c r="B1" s="25"/>
      <c r="C1" s="25"/>
      <c r="D1" s="25"/>
      <c r="E1" s="25"/>
      <c r="F1" s="25"/>
      <c r="G1" s="25"/>
      <c r="H1" s="25"/>
      <c r="I1" s="25"/>
      <c r="J1" s="25"/>
      <c r="K1" s="25"/>
      <c r="L1" s="25"/>
      <c r="M1" s="25"/>
    </row>
    <row r="2" ht="43.45" customHeight="1">
      <c r="A2" t="s" s="7">
        <v>61</v>
      </c>
      <c r="B2" t="s" s="7">
        <v>62</v>
      </c>
      <c r="C2" t="s" s="7">
        <v>63</v>
      </c>
      <c r="D2" s="21">
        <v>-10</v>
      </c>
      <c r="E2" s="21">
        <v>-5</v>
      </c>
      <c r="F2" s="21">
        <v>0</v>
      </c>
      <c r="G2" s="21">
        <v>5</v>
      </c>
      <c r="H2" s="21">
        <v>10</v>
      </c>
      <c r="I2" s="21">
        <v>15</v>
      </c>
      <c r="J2" s="21">
        <v>20</v>
      </c>
      <c r="K2" s="21">
        <v>25</v>
      </c>
      <c r="L2" s="21">
        <v>30</v>
      </c>
      <c r="M2" s="21">
        <v>35</v>
      </c>
    </row>
    <row r="3" ht="22.9" customHeight="1">
      <c r="A3" t="s" s="9">
        <v>64</v>
      </c>
      <c r="B3" s="10">
        <v>6.5</v>
      </c>
      <c r="C3" s="11">
        <f>(B3/1000)*'RangeCalculation - Table 1'!$B$2*'RangeCalculation - Table 1'!$B$12</f>
        <v>84.16980000000001</v>
      </c>
      <c r="D3" s="32">
        <f>$C3*(1+('RangeCalculation - Table 1'!$B$14*(D$2-24)))</f>
        <v>61.2756144</v>
      </c>
      <c r="E3" s="32">
        <f>$C3*(1+('RangeCalculation - Table 1'!$B$14*(E$2-24)))</f>
        <v>64.64240640000001</v>
      </c>
      <c r="F3" s="32">
        <f>$C3*(1+('RangeCalculation - Table 1'!$B$14*(F$2-24)))</f>
        <v>68.00919840000002</v>
      </c>
      <c r="G3" s="32">
        <f>$C3*(1+('RangeCalculation - Table 1'!$B$14*(G$2-24)))</f>
        <v>71.37599040000001</v>
      </c>
      <c r="H3" s="32">
        <f>$C3*(1+('RangeCalculation - Table 1'!$B$14*(H$2-24)))</f>
        <v>74.74278240000001</v>
      </c>
      <c r="I3" s="32">
        <f>$C3*(1+('RangeCalculation - Table 1'!$B$14*(I$2-24)))</f>
        <v>78.1095744</v>
      </c>
      <c r="J3" s="32">
        <f>$C3*(1+('RangeCalculation - Table 1'!$B$14*(J$2-24)))</f>
        <v>81.4763664</v>
      </c>
      <c r="K3" s="32">
        <f>$C3*(1+('RangeCalculation - Table 1'!$B$14*(K$2-24)))</f>
        <v>84.84315840000001</v>
      </c>
      <c r="L3" s="32">
        <f>$C3*(1+('RangeCalculation - Table 1'!$B$14*(L$2-24)))</f>
        <v>88.20995040000001</v>
      </c>
      <c r="M3" s="32">
        <f>$C3*(1+('RangeCalculation - Table 1'!$B$14*(M$2-24)))</f>
        <v>91.57674240000001</v>
      </c>
    </row>
    <row r="4" ht="22.7" customHeight="1">
      <c r="A4" t="s" s="13">
        <v>65</v>
      </c>
      <c r="B4" s="14">
        <v>7.7</v>
      </c>
      <c r="C4" s="15">
        <f>(B4/1000)*'RangeCalculation - Table 1'!$B$2*'RangeCalculation - Table 1'!$B$12</f>
        <v>99.70884</v>
      </c>
      <c r="D4" s="33">
        <f>$C4*(1+('RangeCalculation - Table 1'!$B$14*(D$2-24)))</f>
        <v>72.58803551999999</v>
      </c>
      <c r="E4" s="33">
        <f>$C4*(1+('RangeCalculation - Table 1'!$B$14*(E$2-24)))</f>
        <v>76.57638912</v>
      </c>
      <c r="F4" s="33">
        <f>$C4*(1+('RangeCalculation - Table 1'!$B$14*(F$2-24)))</f>
        <v>80.56474272</v>
      </c>
      <c r="G4" s="33">
        <f>$C4*(1+('RangeCalculation - Table 1'!$B$14*(G$2-24)))</f>
        <v>84.55309631999999</v>
      </c>
      <c r="H4" s="33">
        <f>$C4*(1+('RangeCalculation - Table 1'!$B$14*(H$2-24)))</f>
        <v>88.54144991999999</v>
      </c>
      <c r="I4" s="33">
        <f>$C4*(1+('RangeCalculation - Table 1'!$B$14*(I$2-24)))</f>
        <v>92.52980351999999</v>
      </c>
      <c r="J4" s="33">
        <f>$C4*(1+('RangeCalculation - Table 1'!$B$14*(J$2-24)))</f>
        <v>96.51815712</v>
      </c>
      <c r="K4" s="33">
        <f>$C4*(1+('RangeCalculation - Table 1'!$B$14*(K$2-24)))</f>
        <v>100.50651072</v>
      </c>
      <c r="L4" s="33">
        <f>$C4*(1+('RangeCalculation - Table 1'!$B$14*(L$2-24)))</f>
        <v>104.49486432</v>
      </c>
      <c r="M4" s="33">
        <f>$C4*(1+('RangeCalculation - Table 1'!$B$14*(M$2-24)))</f>
        <v>108.48321792</v>
      </c>
    </row>
    <row r="5" ht="22.7" customHeight="1">
      <c r="A5" t="s" s="13">
        <v>66</v>
      </c>
      <c r="B5" s="14">
        <v>9</v>
      </c>
      <c r="C5" s="15">
        <f>(B5/1000)*'RangeCalculation - Table 1'!$B$2*'RangeCalculation - Table 1'!$B$12</f>
        <v>116.5428</v>
      </c>
      <c r="D5" s="33">
        <f>$C5*(1+('RangeCalculation - Table 1'!$B$14*(D$2-24)))</f>
        <v>84.84315839999999</v>
      </c>
      <c r="E5" s="33">
        <f>$C5*(1+('RangeCalculation - Table 1'!$B$14*(E$2-24)))</f>
        <v>89.5048704</v>
      </c>
      <c r="F5" s="33">
        <f>$C5*(1+('RangeCalculation - Table 1'!$B$14*(F$2-24)))</f>
        <v>94.16658240000001</v>
      </c>
      <c r="G5" s="33">
        <f>$C5*(1+('RangeCalculation - Table 1'!$B$14*(G$2-24)))</f>
        <v>98.82829439999999</v>
      </c>
      <c r="H5" s="33">
        <f>$C5*(1+('RangeCalculation - Table 1'!$B$14*(H$2-24)))</f>
        <v>103.4900064</v>
      </c>
      <c r="I5" s="33">
        <f>$C5*(1+('RangeCalculation - Table 1'!$B$14*(I$2-24)))</f>
        <v>108.1517184</v>
      </c>
      <c r="J5" s="33">
        <f>$C5*(1+('RangeCalculation - Table 1'!$B$14*(J$2-24)))</f>
        <v>112.8134304</v>
      </c>
      <c r="K5" s="33">
        <f>$C5*(1+('RangeCalculation - Table 1'!$B$14*(K$2-24)))</f>
        <v>117.4751424</v>
      </c>
      <c r="L5" s="33">
        <f>$C5*(1+('RangeCalculation - Table 1'!$B$14*(L$2-24)))</f>
        <v>122.1368544</v>
      </c>
      <c r="M5" s="33">
        <f>$C5*(1+('RangeCalculation - Table 1'!$B$14*(M$2-24)))</f>
        <v>126.7985664</v>
      </c>
    </row>
    <row r="6" ht="22.7" customHeight="1">
      <c r="A6" t="s" s="13">
        <v>67</v>
      </c>
      <c r="B6" s="14">
        <v>10.5</v>
      </c>
      <c r="C6" s="15">
        <f>(B6/1000)*'RangeCalculation - Table 1'!$B$2*'RangeCalculation - Table 1'!$B$12</f>
        <v>135.9666</v>
      </c>
      <c r="D6" s="33">
        <f>$C6*(1+('RangeCalculation - Table 1'!$B$14*(D$2-24)))</f>
        <v>98.98368480000002</v>
      </c>
      <c r="E6" s="33">
        <f>$C6*(1+('RangeCalculation - Table 1'!$B$14*(E$2-24)))</f>
        <v>104.4223488</v>
      </c>
      <c r="F6" s="33">
        <f>$C6*(1+('RangeCalculation - Table 1'!$B$14*(F$2-24)))</f>
        <v>109.8610128</v>
      </c>
      <c r="G6" s="33">
        <f>$C6*(1+('RangeCalculation - Table 1'!$B$14*(G$2-24)))</f>
        <v>115.2996768</v>
      </c>
      <c r="H6" s="33">
        <f>$C6*(1+('RangeCalculation - Table 1'!$B$14*(H$2-24)))</f>
        <v>120.7383408</v>
      </c>
      <c r="I6" s="33">
        <f>$C6*(1+('RangeCalculation - Table 1'!$B$14*(I$2-24)))</f>
        <v>126.1770048</v>
      </c>
      <c r="J6" s="33">
        <f>$C6*(1+('RangeCalculation - Table 1'!$B$14*(J$2-24)))</f>
        <v>131.6156688</v>
      </c>
      <c r="K6" s="33">
        <f>$C6*(1+('RangeCalculation - Table 1'!$B$14*(K$2-24)))</f>
        <v>137.0543328</v>
      </c>
      <c r="L6" s="33">
        <f>$C6*(1+('RangeCalculation - Table 1'!$B$14*(L$2-24)))</f>
        <v>142.4929968</v>
      </c>
      <c r="M6" s="33">
        <f>$C6*(1+('RangeCalculation - Table 1'!$B$14*(M$2-24)))</f>
        <v>147.9316608</v>
      </c>
    </row>
    <row r="7" ht="22.7" customHeight="1">
      <c r="A7" t="s" s="13">
        <v>68</v>
      </c>
      <c r="B7" s="14">
        <v>12</v>
      </c>
      <c r="C7" s="15">
        <f>(B7/1000)*'RangeCalculation - Table 1'!$B$2*'RangeCalculation - Table 1'!$B$12</f>
        <v>155.3904</v>
      </c>
      <c r="D7" s="33">
        <f>$C7*(1+('RangeCalculation - Table 1'!$B$14*(D$2-24)))</f>
        <v>113.1242112</v>
      </c>
      <c r="E7" s="33">
        <f>$C7*(1+('RangeCalculation - Table 1'!$B$14*(E$2-24)))</f>
        <v>119.3398272</v>
      </c>
      <c r="F7" s="33">
        <f>$C7*(1+('RangeCalculation - Table 1'!$B$14*(F$2-24)))</f>
        <v>125.5554432</v>
      </c>
      <c r="G7" s="33">
        <f>$C7*(1+('RangeCalculation - Table 1'!$B$14*(G$2-24)))</f>
        <v>131.7710592</v>
      </c>
      <c r="H7" s="33">
        <f>$C7*(1+('RangeCalculation - Table 1'!$B$14*(H$2-24)))</f>
        <v>137.9866752</v>
      </c>
      <c r="I7" s="33">
        <f>$C7*(1+('RangeCalculation - Table 1'!$B$14*(I$2-24)))</f>
        <v>144.2022912</v>
      </c>
      <c r="J7" s="33">
        <f>$C7*(1+('RangeCalculation - Table 1'!$B$14*(J$2-24)))</f>
        <v>150.4179072</v>
      </c>
      <c r="K7" s="33">
        <f>$C7*(1+('RangeCalculation - Table 1'!$B$14*(K$2-24)))</f>
        <v>156.6335232</v>
      </c>
      <c r="L7" s="33">
        <f>$C7*(1+('RangeCalculation - Table 1'!$B$14*(L$2-24)))</f>
        <v>162.8491392</v>
      </c>
      <c r="M7" s="33">
        <f>$C7*(1+('RangeCalculation - Table 1'!$B$14*(M$2-24)))</f>
        <v>169.0647552</v>
      </c>
    </row>
  </sheetData>
  <mergeCells count="1">
    <mergeCell ref="A1:M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2:AI34"/>
  <sheetViews>
    <sheetView workbookViewId="0" showGridLines="0" defaultGridColor="1">
      <pane topLeftCell="B5" xSplit="1" ySplit="4" activePane="bottomRight" state="frozen"/>
    </sheetView>
  </sheetViews>
  <sheetFormatPr defaultColWidth="16.3333" defaultRowHeight="18" customHeight="1" outlineLevelRow="0" outlineLevelCol="0"/>
  <cols>
    <col min="1" max="1" width="5.47656" style="34" customWidth="1"/>
    <col min="2" max="2" width="8.6875" style="34" customWidth="1"/>
    <col min="3" max="3" width="5.49219" style="34" customWidth="1"/>
    <col min="4" max="4" width="5.49219" style="34" customWidth="1"/>
    <col min="5" max="5" width="5.49219" style="34" customWidth="1"/>
    <col min="6" max="6" width="5.49219" style="34" customWidth="1"/>
    <col min="7" max="7" width="5.49219" style="34" customWidth="1"/>
    <col min="8" max="8" width="5.49219" style="34" customWidth="1"/>
    <col min="9" max="9" width="5.49219" style="34" customWidth="1"/>
    <col min="10" max="10" width="5.49219" style="34" customWidth="1"/>
    <col min="11" max="11" width="5.49219" style="34" customWidth="1"/>
    <col min="12" max="12" width="5.49219" style="34" customWidth="1"/>
    <col min="13" max="13" width="9.53906" style="34" customWidth="1"/>
    <col min="14" max="14" width="9.53906" style="34" customWidth="1"/>
    <col min="15" max="15" width="9.53906" style="34" customWidth="1"/>
    <col min="16" max="16" width="4.83594" style="34" customWidth="1"/>
    <col min="17" max="17" width="4.83594" style="34" customWidth="1"/>
    <col min="18" max="18" width="4.83594" style="34" customWidth="1"/>
    <col min="19" max="19" width="4.83594" style="34" customWidth="1"/>
    <col min="20" max="20" width="4.83594" style="34" customWidth="1"/>
    <col min="21" max="21" width="4.83594" style="34" customWidth="1"/>
    <col min="22" max="22" width="4.83594" style="34" customWidth="1"/>
    <col min="23" max="23" width="4.83594" style="34" customWidth="1"/>
    <col min="24" max="24" width="4.83594" style="34" customWidth="1"/>
    <col min="25" max="25" width="4.83594" style="34" customWidth="1"/>
    <col min="26" max="26" width="5.35156" style="34" customWidth="1"/>
    <col min="27" max="27" width="5.35156" style="34" customWidth="1"/>
    <col min="28" max="28" width="5.35156" style="34" customWidth="1"/>
    <col min="29" max="29" width="5.35156" style="34" customWidth="1"/>
    <col min="30" max="30" width="5.35156" style="34" customWidth="1"/>
    <col min="31" max="31" width="5.35156" style="34" customWidth="1"/>
    <col min="32" max="32" width="5.35156" style="34" customWidth="1"/>
    <col min="33" max="33" width="5.35156" style="34" customWidth="1"/>
    <col min="34" max="34" width="5.35156" style="34" customWidth="1"/>
    <col min="35" max="35" width="5.35156" style="34" customWidth="1"/>
    <col min="36" max="256" width="16.3516" style="34" customWidth="1"/>
  </cols>
  <sheetData>
    <row r="1" ht="28" customHeight="1">
      <c r="A1" t="s" s="25">
        <v>69</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row>
    <row r="2" ht="18.85" customHeight="1">
      <c r="A2" s="35"/>
      <c r="B2" s="36"/>
      <c r="C2" t="s" s="37">
        <v>71</v>
      </c>
      <c r="D2" s="36"/>
      <c r="E2" s="36"/>
      <c r="F2" s="36"/>
      <c r="G2" s="36"/>
      <c r="H2" s="36"/>
      <c r="I2" s="36"/>
      <c r="J2" s="36"/>
      <c r="K2" s="36"/>
      <c r="L2" s="36"/>
      <c r="M2" t="s" s="37">
        <v>72</v>
      </c>
      <c r="N2" t="s" s="37">
        <v>73</v>
      </c>
      <c r="O2" t="s" s="37">
        <v>74</v>
      </c>
      <c r="P2" t="s" s="37">
        <v>75</v>
      </c>
      <c r="Q2" s="36"/>
      <c r="R2" s="36"/>
      <c r="S2" s="36"/>
      <c r="T2" s="36"/>
      <c r="U2" s="36"/>
      <c r="V2" s="36"/>
      <c r="W2" s="36"/>
      <c r="X2" s="36"/>
      <c r="Y2" s="36"/>
      <c r="Z2" t="s" s="37">
        <v>76</v>
      </c>
      <c r="AA2" s="36"/>
      <c r="AB2" s="36"/>
      <c r="AC2" s="36"/>
      <c r="AD2" s="36"/>
      <c r="AE2" s="36"/>
      <c r="AF2" s="36"/>
      <c r="AG2" s="36"/>
      <c r="AH2" s="36"/>
      <c r="AI2" s="38"/>
    </row>
    <row r="3" ht="18.85" customHeight="1">
      <c r="A3" s="39"/>
      <c r="B3" s="40"/>
      <c r="C3" s="41">
        <f>'RangeCalculation - Table 2'!B1</f>
        <v>-10</v>
      </c>
      <c r="D3" s="41">
        <f>'RangeCalculation - Table 2'!C1</f>
        <v>-5</v>
      </c>
      <c r="E3" s="41">
        <f>'RangeCalculation - Table 2'!D1</f>
        <v>0</v>
      </c>
      <c r="F3" s="41">
        <f>'RangeCalculation - Table 2'!E1</f>
        <v>5</v>
      </c>
      <c r="G3" s="41">
        <f>'RangeCalculation - Table 2'!F1</f>
        <v>10</v>
      </c>
      <c r="H3" s="41">
        <f>'RangeCalculation - Table 2'!G1</f>
        <v>15</v>
      </c>
      <c r="I3" s="41">
        <f>'RangeCalculation - Table 2'!H1</f>
        <v>20</v>
      </c>
      <c r="J3" s="41">
        <f>'RangeCalculation - Table 2'!I1</f>
        <v>25</v>
      </c>
      <c r="K3" s="41">
        <f>'RangeCalculation - Table 2'!J1</f>
        <v>30</v>
      </c>
      <c r="L3" s="41">
        <f>'RangeCalculation - Table 2'!K1</f>
        <v>35</v>
      </c>
      <c r="M3" s="40"/>
      <c r="N3" s="40"/>
      <c r="O3" s="40"/>
      <c r="P3" s="41">
        <f>'RangeCalculation - Table 2'!B1</f>
        <v>-10</v>
      </c>
      <c r="Q3" s="41">
        <f>'RangeCalculation - Table 2'!C1</f>
        <v>-5</v>
      </c>
      <c r="R3" s="41">
        <f>'RangeCalculation - Table 2'!D1</f>
        <v>0</v>
      </c>
      <c r="S3" s="41">
        <f>'RangeCalculation - Table 2'!E1</f>
        <v>5</v>
      </c>
      <c r="T3" s="41">
        <f>'RangeCalculation - Table 2'!F1</f>
        <v>10</v>
      </c>
      <c r="U3" s="41">
        <f>'RangeCalculation - Table 2'!G1</f>
        <v>15</v>
      </c>
      <c r="V3" s="41">
        <f>'RangeCalculation - Table 2'!H1</f>
        <v>20</v>
      </c>
      <c r="W3" s="41">
        <f>'RangeCalculation - Table 2'!I1</f>
        <v>25</v>
      </c>
      <c r="X3" s="41">
        <f>'RangeCalculation - Table 2'!J1</f>
        <v>30</v>
      </c>
      <c r="Y3" s="42">
        <f>'RangeCalculation - Table 2'!K1</f>
        <v>35</v>
      </c>
      <c r="Z3" s="43">
        <f>'RangeCalculation - Table 2'!B1</f>
        <v>-10</v>
      </c>
      <c r="AA3" s="41">
        <f>'RangeCalculation - Table 2'!C1</f>
        <v>-5</v>
      </c>
      <c r="AB3" s="41">
        <f>'RangeCalculation - Table 2'!D1</f>
        <v>0</v>
      </c>
      <c r="AC3" s="41">
        <f>'RangeCalculation - Table 2'!E1</f>
        <v>5</v>
      </c>
      <c r="AD3" s="41">
        <f>'RangeCalculation - Table 2'!F1</f>
        <v>10</v>
      </c>
      <c r="AE3" s="41">
        <f>'RangeCalculation - Table 2'!G1</f>
        <v>15</v>
      </c>
      <c r="AF3" s="41">
        <f>'RangeCalculation - Table 2'!H1</f>
        <v>20</v>
      </c>
      <c r="AG3" s="41">
        <f>'RangeCalculation - Table 2'!I1</f>
        <v>25</v>
      </c>
      <c r="AH3" s="41">
        <f>'RangeCalculation - Table 2'!J1</f>
        <v>30</v>
      </c>
      <c r="AI3" s="44">
        <f>'RangeCalculation - Table 2'!K1</f>
        <v>35</v>
      </c>
    </row>
    <row r="4" ht="18.85" customHeight="1">
      <c r="A4" t="s" s="39">
        <v>53</v>
      </c>
      <c r="B4" t="s" s="45">
        <v>77</v>
      </c>
      <c r="C4" s="41"/>
      <c r="D4" s="41"/>
      <c r="E4" s="41"/>
      <c r="F4" s="41"/>
      <c r="G4" s="41"/>
      <c r="H4" s="41"/>
      <c r="I4" s="41"/>
      <c r="J4" s="41"/>
      <c r="K4" s="41"/>
      <c r="L4" s="41"/>
      <c r="M4" s="41"/>
      <c r="N4" s="41"/>
      <c r="O4" s="41"/>
      <c r="P4" s="41"/>
      <c r="Q4" s="41"/>
      <c r="R4" s="41"/>
      <c r="S4" s="41"/>
      <c r="T4" s="41"/>
      <c r="U4" s="41"/>
      <c r="V4" s="41"/>
      <c r="W4" s="41"/>
      <c r="X4" s="41"/>
      <c r="Y4" s="42"/>
      <c r="Z4" s="43"/>
      <c r="AA4" s="41"/>
      <c r="AB4" s="41"/>
      <c r="AC4" s="41"/>
      <c r="AD4" s="41"/>
      <c r="AE4" s="41"/>
      <c r="AF4" s="41"/>
      <c r="AG4" s="41"/>
      <c r="AH4" s="41"/>
      <c r="AI4" s="44"/>
    </row>
    <row r="5" ht="21.45" customHeight="1">
      <c r="A5" s="46">
        <v>5</v>
      </c>
      <c r="B5" s="47">
        <f>A5*1000/3600</f>
        <v>1.388888888888889</v>
      </c>
      <c r="C5" s="48">
        <f>(0.5*'RangeCalculation - Table 1'!$B$10*'RangeCalculation - Table 2'!B$2*$B5^2)</f>
        <v>0.8929063078703702</v>
      </c>
      <c r="D5" s="48">
        <f>(0.5*'RangeCalculation - Table 1'!$B$10*'RangeCalculation - Table 2'!C$2*$B5^2)</f>
        <v>0.8762637538580246</v>
      </c>
      <c r="E5" s="48">
        <f>(0.5*'RangeCalculation - Table 1'!$B$10*'RangeCalculation - Table 2'!D$2*$B5^2)</f>
        <v>0.8600871913580246</v>
      </c>
      <c r="F5" s="48">
        <f>(0.5*'RangeCalculation - Table 1'!$B$10*'RangeCalculation - Table 2'!E$2*$B5^2)</f>
        <v>0.8447760416666665</v>
      </c>
      <c r="G5" s="48">
        <f>(0.5*'RangeCalculation - Table 1'!$B$10*'RangeCalculation - Table 2'!F$2*$B5^2)</f>
        <v>0.8298643132716048</v>
      </c>
      <c r="H5" s="48">
        <f>(0.5*'RangeCalculation - Table 1'!$B$10*'RangeCalculation - Table 2'!G$2*$B5^2)</f>
        <v>0.8154851466049382</v>
      </c>
      <c r="I5" s="48">
        <f>(0.5*'RangeCalculation - Table 1'!$B$10*'RangeCalculation - Table 2'!H$2*$B5^2)</f>
        <v>0.8015719714506171</v>
      </c>
      <c r="J5" s="48">
        <f>(0.5*'RangeCalculation - Table 1'!$B$10*'RangeCalculation - Table 2'!I$2*$B5^2)</f>
        <v>0.7881247878086418</v>
      </c>
      <c r="K5" s="48">
        <f>(0.5*'RangeCalculation - Table 1'!$B$10*'RangeCalculation - Table 2'!J$2*$B5^2)</f>
        <v>0.7751435956790124</v>
      </c>
      <c r="L5" s="48">
        <f>(0.5*'RangeCalculation - Table 1'!$B$10*'RangeCalculation - Table 2'!K$2*$B5^2)</f>
        <v>0.7625618248456789</v>
      </c>
      <c r="M5" s="49">
        <v>95</v>
      </c>
      <c r="N5" s="49">
        <f>95-(15*MAX(((65-$A5)/65),0))</f>
        <v>81.15384615384616</v>
      </c>
      <c r="O5" s="49">
        <f>M5*N5/100</f>
        <v>77.09615384615385</v>
      </c>
      <c r="P5" s="48">
        <f>((((('RangeCalculation - Rollreibungs'!D$4+C5)/('RangeCalculation - Table 1'!$B$7*$O5/100)*$B5/1000)+'RangeCalculation - Table 2'!B$4))*(100/$A5))</f>
        <v>23.78686476994691</v>
      </c>
      <c r="Q5" s="48">
        <f>((((('RangeCalculation - Rollreibungs'!E$4+D5)/('RangeCalculation - Table 1'!$B$7*$O5/100)*$B5/1000)+'RangeCalculation - Table 2'!C$4))*(100/$A5))</f>
        <v>19.93749731921934</v>
      </c>
      <c r="R5" s="48">
        <f>((((('RangeCalculation - Rollreibungs'!F$4+E5)/('RangeCalculation - Table 1'!$B$7*$O5/100)*$B5/1000)+'RangeCalculation - Table 2'!D$4))*(100/$A5))</f>
        <v>14.08814754185438</v>
      </c>
      <c r="S5" s="48">
        <f>((((('RangeCalculation - Rollreibungs'!G$4+F5)/('RangeCalculation - Table 1'!$B$7*$O5/100)*$B5/1000)+'RangeCalculation - Table 2'!E$4))*(100/$A5))</f>
        <v>10.23883058644852</v>
      </c>
      <c r="T5" s="48">
        <f>((((('RangeCalculation - Rollreibungs'!H$4+G5)/('RangeCalculation - Table 1'!$B$7*$O5/100)*$B5/1000)+'RangeCalculation - Table 2'!F$4))*(100/$A5))</f>
        <v>8.389528779639177</v>
      </c>
      <c r="U5" s="48">
        <f>((((('RangeCalculation - Rollreibungs'!I$4+H5)/('RangeCalculation - Table 1'!$B$7*$O5/100)*$B5/1000)+'RangeCalculation - Table 2'!G$4))*(100/$A5))</f>
        <v>4.540247170958514</v>
      </c>
      <c r="V5" s="48">
        <f>((((('RangeCalculation - Rollreibungs'!J$4+I5)/('RangeCalculation - Table 1'!$B$7*$O5/100)*$B5/1000)+'RangeCalculation - Table 2'!H$4))*(100/$A5))</f>
        <v>4.690983235640447</v>
      </c>
      <c r="W5" s="48">
        <f>((((('RangeCalculation - Rollreibungs'!K$4+J5)/('RangeCalculation - Table 1'!$B$7*$O5/100)*$B5/1000)+'RangeCalculation - Table 2'!I$4))*(100/$A5))</f>
        <v>6.841736973684976</v>
      </c>
      <c r="X5" s="48">
        <f>((((('RangeCalculation - Rollreibungs'!L$4+K5)/('RangeCalculation - Table 1'!$B$7*$O5/100)*$B5/1000)+'RangeCalculation - Table 2'!J$4))*(100/$A5))</f>
        <v>12.9925083850921</v>
      </c>
      <c r="Y5" s="50">
        <f>((((('RangeCalculation - Rollreibungs'!M$4+L5)/('RangeCalculation - Table 1'!$B$7*$O5/100)*$B5/1000)+'RangeCalculation - Table 2'!K$4))*(100/$A5))</f>
        <v>25.14329494509574</v>
      </c>
      <c r="Z5" s="51">
        <f>'RangeCalculation - Table 2'!B$6/P5*100</f>
        <v>74.91529536298691</v>
      </c>
      <c r="AA5" s="48">
        <f>'RangeCalculation - Table 2'!C$6/Q5*100</f>
        <v>104.2758760898183</v>
      </c>
      <c r="AB5" s="48">
        <f>'RangeCalculation - Table 2'!D$6/R5*100</f>
        <v>158.1116320213382</v>
      </c>
      <c r="AC5" s="48">
        <f>'RangeCalculation - Table 2'!E$6/S5*100</f>
        <v>246.5613605660466</v>
      </c>
      <c r="AD5" s="48">
        <f>'RangeCalculation - Table 2'!F$6/T5*100</f>
        <v>318.6114584274616</v>
      </c>
      <c r="AE5" s="48">
        <f>'RangeCalculation - Table 2'!G$6/U5*100</f>
        <v>621.4419377974831</v>
      </c>
      <c r="AF5" s="48">
        <f>'RangeCalculation - Table 2'!H$6/V5*100</f>
        <v>614.1356417801562</v>
      </c>
      <c r="AG5" s="48">
        <f>'RangeCalculation - Table 2'!I$6/W5*100</f>
        <v>434.1002893597575</v>
      </c>
      <c r="AH5" s="48">
        <f>'RangeCalculation - Table 2'!J$6/X5*100</f>
        <v>226.3073390334515</v>
      </c>
      <c r="AI5" s="52">
        <f>'RangeCalculation - Table 2'!K$6/Y5*100</f>
        <v>115.7604843102602</v>
      </c>
    </row>
    <row r="6" ht="21.45" customHeight="1">
      <c r="A6" s="53">
        <f>A5+5</f>
        <v>10</v>
      </c>
      <c r="B6" s="54">
        <f>A6*1000/3600</f>
        <v>2.777777777777778</v>
      </c>
      <c r="C6" s="55">
        <f>(0.5*'RangeCalculation - Table 1'!$B$10*'RangeCalculation - Table 2'!B$2*$B6^2)</f>
        <v>3.571625231481481</v>
      </c>
      <c r="D6" s="55">
        <f>(0.5*'RangeCalculation - Table 1'!$B$10*'RangeCalculation - Table 2'!C$2*$B6^2)</f>
        <v>3.505055015432098</v>
      </c>
      <c r="E6" s="55">
        <f>(0.5*'RangeCalculation - Table 1'!$B$10*'RangeCalculation - Table 2'!D$2*$B6^2)</f>
        <v>3.440348765432098</v>
      </c>
      <c r="F6" s="55">
        <f>(0.5*'RangeCalculation - Table 1'!$B$10*'RangeCalculation - Table 2'!E$2*$B6^2)</f>
        <v>3.379104166666666</v>
      </c>
      <c r="G6" s="55">
        <f>(0.5*'RangeCalculation - Table 1'!$B$10*'RangeCalculation - Table 2'!F$2*$B6^2)</f>
        <v>3.319457253086419</v>
      </c>
      <c r="H6" s="55">
        <f>(0.5*'RangeCalculation - Table 1'!$B$10*'RangeCalculation - Table 2'!G$2*$B6^2)</f>
        <v>3.261940586419753</v>
      </c>
      <c r="I6" s="55">
        <f>(0.5*'RangeCalculation - Table 1'!$B$10*'RangeCalculation - Table 2'!H$2*$B6^2)</f>
        <v>3.206287885802468</v>
      </c>
      <c r="J6" s="55">
        <f>(0.5*'RangeCalculation - Table 1'!$B$10*'RangeCalculation - Table 2'!I$2*$B6^2)</f>
        <v>3.152499151234567</v>
      </c>
      <c r="K6" s="55">
        <f>(0.5*'RangeCalculation - Table 1'!$B$10*'RangeCalculation - Table 2'!J$2*$B6^2)</f>
        <v>3.100574382716049</v>
      </c>
      <c r="L6" s="55">
        <f>(0.5*'RangeCalculation - Table 1'!$B$10*'RangeCalculation - Table 2'!K$2*$B6^2)</f>
        <v>3.050247299382716</v>
      </c>
      <c r="M6" s="56">
        <v>95</v>
      </c>
      <c r="N6" s="56">
        <f>95-(15*MAX(((65-$A6)/65),0))</f>
        <v>82.30769230769231</v>
      </c>
      <c r="O6" s="56">
        <f>M6*N6/100</f>
        <v>78.19230769230769</v>
      </c>
      <c r="P6" s="55">
        <f>((((('RangeCalculation - Rollreibungs'!D$4+C6)/('RangeCalculation - Table 1'!$B$7*$O6/100)*$B6/1000)+'RangeCalculation - Table 2'!B$4))*(100/$A6))</f>
        <v>13.34796641891037</v>
      </c>
      <c r="Q6" s="55">
        <f>((((('RangeCalculation - Rollreibungs'!E$4+D6)/('RangeCalculation - Table 1'!$B$7*$O6/100)*$B6/1000)+'RangeCalculation - Table 2'!C$4))*(100/$A6))</f>
        <v>11.49462026780524</v>
      </c>
      <c r="R6" s="55">
        <f>((((('RangeCalculation - Rollreibungs'!F$4+E6)/('RangeCalculation - Table 1'!$B$7*$O6/100)*$B6/1000)+'RangeCalculation - Table 2'!D$4))*(100/$A6))</f>
        <v>8.641343819120815</v>
      </c>
      <c r="S6" s="55">
        <f>((((('RangeCalculation - Rollreibungs'!G$4+F6)/('RangeCalculation - Table 1'!$B$7*$O6/100)*$B6/1000)+'RangeCalculation - Table 2'!E$4))*(100/$A6))</f>
        <v>6.78819681778913</v>
      </c>
      <c r="T6" s="55">
        <f>((((('RangeCalculation - Rollreibungs'!H$4+G6)/('RangeCalculation - Table 1'!$B$7*$O6/100)*$B6/1000)+'RangeCalculation - Table 2'!F$4))*(100/$A6))</f>
        <v>5.935109561389481</v>
      </c>
      <c r="U6" s="55">
        <f>((((('RangeCalculation - Rollreibungs'!I$4+H6)/('RangeCalculation - Table 1'!$B$7*$O6/100)*$B6/1000)+'RangeCalculation - Table 2'!G$4))*(100/$A6))</f>
        <v>4.082101964899212</v>
      </c>
      <c r="V6" s="55">
        <f>((((('RangeCalculation - Rollreibungs'!J$4+I6)/('RangeCalculation - Table 1'!$B$7*$O6/100)*$B6/1000)+'RangeCalculation - Table 2'!H$4))*(100/$A6))</f>
        <v>4.229164070829651</v>
      </c>
      <c r="W6" s="55">
        <f>((((('RangeCalculation - Rollreibungs'!K$4+J6)/('RangeCalculation - Table 1'!$B$7*$O6/100)*$B6/1000)+'RangeCalculation - Table 2'!I$4))*(100/$A6))</f>
        <v>5.376295879180796</v>
      </c>
      <c r="X6" s="55">
        <f>((((('RangeCalculation - Rollreibungs'!L$4+K6)/('RangeCalculation - Table 1'!$B$7*$O6/100)*$B6/1000)+'RangeCalculation - Table 2'!J$4))*(100/$A6))</f>
        <v>8.523497389952649</v>
      </c>
      <c r="Y6" s="57">
        <f>((((('RangeCalculation - Rollreibungs'!M$4+L6)/('RangeCalculation - Table 1'!$B$7*$O6/100)*$B6/1000)+'RangeCalculation - Table 2'!K$4))*(100/$A6))</f>
        <v>14.67075864565654</v>
      </c>
      <c r="Z6" s="58">
        <f>'RangeCalculation - Table 2'!B$6/P6*100</f>
        <v>133.503482408781</v>
      </c>
      <c r="AA6" s="55">
        <f>'RangeCalculation - Table 2'!C$6/Q6*100</f>
        <v>180.8672188869933</v>
      </c>
      <c r="AB6" s="55">
        <f>'RangeCalculation - Table 2'!D$6/R6*100</f>
        <v>257.7724074664384</v>
      </c>
      <c r="AC6" s="55">
        <f>'RangeCalculation - Table 2'!E$6/S6*100</f>
        <v>371.8955221487247</v>
      </c>
      <c r="AD6" s="55">
        <f>'RangeCalculation - Table 2'!F$6/T6*100</f>
        <v>450.3707930497274</v>
      </c>
      <c r="AE6" s="55">
        <f>'RangeCalculation - Table 2'!G$6/U6*100</f>
        <v>691.1880262328683</v>
      </c>
      <c r="AF6" s="55">
        <f>'RangeCalculation - Table 2'!H$6/V6*100</f>
        <v>681.1984476721526</v>
      </c>
      <c r="AG6" s="55">
        <f>'RangeCalculation - Table 2'!I$6/W6*100</f>
        <v>552.4249533030813</v>
      </c>
      <c r="AH6" s="55">
        <f>'RangeCalculation - Table 2'!J$6/X6*100</f>
        <v>344.9640289050801</v>
      </c>
      <c r="AI6" s="59">
        <f>'RangeCalculation - Table 2'!K$6/Y6*100</f>
        <v>198.3946481773606</v>
      </c>
    </row>
    <row r="7" ht="21.45" customHeight="1">
      <c r="A7" s="53">
        <f>A6+5</f>
        <v>15</v>
      </c>
      <c r="B7" s="60">
        <f>A7*1000/3600</f>
        <v>4.166666666666667</v>
      </c>
      <c r="C7" s="61">
        <f>(0.5*'RangeCalculation - Table 1'!$B$10*'RangeCalculation - Table 2'!B$2*$B7^2)</f>
        <v>8.036156770833333</v>
      </c>
      <c r="D7" s="61">
        <f>(0.5*'RangeCalculation - Table 1'!$B$10*'RangeCalculation - Table 2'!C$2*$B7^2)</f>
        <v>7.886373784722223</v>
      </c>
      <c r="E7" s="61">
        <f>(0.5*'RangeCalculation - Table 1'!$B$10*'RangeCalculation - Table 2'!D$2*$B7^2)</f>
        <v>7.740784722222223</v>
      </c>
      <c r="F7" s="61">
        <f>(0.5*'RangeCalculation - Table 1'!$B$10*'RangeCalculation - Table 2'!E$2*$B7^2)</f>
        <v>7.602984375</v>
      </c>
      <c r="G7" s="61">
        <f>(0.5*'RangeCalculation - Table 1'!$B$10*'RangeCalculation - Table 2'!F$2*$B7^2)</f>
        <v>7.468778819444444</v>
      </c>
      <c r="H7" s="61">
        <f>(0.5*'RangeCalculation - Table 1'!$B$10*'RangeCalculation - Table 2'!G$2*$B7^2)</f>
        <v>7.339366319444446</v>
      </c>
      <c r="I7" s="61">
        <f>(0.5*'RangeCalculation - Table 1'!$B$10*'RangeCalculation - Table 2'!H$2*$B7^2)</f>
        <v>7.214147743055555</v>
      </c>
      <c r="J7" s="61">
        <f>(0.5*'RangeCalculation - Table 1'!$B$10*'RangeCalculation - Table 2'!I$2*$B7^2)</f>
        <v>7.093123090277778</v>
      </c>
      <c r="K7" s="61">
        <f>(0.5*'RangeCalculation - Table 1'!$B$10*'RangeCalculation - Table 2'!J$2*$B7^2)</f>
        <v>6.976292361111113</v>
      </c>
      <c r="L7" s="61">
        <f>(0.5*'RangeCalculation - Table 1'!$B$10*'RangeCalculation - Table 2'!K$2*$B7^2)</f>
        <v>6.863056423611112</v>
      </c>
      <c r="M7" s="62">
        <v>95</v>
      </c>
      <c r="N7" s="62">
        <f>95-(15*MAX(((65-$A7)/65),0))</f>
        <v>83.46153846153847</v>
      </c>
      <c r="O7" s="62">
        <f>M7*N7/100</f>
        <v>79.28846153846155</v>
      </c>
      <c r="P7" s="61">
        <f>((((('RangeCalculation - Rollreibungs'!D$4+C7)/('RangeCalculation - Table 1'!$B$7*$O7/100)*$B7/1000)+'RangeCalculation - Table 2'!B$4))*(100/$A7))</f>
        <v>9.973235294747433</v>
      </c>
      <c r="Q7" s="61">
        <f>((((('RangeCalculation - Rollreibungs'!E$4+D7)/('RangeCalculation - Table 1'!$B$7*$O7/100)*$B7/1000)+'RangeCalculation - Table 2'!C$4))*(100/$A7))</f>
        <v>8.781459641637737</v>
      </c>
      <c r="R7" s="61">
        <f>((((('RangeCalculation - Rollreibungs'!F$4+E7)/('RangeCalculation - Table 1'!$B$7*$O7/100)*$B7/1000)+'RangeCalculation - Table 2'!D$4))*(100/$A7))</f>
        <v>6.923171984145108</v>
      </c>
      <c r="S7" s="61">
        <f>((((('RangeCalculation - Rollreibungs'!G$4+F7)/('RangeCalculation - Table 1'!$B$7*$O7/100)*$B7/1000)+'RangeCalculation - Table 2'!E$4))*(100/$A7))</f>
        <v>5.731838223274655</v>
      </c>
      <c r="T7" s="61">
        <f>((((('RangeCalculation - Rollreibungs'!H$4+G7)/('RangeCalculation - Table 1'!$B$7*$O7/100)*$B7/1000)+'RangeCalculation - Table 2'!F$4))*(100/$A7))</f>
        <v>5.207303696742643</v>
      </c>
      <c r="U7" s="61">
        <f>((((('RangeCalculation - Rollreibungs'!I$4+H7)/('RangeCalculation - Table 1'!$B$7*$O7/100)*$B7/1000)+'RangeCalculation - Table 2'!G$4))*(100/$A7))</f>
        <v>4.016279260439662</v>
      </c>
      <c r="V7" s="61">
        <f>((((('RangeCalculation - Rollreibungs'!J$4+I7)/('RangeCalculation - Table 1'!$B$7*$O7/100)*$B7/1000)+'RangeCalculation - Table 2'!H$4))*(100/$A7))</f>
        <v>4.158742819753749</v>
      </c>
      <c r="W7" s="61">
        <f>((((('RangeCalculation - Rollreibungs'!K$4+J7)/('RangeCalculation - Table 1'!$B$7*$O7/100)*$B7/1000)+'RangeCalculation - Table 2'!I$4))*(100/$A7))</f>
        <v>4.968027708018238</v>
      </c>
      <c r="X7" s="61">
        <f>((((('RangeCalculation - Rollreibungs'!L$4+K7)/('RangeCalculation - Table 1'!$B$7*$O7/100)*$B7/1000)+'RangeCalculation - Table 2'!J$4))*(100/$A7))</f>
        <v>7.110800591899797</v>
      </c>
      <c r="Y7" s="63">
        <f>((((('RangeCalculation - Rollreibungs'!M$4+L7)/('RangeCalculation - Table 1'!$B$7*$O7/100)*$B7/1000)+'RangeCalculation - Table 2'!K$4))*(100/$A7))</f>
        <v>11.25370604345313</v>
      </c>
      <c r="Z7" s="64">
        <f>'RangeCalculation - Table 2'!B$6/P7*100</f>
        <v>178.6782270080923</v>
      </c>
      <c r="AA7" s="61">
        <f>'RangeCalculation - Table 2'!C$6/Q7*100</f>
        <v>236.7487963097064</v>
      </c>
      <c r="AB7" s="61">
        <f>'RangeCalculation - Table 2'!D$6/R7*100</f>
        <v>321.7455820975185</v>
      </c>
      <c r="AC7" s="61">
        <f>'RangeCalculation - Table 2'!E$6/S7*100</f>
        <v>440.4346217848641</v>
      </c>
      <c r="AD7" s="61">
        <f>'RangeCalculation - Table 2'!F$6/T7*100</f>
        <v>513.317477847904</v>
      </c>
      <c r="AE7" s="61">
        <f>'RangeCalculation - Table 2'!G$6/U7*100</f>
        <v>702.515890215047</v>
      </c>
      <c r="AF7" s="61">
        <f>'RangeCalculation - Table 2'!H$6/V7*100</f>
        <v>692.7333871947835</v>
      </c>
      <c r="AG7" s="61">
        <f>'RangeCalculation - Table 2'!I$6/W7*100</f>
        <v>597.8227527206651</v>
      </c>
      <c r="AH7" s="61">
        <f>'RangeCalculation - Table 2'!J$6/X7*100</f>
        <v>413.4977436084223</v>
      </c>
      <c r="AI7" s="65">
        <f>'RangeCalculation - Table 2'!K$6/Y7*100</f>
        <v>258.6347989508086</v>
      </c>
    </row>
    <row r="8" ht="21.45" customHeight="1">
      <c r="A8" s="53">
        <f>A7+5</f>
        <v>20</v>
      </c>
      <c r="B8" s="54">
        <f>A8*1000/3600</f>
        <v>5.555555555555555</v>
      </c>
      <c r="C8" s="55">
        <f>(0.5*'RangeCalculation - Table 1'!$B$10*'RangeCalculation - Table 2'!B$2*$B8^2)</f>
        <v>14.28650092592592</v>
      </c>
      <c r="D8" s="55">
        <f>(0.5*'RangeCalculation - Table 1'!$B$10*'RangeCalculation - Table 2'!C$2*$B8^2)</f>
        <v>14.02022006172839</v>
      </c>
      <c r="E8" s="55">
        <f>(0.5*'RangeCalculation - Table 1'!$B$10*'RangeCalculation - Table 2'!D$2*$B8^2)</f>
        <v>13.76139506172839</v>
      </c>
      <c r="F8" s="55">
        <f>(0.5*'RangeCalculation - Table 1'!$B$10*'RangeCalculation - Table 2'!E$2*$B8^2)</f>
        <v>13.51641666666666</v>
      </c>
      <c r="G8" s="55">
        <f>(0.5*'RangeCalculation - Table 1'!$B$10*'RangeCalculation - Table 2'!F$2*$B8^2)</f>
        <v>13.27782901234568</v>
      </c>
      <c r="H8" s="55">
        <f>(0.5*'RangeCalculation - Table 1'!$B$10*'RangeCalculation - Table 2'!G$2*$B8^2)</f>
        <v>13.04776234567901</v>
      </c>
      <c r="I8" s="55">
        <f>(0.5*'RangeCalculation - Table 1'!$B$10*'RangeCalculation - Table 2'!H$2*$B8^2)</f>
        <v>12.82515154320987</v>
      </c>
      <c r="J8" s="55">
        <f>(0.5*'RangeCalculation - Table 1'!$B$10*'RangeCalculation - Table 2'!I$2*$B8^2)</f>
        <v>12.60999660493827</v>
      </c>
      <c r="K8" s="55">
        <f>(0.5*'RangeCalculation - Table 1'!$B$10*'RangeCalculation - Table 2'!J$2*$B8^2)</f>
        <v>12.4022975308642</v>
      </c>
      <c r="L8" s="55">
        <f>(0.5*'RangeCalculation - Table 1'!$B$10*'RangeCalculation - Table 2'!K$2*$B8^2)</f>
        <v>12.20098919753086</v>
      </c>
      <c r="M8" s="56">
        <v>95</v>
      </c>
      <c r="N8" s="56">
        <f>95-(15*MAX(((65-$A8)/65),0))</f>
        <v>84.61538461538461</v>
      </c>
      <c r="O8" s="56">
        <f>M8*N8/100</f>
        <v>80.38461538461539</v>
      </c>
      <c r="P8" s="55">
        <f>((((('RangeCalculation - Rollreibungs'!D$4+C8)/('RangeCalculation - Table 1'!$B$7*$O8/100)*$B8/1000)+'RangeCalculation - Table 2'!B$4))*(100/$A8))</f>
        <v>8.410046374540521</v>
      </c>
      <c r="Q8" s="55">
        <f>((((('RangeCalculation - Rollreibungs'!E$4+D8)/('RangeCalculation - Table 1'!$B$7*$O8/100)*$B8/1000)+'RangeCalculation - Table 2'!C$4))*(100/$A8))</f>
        <v>7.545436132411285</v>
      </c>
      <c r="R8" s="55">
        <f>((((('RangeCalculation - Rollreibungs'!F$4+E8)/('RangeCalculation - Table 1'!$B$7*$O8/100)*$B8/1000)+'RangeCalculation - Table 2'!D$4))*(100/$A8))</f>
        <v>6.181097096064438</v>
      </c>
      <c r="S8" s="55">
        <f>((((('RangeCalculation - Rollreibungs'!G$4+F8)/('RangeCalculation - Table 1'!$B$7*$O8/100)*$B8/1000)+'RangeCalculation - Table 2'!E$4))*(100/$A8))</f>
        <v>5.317261727599169</v>
      </c>
      <c r="T8" s="55">
        <f>((((('RangeCalculation - Rollreibungs'!H$4+G8)/('RangeCalculation - Table 1'!$B$7*$O8/100)*$B8/1000)+'RangeCalculation - Table 2'!F$4))*(100/$A8))</f>
        <v>4.953658821233089</v>
      </c>
      <c r="U8" s="55">
        <f>((((('RangeCalculation - Rollreibungs'!I$4+H8)/('RangeCalculation - Table 1'!$B$7*$O8/100)*$B8/1000)+'RangeCalculation - Table 2'!G$4))*(100/$A8))</f>
        <v>4.090365864332598</v>
      </c>
      <c r="V8" s="55">
        <f>((((('RangeCalculation - Rollreibungs'!J$4+I8)/('RangeCalculation - Table 1'!$B$7*$O8/100)*$B8/1000)+'RangeCalculation - Table 2'!H$4))*(100/$A8))</f>
        <v>4.227344113214494</v>
      </c>
      <c r="W8" s="55">
        <f>((((('RangeCalculation - Rollreibungs'!K$4+J8)/('RangeCalculation - Table 1'!$B$7*$O8/100)*$B8/1000)+'RangeCalculation - Table 2'!I$4))*(100/$A8))</f>
        <v>4.864593567878781</v>
      </c>
      <c r="X8" s="55">
        <f>((((('RangeCalculation - Rollreibungs'!L$4+K8)/('RangeCalculation - Table 1'!$B$7*$O8/100)*$B8/1000)+'RangeCalculation - Table 2'!J$4))*(100/$A8))</f>
        <v>6.502114228325455</v>
      </c>
      <c r="Y8" s="57">
        <f>((((('RangeCalculation - Rollreibungs'!M$4+L8)/('RangeCalculation - Table 1'!$B$7*$O8/100)*$B8/1000)+'RangeCalculation - Table 2'!K$4))*(100/$A8))</f>
        <v>9.63986735087132</v>
      </c>
      <c r="Z8" s="58">
        <f>'RangeCalculation - Table 2'!B$6/P8*100</f>
        <v>211.8894380172022</v>
      </c>
      <c r="AA8" s="55">
        <f>'RangeCalculation - Table 2'!C$6/Q8*100</f>
        <v>275.5307928549939</v>
      </c>
      <c r="AB8" s="55">
        <f>'RangeCalculation - Table 2'!D$6/R8*100</f>
        <v>360.3729184934289</v>
      </c>
      <c r="AC8" s="55">
        <f>'RangeCalculation - Table 2'!E$6/S8*100</f>
        <v>474.7744477005184</v>
      </c>
      <c r="AD8" s="55">
        <f>'RangeCalculation - Table 2'!F$6/T8*100</f>
        <v>539.6011506772733</v>
      </c>
      <c r="AE8" s="55">
        <f>'RangeCalculation - Table 2'!G$6/U8*100</f>
        <v>689.7915965422736</v>
      </c>
      <c r="AF8" s="55">
        <f>'RangeCalculation - Table 2'!H$6/V8*100</f>
        <v>681.491717457879</v>
      </c>
      <c r="AG8" s="55">
        <f>'RangeCalculation - Table 2'!I$6/W8*100</f>
        <v>610.5340474096536</v>
      </c>
      <c r="AH8" s="55">
        <f>'RangeCalculation - Table 2'!J$6/X8*100</f>
        <v>452.2067587171935</v>
      </c>
      <c r="AI8" s="59">
        <f>'RangeCalculation - Table 2'!K$6/Y8*100</f>
        <v>301.9336152729237</v>
      </c>
    </row>
    <row r="9" ht="21.45" customHeight="1">
      <c r="A9" s="53">
        <f>A8+5</f>
        <v>25</v>
      </c>
      <c r="B9" s="60">
        <f>A9*1000/3600</f>
        <v>6.944444444444445</v>
      </c>
      <c r="C9" s="61">
        <f>(0.5*'RangeCalculation - Table 1'!$B$10*'RangeCalculation - Table 2'!B$2*$B9^2)</f>
        <v>22.32265769675925</v>
      </c>
      <c r="D9" s="61">
        <f>(0.5*'RangeCalculation - Table 1'!$B$10*'RangeCalculation - Table 2'!C$2*$B9^2)</f>
        <v>21.90659384645062</v>
      </c>
      <c r="E9" s="61">
        <f>(0.5*'RangeCalculation - Table 1'!$B$10*'RangeCalculation - Table 2'!D$2*$B9^2)</f>
        <v>21.50217978395062</v>
      </c>
      <c r="F9" s="61">
        <f>(0.5*'RangeCalculation - Table 1'!$B$10*'RangeCalculation - Table 2'!E$2*$B9^2)</f>
        <v>21.11940104166666</v>
      </c>
      <c r="G9" s="61">
        <f>(0.5*'RangeCalculation - Table 1'!$B$10*'RangeCalculation - Table 2'!F$2*$B9^2)</f>
        <v>20.74660783179012</v>
      </c>
      <c r="H9" s="61">
        <f>(0.5*'RangeCalculation - Table 1'!$B$10*'RangeCalculation - Table 2'!G$2*$B9^2)</f>
        <v>20.38712866512346</v>
      </c>
      <c r="I9" s="61">
        <f>(0.5*'RangeCalculation - Table 1'!$B$10*'RangeCalculation - Table 2'!H$2*$B9^2)</f>
        <v>20.03929928626543</v>
      </c>
      <c r="J9" s="61">
        <f>(0.5*'RangeCalculation - Table 1'!$B$10*'RangeCalculation - Table 2'!I$2*$B9^2)</f>
        <v>19.70311969521605</v>
      </c>
      <c r="K9" s="61">
        <f>(0.5*'RangeCalculation - Table 1'!$B$10*'RangeCalculation - Table 2'!J$2*$B9^2)</f>
        <v>19.37858989197531</v>
      </c>
      <c r="L9" s="61">
        <f>(0.5*'RangeCalculation - Table 1'!$B$10*'RangeCalculation - Table 2'!K$2*$B9^2)</f>
        <v>19.06404562114198</v>
      </c>
      <c r="M9" s="62">
        <v>95</v>
      </c>
      <c r="N9" s="62">
        <f>95-(15*MAX(((65-$A9)/65),0))</f>
        <v>85.76923076923077</v>
      </c>
      <c r="O9" s="62">
        <f>M9*N9/100</f>
        <v>81.48076923076924</v>
      </c>
      <c r="P9" s="61">
        <f>((((('RangeCalculation - Rollreibungs'!D$4+C9)/('RangeCalculation - Table 1'!$B$7*$O9/100)*$B9/1000)+'RangeCalculation - Table 2'!B$4))*(100/$A9))</f>
        <v>7.605915892210698</v>
      </c>
      <c r="Q9" s="61">
        <f>((((('RangeCalculation - Rollreibungs'!E$4+D9)/('RangeCalculation - Table 1'!$B$7*$O9/100)*$B9/1000)+'RangeCalculation - Table 2'!C$4))*(100/$A9))</f>
        <v>6.934109228679837</v>
      </c>
      <c r="R9" s="61">
        <f>((((('RangeCalculation - Rollreibungs'!F$4+E9)/('RangeCalculation - Table 1'!$B$7*$O9/100)*$B9/1000)+'RangeCalculation - Table 2'!D$4))*(100/$A9))</f>
        <v>5.862720623389764</v>
      </c>
      <c r="S9" s="61">
        <f>((((('RangeCalculation - Rollreibungs'!G$4+F9)/('RangeCalculation - Table 1'!$B$7*$O9/100)*$B9/1000)+'RangeCalculation - Table 2'!E$4))*(100/$A9))</f>
        <v>5.192108411975445</v>
      </c>
      <c r="T9" s="61">
        <f>((((('RangeCalculation - Rollreibungs'!H$4+G9)/('RangeCalculation - Table 1'!$B$7*$O9/100)*$B9/1000)+'RangeCalculation - Table 2'!F$4))*(100/$A9))</f>
        <v>4.921854536196087</v>
      </c>
      <c r="U9" s="61">
        <f>((((('RangeCalculation - Rollreibungs'!I$4+H9)/('RangeCalculation - Table 1'!$B$7*$O9/100)*$B9/1000)+'RangeCalculation - Table 2'!G$4))*(100/$A9))</f>
        <v>4.252078441263348</v>
      </c>
      <c r="V9" s="61">
        <f>((((('RangeCalculation - Rollreibungs'!J$4+I9)/('RangeCalculation - Table 1'!$B$7*$O9/100)*$B9/1000)+'RangeCalculation - Table 2'!H$4))*(100/$A9))</f>
        <v>4.382720404571398</v>
      </c>
      <c r="W9" s="61">
        <f>((((('RangeCalculation - Rollreibungs'!K$4+J9)/('RangeCalculation - Table 1'!$B$7*$O9/100)*$B9/1000)+'RangeCalculation - Table 2'!I$4))*(100/$A9))</f>
        <v>4.913780426120237</v>
      </c>
      <c r="X9" s="61">
        <f>((((('RangeCalculation - Rollreibungs'!L$4+K9)/('RangeCalculation - Table 1'!$B$7*$O9/100)*$B9/1000)+'RangeCalculation - Table 2'!J$4))*(100/$A9))</f>
        <v>6.245258505909867</v>
      </c>
      <c r="Y9" s="63">
        <f>((((('RangeCalculation - Rollreibungs'!M$4+L9)/('RangeCalculation - Table 1'!$B$7*$O9/100)*$B9/1000)+'RangeCalculation - Table 2'!K$4))*(100/$A9))</f>
        <v>8.777094921334459</v>
      </c>
      <c r="Z9" s="64">
        <f>'RangeCalculation - Table 2'!B$6/P9*100</f>
        <v>234.2913102450904</v>
      </c>
      <c r="AA9" s="61">
        <f>'RangeCalculation - Table 2'!C$6/Q9*100</f>
        <v>299.8222167313355</v>
      </c>
      <c r="AB9" s="61">
        <f>'RangeCalculation - Table 2'!D$6/R9*100</f>
        <v>379.9430576843831</v>
      </c>
      <c r="AC9" s="61">
        <f>'RangeCalculation - Table 2'!E$6/S9*100</f>
        <v>486.2186610312903</v>
      </c>
      <c r="AD9" s="61">
        <f>'RangeCalculation - Table 2'!F$6/T9*100</f>
        <v>543.0879722962839</v>
      </c>
      <c r="AE9" s="61">
        <f>'RangeCalculation - Table 2'!G$6/U9*100</f>
        <v>663.5578432936189</v>
      </c>
      <c r="AF9" s="61">
        <f>'RangeCalculation - Table 2'!H$6/V9*100</f>
        <v>657.3314594732249</v>
      </c>
      <c r="AG9" s="61">
        <f>'RangeCalculation - Table 2'!I$6/W9*100</f>
        <v>604.4226120101619</v>
      </c>
      <c r="AH9" s="61">
        <f>'RangeCalculation - Table 2'!J$6/X9*100</f>
        <v>470.8051711898881</v>
      </c>
      <c r="AI9" s="65">
        <f>'RangeCalculation - Table 2'!K$6/Y9*100</f>
        <v>331.6131392091036</v>
      </c>
    </row>
    <row r="10" ht="21.45" customHeight="1">
      <c r="A10" s="53">
        <f>A9+5</f>
        <v>30</v>
      </c>
      <c r="B10" s="54">
        <f>A10*1000/3600</f>
        <v>8.333333333333334</v>
      </c>
      <c r="C10" s="55">
        <f>(0.5*'RangeCalculation - Table 1'!$B$10*'RangeCalculation - Table 2'!B$2*$B10^2)</f>
        <v>32.14462708333333</v>
      </c>
      <c r="D10" s="55">
        <f>(0.5*'RangeCalculation - Table 1'!$B$10*'RangeCalculation - Table 2'!C$2*$B10^2)</f>
        <v>31.54549513888889</v>
      </c>
      <c r="E10" s="55">
        <f>(0.5*'RangeCalculation - Table 1'!$B$10*'RangeCalculation - Table 2'!D$2*$B10^2)</f>
        <v>30.96313888888889</v>
      </c>
      <c r="F10" s="55">
        <f>(0.5*'RangeCalculation - Table 1'!$B$10*'RangeCalculation - Table 2'!E$2*$B10^2)</f>
        <v>30.4119375</v>
      </c>
      <c r="G10" s="55">
        <f>(0.5*'RangeCalculation - Table 1'!$B$10*'RangeCalculation - Table 2'!F$2*$B10^2)</f>
        <v>29.87511527777778</v>
      </c>
      <c r="H10" s="55">
        <f>(0.5*'RangeCalculation - Table 1'!$B$10*'RangeCalculation - Table 2'!G$2*$B10^2)</f>
        <v>29.35746527777778</v>
      </c>
      <c r="I10" s="55">
        <f>(0.5*'RangeCalculation - Table 1'!$B$10*'RangeCalculation - Table 2'!H$2*$B10^2)</f>
        <v>28.85659097222222</v>
      </c>
      <c r="J10" s="55">
        <f>(0.5*'RangeCalculation - Table 1'!$B$10*'RangeCalculation - Table 2'!I$2*$B10^2)</f>
        <v>28.37249236111111</v>
      </c>
      <c r="K10" s="55">
        <f>(0.5*'RangeCalculation - Table 1'!$B$10*'RangeCalculation - Table 2'!J$2*$B10^2)</f>
        <v>27.90516944444445</v>
      </c>
      <c r="L10" s="55">
        <f>(0.5*'RangeCalculation - Table 1'!$B$10*'RangeCalculation - Table 2'!K$2*$B10^2)</f>
        <v>27.45222569444445</v>
      </c>
      <c r="M10" s="56">
        <v>95</v>
      </c>
      <c r="N10" s="56">
        <f>95-(15*MAX(((65-$A10)/65),0))</f>
        <v>86.92307692307692</v>
      </c>
      <c r="O10" s="56">
        <f>M10*N10/100</f>
        <v>82.57692307692307</v>
      </c>
      <c r="P10" s="55">
        <f>((((('RangeCalculation - Rollreibungs'!D$4+C10)/('RangeCalculation - Table 1'!$B$7*$O10/100)*$B10/1000)+'RangeCalculation - Table 2'!B$4))*(100/$A10))</f>
        <v>7.208491963063745</v>
      </c>
      <c r="Q10" s="55">
        <f>((((('RangeCalculation - Rollreibungs'!E$4+D10)/('RangeCalculation - Table 1'!$B$7*$O10/100)*$B10/1000)+'RangeCalculation - Table 2'!C$4))*(100/$A10))</f>
        <v>6.661834670342558</v>
      </c>
      <c r="R10" s="55">
        <f>((((('RangeCalculation - Rollreibungs'!F$4+E10)/('RangeCalculation - Table 1'!$B$7*$O10/100)*$B10/1000)+'RangeCalculation - Table 2'!D$4))*(100/$A10))</f>
        <v>5.782438056953007</v>
      </c>
      <c r="S10" s="55">
        <f>((((('RangeCalculation - Rollreibungs'!G$4+F10)/('RangeCalculation - Table 1'!$B$7*$O10/100)*$B10/1000)+'RangeCalculation - Table 2'!E$4))*(100/$A10))</f>
        <v>5.237477943274582</v>
      </c>
      <c r="T10" s="55">
        <f>((((('RangeCalculation - Rollreibungs'!H$4+G10)/('RangeCalculation - Table 1'!$B$7*$O10/100)*$B10/1000)+'RangeCalculation - Table 2'!F$4))*(100/$A10))</f>
        <v>5.026360316642321</v>
      </c>
      <c r="U10" s="55">
        <f>((((('RangeCalculation - Rollreibungs'!I$4+H10)/('RangeCalculation - Table 1'!$B$7*$O10/100)*$B10/1000)+'RangeCalculation - Table 2'!G$4))*(100/$A10))</f>
        <v>4.482588228293829</v>
      </c>
      <c r="V10" s="55">
        <f>((((('RangeCalculation - Rollreibungs'!J$4+I10)/('RangeCalculation - Table 1'!$B$7*$O10/100)*$B10/1000)+'RangeCalculation - Table 2'!H$4))*(100/$A10))</f>
        <v>4.60607681927697</v>
      </c>
      <c r="W10" s="55">
        <f>((((('RangeCalculation - Rollreibungs'!K$4+J10)/('RangeCalculation - Table 1'!$B$7*$O10/100)*$B10/1000)+'RangeCalculation - Table 2'!I$4))*(100/$A10))</f>
        <v>5.063492756258413</v>
      </c>
      <c r="X10" s="55">
        <f>((((('RangeCalculation - Rollreibungs'!L$4+K10)/('RangeCalculation - Table 1'!$B$7*$O10/100)*$B10/1000)+'RangeCalculation - Table 2'!J$4))*(100/$A10))</f>
        <v>6.188169372571488</v>
      </c>
      <c r="Y10" s="57">
        <f>((((('RangeCalculation - Rollreibungs'!M$4+L10)/('RangeCalculation - Table 1'!$B$7*$O10/100)*$B10/1000)+'RangeCalculation - Table 2'!K$4))*(100/$A10))</f>
        <v>8.313355142597391</v>
      </c>
      <c r="Z10" s="58">
        <f>'RangeCalculation - Table 2'!B$6/P10*100</f>
        <v>247.2084326556725</v>
      </c>
      <c r="AA10" s="55">
        <f>'RangeCalculation - Table 2'!C$6/Q10*100</f>
        <v>312.0761926523607</v>
      </c>
      <c r="AB10" s="55">
        <f>'RangeCalculation - Table 2'!D$6/R10*100</f>
        <v>385.2181342991777</v>
      </c>
      <c r="AC10" s="55">
        <f>'RangeCalculation - Table 2'!E$6/S10*100</f>
        <v>482.0068031487745</v>
      </c>
      <c r="AD10" s="55">
        <f>'RangeCalculation - Table 2'!F$6/T10*100</f>
        <v>531.7963360385595</v>
      </c>
      <c r="AE10" s="55">
        <f>'RangeCalculation - Table 2'!G$6/U10*100</f>
        <v>629.4354636883353</v>
      </c>
      <c r="AF10" s="55">
        <f>'RangeCalculation - Table 2'!H$6/V10*100</f>
        <v>625.4563510411066</v>
      </c>
      <c r="AG10" s="55">
        <f>'RangeCalculation - Table 2'!I$6/W10*100</f>
        <v>586.5516438883253</v>
      </c>
      <c r="AH10" s="55">
        <f>'RangeCalculation - Table 2'!J$6/X10*100</f>
        <v>475.1485977472787</v>
      </c>
      <c r="AI10" s="59">
        <f>'RangeCalculation - Table 2'!K$6/Y10*100</f>
        <v>350.1113509617999</v>
      </c>
    </row>
    <row r="11" ht="21.45" customHeight="1">
      <c r="A11" s="53">
        <f>A10+5</f>
        <v>35</v>
      </c>
      <c r="B11" s="60">
        <f>A11*1000/3600</f>
        <v>9.722222222222221</v>
      </c>
      <c r="C11" s="61">
        <f>(0.5*'RangeCalculation - Table 1'!$B$10*'RangeCalculation - Table 2'!B$2*$B11^2)</f>
        <v>43.75240908564813</v>
      </c>
      <c r="D11" s="61">
        <f>(0.5*'RangeCalculation - Table 1'!$B$10*'RangeCalculation - Table 2'!C$2*$B11^2)</f>
        <v>42.9369239390432</v>
      </c>
      <c r="E11" s="61">
        <f>(0.5*'RangeCalculation - Table 1'!$B$10*'RangeCalculation - Table 2'!D$2*$B11^2)</f>
        <v>42.1442723765432</v>
      </c>
      <c r="F11" s="61">
        <f>(0.5*'RangeCalculation - Table 1'!$B$10*'RangeCalculation - Table 2'!E$2*$B11^2)</f>
        <v>41.39402604166666</v>
      </c>
      <c r="G11" s="61">
        <f>(0.5*'RangeCalculation - Table 1'!$B$10*'RangeCalculation - Table 2'!F$2*$B11^2)</f>
        <v>40.66335135030863</v>
      </c>
      <c r="H11" s="61">
        <f>(0.5*'RangeCalculation - Table 1'!$B$10*'RangeCalculation - Table 2'!G$2*$B11^2)</f>
        <v>39.95877218364197</v>
      </c>
      <c r="I11" s="61">
        <f>(0.5*'RangeCalculation - Table 1'!$B$10*'RangeCalculation - Table 2'!H$2*$B11^2)</f>
        <v>39.27702660108024</v>
      </c>
      <c r="J11" s="61">
        <f>(0.5*'RangeCalculation - Table 1'!$B$10*'RangeCalculation - Table 2'!I$2*$B11^2)</f>
        <v>38.61811460262344</v>
      </c>
      <c r="K11" s="61">
        <f>(0.5*'RangeCalculation - Table 1'!$B$10*'RangeCalculation - Table 2'!J$2*$B11^2)</f>
        <v>37.9820361882716</v>
      </c>
      <c r="L11" s="61">
        <f>(0.5*'RangeCalculation - Table 1'!$B$10*'RangeCalculation - Table 2'!K$2*$B11^2)</f>
        <v>37.36552941743827</v>
      </c>
      <c r="M11" s="62">
        <v>95</v>
      </c>
      <c r="N11" s="62">
        <f>95-(15*MAX(((65-$A11)/65),0))</f>
        <v>88.07692307692308</v>
      </c>
      <c r="O11" s="62">
        <f>M11*N11/100</f>
        <v>83.67307692307693</v>
      </c>
      <c r="P11" s="61">
        <f>((((('RangeCalculation - Rollreibungs'!D$4+C11)/('RangeCalculation - Table 1'!$B$7*$O11/100)*$B11/1000)+'RangeCalculation - Table 2'!B$4))*(100/$A11))</f>
        <v>7.065545945271507</v>
      </c>
      <c r="Q11" s="61">
        <f>((((('RangeCalculation - Rollreibungs'!E$4+D11)/('RangeCalculation - Table 1'!$B$7*$O11/100)*$B11/1000)+'RangeCalculation - Table 2'!C$4))*(100/$A11))</f>
        <v>6.604994055802546</v>
      </c>
      <c r="R11" s="61">
        <f>((((('RangeCalculation - Rollreibungs'!F$4+E11)/('RangeCalculation - Table 1'!$B$7*$O11/100)*$B11/1000)+'RangeCalculation - Table 2'!D$4))*(100/$A11))</f>
        <v>5.859525805928837</v>
      </c>
      <c r="S11" s="61">
        <f>((((('RangeCalculation - Rollreibungs'!G$4+F11)/('RangeCalculation - Table 1'!$B$7*$O11/100)*$B11/1000)+'RangeCalculation - Table 2'!E$4))*(100/$A11))</f>
        <v>5.401253703058559</v>
      </c>
      <c r="T11" s="61">
        <f>((((('RangeCalculation - Rollreibungs'!H$4+G11)/('RangeCalculation - Table 1'!$B$7*$O11/100)*$B11/1000)+'RangeCalculation - Table 2'!F$4))*(100/$A11))</f>
        <v>5.229379821882171</v>
      </c>
      <c r="U11" s="61">
        <f>((((('RangeCalculation - Rollreibungs'!I$4+H11)/('RangeCalculation - Table 1'!$B$7*$O11/100)*$B11/1000)+'RangeCalculation - Table 2'!G$4))*(100/$A11))</f>
        <v>4.772703569630971</v>
      </c>
      <c r="V11" s="61">
        <f>((((('RangeCalculation - Rollreibungs'!J$4+I11)/('RangeCalculation - Table 1'!$B$7*$O11/100)*$B11/1000)+'RangeCalculation - Table 2'!H$4))*(100/$A11))</f>
        <v>4.88825381411788</v>
      </c>
      <c r="W11" s="61">
        <f>((((('RangeCalculation - Rollreibungs'!K$4+J11)/('RangeCalculation - Table 1'!$B$7*$O11/100)*$B11/1000)+'RangeCalculation - Table 2'!I$4))*(100/$A11))</f>
        <v>5.290316269628615</v>
      </c>
      <c r="X11" s="61">
        <f>((((('RangeCalculation - Rollreibungs'!L$4+K11)/('RangeCalculation - Table 1'!$B$7*$O11/100)*$B11/1000)+'RangeCalculation - Table 2'!J$4))*(100/$A11))</f>
        <v>6.264605221877459</v>
      </c>
      <c r="Y11" s="63">
        <f>((((('RangeCalculation - Rollreibungs'!M$4+L11)/('RangeCalculation - Table 1'!$B$7*$O11/100)*$B11/1000)+'RangeCalculation - Table 2'!K$4))*(100/$A11))</f>
        <v>8.096720967248766</v>
      </c>
      <c r="Z11" s="64">
        <f>'RangeCalculation - Table 2'!B$6/P11*100</f>
        <v>252.2098099429348</v>
      </c>
      <c r="AA11" s="61">
        <f>'RangeCalculation - Table 2'!C$6/Q11*100</f>
        <v>314.7618275558598</v>
      </c>
      <c r="AB11" s="61">
        <f>'RangeCalculation - Table 2'!D$6/R11*100</f>
        <v>380.1502158666408</v>
      </c>
      <c r="AC11" s="61">
        <f>'RangeCalculation - Table 2'!E$6/S11*100</f>
        <v>467.3914870117017</v>
      </c>
      <c r="AD11" s="61">
        <f>'RangeCalculation - Table 2'!F$6/T11*100</f>
        <v>511.1504788416626</v>
      </c>
      <c r="AE11" s="61">
        <f>'RangeCalculation - Table 2'!G$6/U11*100</f>
        <v>591.1743645579396</v>
      </c>
      <c r="AF11" s="61">
        <f>'RangeCalculation - Table 2'!H$6/V11*100</f>
        <v>589.3515577443227</v>
      </c>
      <c r="AG11" s="61">
        <f>'RangeCalculation - Table 2'!I$6/W11*100</f>
        <v>561.4031087423998</v>
      </c>
      <c r="AH11" s="61">
        <f>'RangeCalculation - Table 2'!J$6/X11*100</f>
        <v>469.3512034456358</v>
      </c>
      <c r="AI11" s="65">
        <f>'RangeCalculation - Table 2'!K$6/Y11*100</f>
        <v>359.4788571538251</v>
      </c>
    </row>
    <row r="12" ht="21.45" customHeight="1">
      <c r="A12" s="53">
        <f>A11+5</f>
        <v>40</v>
      </c>
      <c r="B12" s="54">
        <f>A12*1000/3600</f>
        <v>11.11111111111111</v>
      </c>
      <c r="C12" s="55">
        <f>(0.5*'RangeCalculation - Table 1'!$B$10*'RangeCalculation - Table 2'!B$2*$B12^2)</f>
        <v>57.14600370370369</v>
      </c>
      <c r="D12" s="55">
        <f>(0.5*'RangeCalculation - Table 1'!$B$10*'RangeCalculation - Table 2'!C$2*$B12^2)</f>
        <v>56.08088024691357</v>
      </c>
      <c r="E12" s="55">
        <f>(0.5*'RangeCalculation - Table 1'!$B$10*'RangeCalculation - Table 2'!D$2*$B12^2)</f>
        <v>55.04558024691357</v>
      </c>
      <c r="F12" s="55">
        <f>(0.5*'RangeCalculation - Table 1'!$B$10*'RangeCalculation - Table 2'!E$2*$B12^2)</f>
        <v>54.06566666666666</v>
      </c>
      <c r="G12" s="55">
        <f>(0.5*'RangeCalculation - Table 1'!$B$10*'RangeCalculation - Table 2'!F$2*$B12^2)</f>
        <v>53.11131604938271</v>
      </c>
      <c r="H12" s="55">
        <f>(0.5*'RangeCalculation - Table 1'!$B$10*'RangeCalculation - Table 2'!G$2*$B12^2)</f>
        <v>52.19104938271605</v>
      </c>
      <c r="I12" s="55">
        <f>(0.5*'RangeCalculation - Table 1'!$B$10*'RangeCalculation - Table 2'!H$2*$B12^2)</f>
        <v>51.30060617283949</v>
      </c>
      <c r="J12" s="55">
        <f>(0.5*'RangeCalculation - Table 1'!$B$10*'RangeCalculation - Table 2'!I$2*$B12^2)</f>
        <v>50.43998641975308</v>
      </c>
      <c r="K12" s="55">
        <f>(0.5*'RangeCalculation - Table 1'!$B$10*'RangeCalculation - Table 2'!J$2*$B12^2)</f>
        <v>49.60919012345679</v>
      </c>
      <c r="L12" s="55">
        <f>(0.5*'RangeCalculation - Table 1'!$B$10*'RangeCalculation - Table 2'!K$2*$B12^2)</f>
        <v>48.80395679012345</v>
      </c>
      <c r="M12" s="56">
        <v>95</v>
      </c>
      <c r="N12" s="56">
        <f>95-(15*MAX(((65-$A12)/65),0))</f>
        <v>89.23076923076923</v>
      </c>
      <c r="O12" s="56">
        <f>M12*N12/100</f>
        <v>84.76923076923076</v>
      </c>
      <c r="P12" s="55">
        <f>((((('RangeCalculation - Rollreibungs'!D$4+C12)/('RangeCalculation - Table 1'!$B$7*$O12/100)*$B12/1000)+'RangeCalculation - Table 2'!B$4))*(100/$A12))</f>
        <v>7.099964471583162</v>
      </c>
      <c r="Q12" s="55">
        <f>((((('RangeCalculation - Rollreibungs'!E$4+D12)/('RangeCalculation - Table 1'!$B$7*$O12/100)*$B12/1000)+'RangeCalculation - Table 2'!C$4))*(100/$A12))</f>
        <v>6.70079653625486</v>
      </c>
      <c r="R12" s="55">
        <f>((((('RangeCalculation - Rollreibungs'!F$4+E12)/('RangeCalculation - Table 1'!$B$7*$O12/100)*$B12/1000)+'RangeCalculation - Table 2'!D$4))*(100/$A12))</f>
        <v>6.052657312514929</v>
      </c>
      <c r="S12" s="55">
        <f>((((('RangeCalculation - Rollreibungs'!G$4+F12)/('RangeCalculation - Table 1'!$B$7*$O12/100)*$B12/1000)+'RangeCalculation - Table 2'!E$4))*(100/$A12))</f>
        <v>5.6564285531534</v>
      </c>
      <c r="T12" s="55">
        <f>((((('RangeCalculation - Rollreibungs'!H$4+G12)/('RangeCalculation - Table 1'!$B$7*$O12/100)*$B12/1000)+'RangeCalculation - Table 2'!F$4))*(100/$A12))</f>
        <v>5.511081546581906</v>
      </c>
      <c r="U12" s="55">
        <f>((((('RangeCalculation - Rollreibungs'!I$4+H12)/('RangeCalculation - Table 1'!$B$7*$O12/100)*$B12/1000)+'RangeCalculation - Table 2'!G$4))*(100/$A12))</f>
        <v>5.116910210397121</v>
      </c>
      <c r="V12" s="55">
        <f>((((('RangeCalculation - Rollreibungs'!J$4+I12)/('RangeCalculation - Table 1'!$B$7*$O12/100)*$B12/1000)+'RangeCalculation - Table 2'!H$4))*(100/$A12))</f>
        <v>5.223767585800706</v>
      </c>
      <c r="W12" s="55">
        <f>((((('RangeCalculation - Rollreibungs'!K$4+J12)/('RangeCalculation - Table 1'!$B$7*$O12/100)*$B12/1000)+'RangeCalculation - Table 2'!I$4))*(100/$A12))</f>
        <v>5.581653672792662</v>
      </c>
      <c r="X12" s="55">
        <f>((((('RangeCalculation - Rollreibungs'!L$4+K12)/('RangeCalculation - Table 1'!$B$7*$O12/100)*$B12/1000)+'RangeCalculation - Table 2'!J$4))*(100/$A12))</f>
        <v>6.440568471372991</v>
      </c>
      <c r="Y12" s="57">
        <f>((((('RangeCalculation - Rollreibungs'!M$4+L12)/('RangeCalculation - Table 1'!$B$7*$O12/100)*$B12/1000)+'RangeCalculation - Table 2'!K$4))*(100/$A12))</f>
        <v>8.050365022743351</v>
      </c>
      <c r="Z12" s="58">
        <f>'RangeCalculation - Table 2'!B$6/P12*100</f>
        <v>250.9871714333588</v>
      </c>
      <c r="AA12" s="55">
        <f>'RangeCalculation - Table 2'!C$6/Q12*100</f>
        <v>310.2616216969891</v>
      </c>
      <c r="AB12" s="55">
        <f>'RangeCalculation - Table 2'!D$6/R12*100</f>
        <v>368.0201744437528</v>
      </c>
      <c r="AC12" s="55">
        <f>'RangeCalculation - Table 2'!E$6/S12*100</f>
        <v>446.3063532540542</v>
      </c>
      <c r="AD12" s="55">
        <f>'RangeCalculation - Table 2'!F$6/T12*100</f>
        <v>485.0227632102184</v>
      </c>
      <c r="AE12" s="55">
        <f>'RangeCalculation - Table 2'!G$6/U12*100</f>
        <v>551.4069788183804</v>
      </c>
      <c r="AF12" s="55">
        <f>'RangeCalculation - Table 2'!H$6/V12*100</f>
        <v>551.4985023129453</v>
      </c>
      <c r="AG12" s="55">
        <f>'RangeCalculation - Table 2'!I$6/W12*100</f>
        <v>532.1003727760888</v>
      </c>
      <c r="AH12" s="55">
        <f>'RangeCalculation - Table 2'!J$6/X12*100</f>
        <v>456.5280243613637</v>
      </c>
      <c r="AI12" s="59">
        <f>'RangeCalculation - Table 2'!K$6/Y12*100</f>
        <v>361.5488231623247</v>
      </c>
    </row>
    <row r="13" ht="21.45" customHeight="1">
      <c r="A13" s="53">
        <f>A12+5</f>
        <v>45</v>
      </c>
      <c r="B13" s="60">
        <f>A13*1000/3600</f>
        <v>12.5</v>
      </c>
      <c r="C13" s="61">
        <f>(0.5*'RangeCalculation - Table 1'!$B$10*'RangeCalculation - Table 2'!B$2*$B13^2)</f>
        <v>72.32541093749998</v>
      </c>
      <c r="D13" s="61">
        <f>(0.5*'RangeCalculation - Table 1'!$B$10*'RangeCalculation - Table 2'!C$2*$B13^2)</f>
        <v>70.97736406249999</v>
      </c>
      <c r="E13" s="61">
        <f>(0.5*'RangeCalculation - Table 1'!$B$10*'RangeCalculation - Table 2'!D$2*$B13^2)</f>
        <v>69.6670625</v>
      </c>
      <c r="F13" s="61">
        <f>(0.5*'RangeCalculation - Table 1'!$B$10*'RangeCalculation - Table 2'!E$2*$B13^2)</f>
        <v>68.42685937499999</v>
      </c>
      <c r="G13" s="61">
        <f>(0.5*'RangeCalculation - Table 1'!$B$10*'RangeCalculation - Table 2'!F$2*$B13^2)</f>
        <v>67.21900937499998</v>
      </c>
      <c r="H13" s="61">
        <f>(0.5*'RangeCalculation - Table 1'!$B$10*'RangeCalculation - Table 2'!G$2*$B13^2)</f>
        <v>66.05429687500001</v>
      </c>
      <c r="I13" s="61">
        <f>(0.5*'RangeCalculation - Table 1'!$B$10*'RangeCalculation - Table 2'!H$2*$B13^2)</f>
        <v>64.92732968749999</v>
      </c>
      <c r="J13" s="61">
        <f>(0.5*'RangeCalculation - Table 1'!$B$10*'RangeCalculation - Table 2'!I$2*$B13^2)</f>
        <v>63.83810781249999</v>
      </c>
      <c r="K13" s="61">
        <f>(0.5*'RangeCalculation - Table 1'!$B$10*'RangeCalculation - Table 2'!J$2*$B13^2)</f>
        <v>62.78663125</v>
      </c>
      <c r="L13" s="61">
        <f>(0.5*'RangeCalculation - Table 1'!$B$10*'RangeCalculation - Table 2'!K$2*$B13^2)</f>
        <v>61.76750781249999</v>
      </c>
      <c r="M13" s="62">
        <v>95</v>
      </c>
      <c r="N13" s="62">
        <f>95-(15*MAX(((65-$A13)/65),0))</f>
        <v>90.38461538461539</v>
      </c>
      <c r="O13" s="62">
        <f>M13*N13/100</f>
        <v>85.86538461538461</v>
      </c>
      <c r="P13" s="61">
        <f>((((('RangeCalculation - Rollreibungs'!D$4+C13)/('RangeCalculation - Table 1'!$B$7*$O13/100)*$B13/1000)+'RangeCalculation - Table 2'!B$4))*(100/$A13))</f>
        <v>7.268075424706785</v>
      </c>
      <c r="Q13" s="61">
        <f>((((('RangeCalculation - Rollreibungs'!E$4+D13)/('RangeCalculation - Table 1'!$B$7*$O13/100)*$B13/1000)+'RangeCalculation - Table 2'!C$4))*(100/$A13))</f>
        <v>6.913541427142886</v>
      </c>
      <c r="R13" s="61">
        <f>((((('RangeCalculation - Rollreibungs'!F$4+E13)/('RangeCalculation - Table 1'!$B$7*$O13/100)*$B13/1000)+'RangeCalculation - Table 2'!D$4))*(100/$A13))</f>
        <v>6.338070549655215</v>
      </c>
      <c r="S13" s="61">
        <f>((((('RangeCalculation - Rollreibungs'!G$4+F13)/('RangeCalculation - Table 1'!$B$7*$O13/100)*$B13/1000)+'RangeCalculation - Table 2'!E$4))*(100/$A13))</f>
        <v>5.987208958658312</v>
      </c>
      <c r="T13" s="61">
        <f>((((('RangeCalculation - Rollreibungs'!H$4+G13)/('RangeCalculation - Table 1'!$B$7*$O13/100)*$B13/1000)+'RangeCalculation - Table 2'!F$4))*(100/$A13))</f>
        <v>5.859671311853729</v>
      </c>
      <c r="U13" s="61">
        <f>((((('RangeCalculation - Rollreibungs'!I$4+H13)/('RangeCalculation - Table 1'!$B$7*$O13/100)*$B13/1000)+'RangeCalculation - Table 2'!G$4))*(100/$A13))</f>
        <v>5.511380405453725</v>
      </c>
      <c r="V13" s="61">
        <f>((((('RangeCalculation - Rollreibungs'!J$4+I13)/('RangeCalculation - Table 1'!$B$7*$O13/100)*$B13/1000)+'RangeCalculation - Table 2'!H$4))*(100/$A13))</f>
        <v>5.608819285796613</v>
      </c>
      <c r="W13" s="61">
        <f>((((('RangeCalculation - Rollreibungs'!K$4+J13)/('RangeCalculation - Table 1'!$B$7*$O13/100)*$B13/1000)+'RangeCalculation - Table 2'!I$4))*(100/$A13))</f>
        <v>5.929765730660171</v>
      </c>
      <c r="X13" s="61">
        <f>((((('RangeCalculation - Rollreibungs'!L$4+K13)/('RangeCalculation - Table 1'!$B$7*$O13/100)*$B13/1000)+'RangeCalculation - Table 2'!J$4))*(100/$A13))</f>
        <v>6.696441962266624</v>
      </c>
      <c r="Y13" s="63">
        <f>((((('RangeCalculation - Rollreibungs'!M$4+L13)/('RangeCalculation - Table 1'!$B$7*$O13/100)*$B13/1000)+'RangeCalculation - Table 2'!K$4))*(100/$A13))</f>
        <v>8.130886582509842</v>
      </c>
      <c r="Z13" s="64">
        <f>'RangeCalculation - Table 2'!B$6/P13*100</f>
        <v>245.1818254310275</v>
      </c>
      <c r="AA13" s="61">
        <f>'RangeCalculation - Table 2'!C$6/Q13*100</f>
        <v>300.7141885109343</v>
      </c>
      <c r="AB13" s="61">
        <f>'RangeCalculation - Table 2'!D$6/R13*100</f>
        <v>351.4476499667827</v>
      </c>
      <c r="AC13" s="61">
        <f>'RangeCalculation - Table 2'!E$6/S13*100</f>
        <v>421.6488880598083</v>
      </c>
      <c r="AD13" s="61">
        <f>'RangeCalculation - Table 2'!F$6/T13*100</f>
        <v>456.1689312833464</v>
      </c>
      <c r="AE13" s="61">
        <f>'RangeCalculation - Table 2'!G$6/U13*100</f>
        <v>511.9407103904524</v>
      </c>
      <c r="AF13" s="61">
        <f>'RangeCalculation - Table 2'!H$6/V13*100</f>
        <v>513.637514992753</v>
      </c>
      <c r="AG13" s="61">
        <f>'RangeCalculation - Table 2'!I$6/W13*100</f>
        <v>500.8629573076481</v>
      </c>
      <c r="AH13" s="61">
        <f>'RangeCalculation - Table 2'!J$6/X13*100</f>
        <v>439.0839219645476</v>
      </c>
      <c r="AI13" s="65">
        <f>'RangeCalculation - Table 2'!K$6/Y13*100</f>
        <v>357.9683433613405</v>
      </c>
    </row>
    <row r="14" ht="21.45" customHeight="1">
      <c r="A14" s="53">
        <f>A13+5</f>
        <v>50</v>
      </c>
      <c r="B14" s="54">
        <f>A14*1000/3600</f>
        <v>13.88888888888889</v>
      </c>
      <c r="C14" s="55">
        <f>(0.5*'RangeCalculation - Table 1'!$B$10*'RangeCalculation - Table 2'!B$2*$B14^2)</f>
        <v>89.29063078703702</v>
      </c>
      <c r="D14" s="55">
        <f>(0.5*'RangeCalculation - Table 1'!$B$10*'RangeCalculation - Table 2'!C$2*$B14^2)</f>
        <v>87.62637538580246</v>
      </c>
      <c r="E14" s="55">
        <f>(0.5*'RangeCalculation - Table 1'!$B$10*'RangeCalculation - Table 2'!D$2*$B14^2)</f>
        <v>86.00871913580247</v>
      </c>
      <c r="F14" s="55">
        <f>(0.5*'RangeCalculation - Table 1'!$B$10*'RangeCalculation - Table 2'!E$2*$B14^2)</f>
        <v>84.47760416666665</v>
      </c>
      <c r="G14" s="55">
        <f>(0.5*'RangeCalculation - Table 1'!$B$10*'RangeCalculation - Table 2'!F$2*$B14^2)</f>
        <v>82.98643132716049</v>
      </c>
      <c r="H14" s="55">
        <f>(0.5*'RangeCalculation - Table 1'!$B$10*'RangeCalculation - Table 2'!G$2*$B14^2)</f>
        <v>81.54851466049384</v>
      </c>
      <c r="I14" s="55">
        <f>(0.5*'RangeCalculation - Table 1'!$B$10*'RangeCalculation - Table 2'!H$2*$B14^2)</f>
        <v>80.15719714506172</v>
      </c>
      <c r="J14" s="55">
        <f>(0.5*'RangeCalculation - Table 1'!$B$10*'RangeCalculation - Table 2'!I$2*$B14^2)</f>
        <v>78.81247878086418</v>
      </c>
      <c r="K14" s="55">
        <f>(0.5*'RangeCalculation - Table 1'!$B$10*'RangeCalculation - Table 2'!J$2*$B14^2)</f>
        <v>77.51435956790124</v>
      </c>
      <c r="L14" s="55">
        <f>(0.5*'RangeCalculation - Table 1'!$B$10*'RangeCalculation - Table 2'!K$2*$B14^2)</f>
        <v>76.2561824845679</v>
      </c>
      <c r="M14" s="56">
        <v>95</v>
      </c>
      <c r="N14" s="56">
        <f>95-(15*MAX(((65-$A14)/65),0))</f>
        <v>91.53846153846153</v>
      </c>
      <c r="O14" s="56">
        <f>M14*N14/100</f>
        <v>86.96153846153845</v>
      </c>
      <c r="P14" s="55">
        <f>((((('RangeCalculation - Rollreibungs'!D$4+C14)/('RangeCalculation - Table 1'!$B$7*$O14/100)*$B14/1000)+'RangeCalculation - Table 2'!B$4))*(100/$A14))</f>
        <v>7.542974469174695</v>
      </c>
      <c r="Q14" s="55">
        <f>((((('RangeCalculation - Rollreibungs'!E$4+D14)/('RangeCalculation - Table 1'!$B$7*$O14/100)*$B14/1000)+'RangeCalculation - Table 2'!C$4))*(100/$A14))</f>
        <v>7.221119461645426</v>
      </c>
      <c r="R14" s="55">
        <f>((((('RangeCalculation - Rollreibungs'!F$4+E14)/('RangeCalculation - Table 1'!$B$7*$O14/100)*$B14/1000)+'RangeCalculation - Table 2'!D$4))*(100/$A14))</f>
        <v>6.700831294245502</v>
      </c>
      <c r="S14" s="55">
        <f>((((('RangeCalculation - Rollreibungs'!G$4+F14)/('RangeCalculation - Table 1'!$B$7*$O14/100)*$B14/1000)+'RangeCalculation - Table 2'!E$4))*(100/$A14))</f>
        <v>6.383452972800079</v>
      </c>
      <c r="T14" s="55">
        <f>((((('RangeCalculation - Rollreibungs'!H$4+G14)/('RangeCalculation - Table 1'!$B$7*$O14/100)*$B14/1000)+'RangeCalculation - Table 2'!F$4))*(100/$A14))</f>
        <v>6.267417657179809</v>
      </c>
      <c r="U14" s="55">
        <f>((((('RangeCalculation - Rollreibungs'!I$4+H14)/('RangeCalculation - Table 1'!$B$7*$O14/100)*$B14/1000)+'RangeCalculation - Table 2'!G$4))*(100/$A14))</f>
        <v>5.953173015993079</v>
      </c>
      <c r="V14" s="55">
        <f>((((('RangeCalculation - Rollreibungs'!J$4+I14)/('RangeCalculation - Table 1'!$B$7*$O14/100)*$B14/1000)+'RangeCalculation - Table 2'!H$4))*(100/$A14))</f>
        <v>6.040495214935695</v>
      </c>
      <c r="W14" s="55">
        <f>((((('RangeCalculation - Rollreibungs'!K$4+J14)/('RangeCalculation - Table 1'!$B$7*$O14/100)*$B14/1000)+'RangeCalculation - Table 2'!I$4))*(100/$A14))</f>
        <v>6.329384254007659</v>
      </c>
      <c r="X14" s="55">
        <f>((((('RangeCalculation - Rollreibungs'!L$4+K14)/('RangeCalculation - Table 1'!$B$7*$O14/100)*$B14/1000)+'RangeCalculation - Table 2'!J$4))*(100/$A14))</f>
        <v>7.019840133208969</v>
      </c>
      <c r="Y14" s="57">
        <f>((((('RangeCalculation - Rollreibungs'!M$4+L14)/('RangeCalculation - Table 1'!$B$7*$O14/100)*$B14/1000)+'RangeCalculation - Table 2'!K$4))*(100/$A14))</f>
        <v>8.311639018235432</v>
      </c>
      <c r="Z14" s="58">
        <f>'RangeCalculation - Table 2'!B$6/P14*100</f>
        <v>236.2463252769004</v>
      </c>
      <c r="AA14" s="55">
        <f>'RangeCalculation - Table 2'!C$6/Q14*100</f>
        <v>287.9054987308398</v>
      </c>
      <c r="AB14" s="55">
        <f>'RangeCalculation - Table 2'!D$6/R14*100</f>
        <v>332.4214417863226</v>
      </c>
      <c r="AC14" s="55">
        <f>'RangeCalculation - Table 2'!E$6/S14*100</f>
        <v>395.4756165286884</v>
      </c>
      <c r="AD14" s="55">
        <f>'RangeCalculation - Table 2'!F$6/T14*100</f>
        <v>426.4914429211324</v>
      </c>
      <c r="AE14" s="55">
        <f>'RangeCalculation - Table 2'!G$6/U14*100</f>
        <v>473.9489331857309</v>
      </c>
      <c r="AF14" s="55">
        <f>'RangeCalculation - Table 2'!H$6/V14*100</f>
        <v>476.931095463283</v>
      </c>
      <c r="AG14" s="55">
        <f>'RangeCalculation - Table 2'!I$6/W14*100</f>
        <v>469.2399577604166</v>
      </c>
      <c r="AH14" s="55">
        <f>'RangeCalculation - Table 2'!J$6/X14*100</f>
        <v>418.8556924665897</v>
      </c>
      <c r="AI14" s="59">
        <f>'RangeCalculation - Table 2'!K$6/Y14*100</f>
        <v>350.183639305587</v>
      </c>
    </row>
    <row r="15" ht="21.45" customHeight="1">
      <c r="A15" s="53">
        <f>A14+5</f>
        <v>55</v>
      </c>
      <c r="B15" s="60">
        <f>A15*1000/3600</f>
        <v>15.27777777777778</v>
      </c>
      <c r="C15" s="61">
        <f>(0.5*'RangeCalculation - Table 1'!$B$10*'RangeCalculation - Table 2'!B$2*$B15^2)</f>
        <v>108.0416632523148</v>
      </c>
      <c r="D15" s="61">
        <f>(0.5*'RangeCalculation - Table 1'!$B$10*'RangeCalculation - Table 2'!C$2*$B15^2)</f>
        <v>106.027914216821</v>
      </c>
      <c r="E15" s="61">
        <f>(0.5*'RangeCalculation - Table 1'!$B$10*'RangeCalculation - Table 2'!D$2*$B15^2)</f>
        <v>104.070550154321</v>
      </c>
      <c r="F15" s="61">
        <f>(0.5*'RangeCalculation - Table 1'!$B$10*'RangeCalculation - Table 2'!E$2*$B15^2)</f>
        <v>102.2179010416667</v>
      </c>
      <c r="G15" s="61">
        <f>(0.5*'RangeCalculation - Table 1'!$B$10*'RangeCalculation - Table 2'!F$2*$B15^2)</f>
        <v>100.4135819058642</v>
      </c>
      <c r="H15" s="61">
        <f>(0.5*'RangeCalculation - Table 1'!$B$10*'RangeCalculation - Table 2'!G$2*$B15^2)</f>
        <v>98.67370273919754</v>
      </c>
      <c r="I15" s="61">
        <f>(0.5*'RangeCalculation - Table 1'!$B$10*'RangeCalculation - Table 2'!H$2*$B15^2)</f>
        <v>96.99020854552468</v>
      </c>
      <c r="J15" s="61">
        <f>(0.5*'RangeCalculation - Table 1'!$B$10*'RangeCalculation - Table 2'!I$2*$B15^2)</f>
        <v>95.36309932484566</v>
      </c>
      <c r="K15" s="61">
        <f>(0.5*'RangeCalculation - Table 1'!$B$10*'RangeCalculation - Table 2'!J$2*$B15^2)</f>
        <v>93.7923750771605</v>
      </c>
      <c r="L15" s="61">
        <f>(0.5*'RangeCalculation - Table 1'!$B$10*'RangeCalculation - Table 2'!K$2*$B15^2)</f>
        <v>92.26998080632715</v>
      </c>
      <c r="M15" s="62">
        <v>95</v>
      </c>
      <c r="N15" s="62">
        <f>95-(15*MAX(((65-$A15)/65),0))</f>
        <v>92.69230769230769</v>
      </c>
      <c r="O15" s="62">
        <f>M15*N15/100</f>
        <v>88.05769230769231</v>
      </c>
      <c r="P15" s="61">
        <f>((((('RangeCalculation - Rollreibungs'!D$4+C15)/('RangeCalculation - Table 1'!$B$7*$O15/100)*$B15/1000)+'RangeCalculation - Table 2'!B$4))*(100/$A15))</f>
        <v>7.906943000293162</v>
      </c>
      <c r="Q15" s="61">
        <f>((((('RangeCalculation - Rollreibungs'!E$4+D15)/('RangeCalculation - Table 1'!$B$7*$O15/100)*$B15/1000)+'RangeCalculation - Table 2'!C$4))*(100/$A15))</f>
        <v>7.608873850669869</v>
      </c>
      <c r="R15" s="61">
        <f>((((('RangeCalculation - Rollreibungs'!F$4+E15)/('RangeCalculation - Table 1'!$B$7*$O15/100)*$B15/1000)+'RangeCalculation - Table 2'!D$4))*(100/$A15))</f>
        <v>7.130858795661794</v>
      </c>
      <c r="S15" s="61">
        <f>((((('RangeCalculation - Rollreibungs'!G$4+F15)/('RangeCalculation - Table 1'!$B$7*$O15/100)*$B15/1000)+'RangeCalculation - Table 2'!E$4))*(100/$A15))</f>
        <v>6.838139007276784</v>
      </c>
      <c r="T15" s="61">
        <f>((((('RangeCalculation - Rollreibungs'!H$4+G15)/('RangeCalculation - Table 1'!$B$7*$O15/100)*$B15/1000)+'RangeCalculation - Table 2'!F$4))*(100/$A15))</f>
        <v>6.728842209081442</v>
      </c>
      <c r="U15" s="61">
        <f>((((('RangeCalculation - Rollreibungs'!I$4+H15)/('RangeCalculation - Table 1'!$B$7*$O15/100)*$B15/1000)+'RangeCalculation - Table 2'!G$4))*(100/$A15))</f>
        <v>6.439866973563231</v>
      </c>
      <c r="V15" s="61">
        <f>((((('RangeCalculation - Rollreibungs'!J$4+I15)/('RangeCalculation - Table 1'!$B$7*$O15/100)*$B15/1000)+'RangeCalculation - Table 2'!H$4))*(100/$A15))</f>
        <v>6.516400378114783</v>
      </c>
      <c r="W15" s="61">
        <f>((((('RangeCalculation - Rollreibungs'!K$4+J15)/('RangeCalculation - Table 1'!$B$7*$O15/100)*$B15/1000)+'RangeCalculation - Table 2'!I$4))*(100/$A15))</f>
        <v>6.776624240917917</v>
      </c>
      <c r="X15" s="61">
        <f>((((('RangeCalculation - Rollreibungs'!L$4+K15)/('RangeCalculation - Table 1'!$B$7*$O15/100)*$B15/1000)+'RangeCalculation - Table 2'!J$4))*(100/$A15))</f>
        <v>7.402356743790812</v>
      </c>
      <c r="Y15" s="63">
        <f>((((('RangeCalculation - Rollreibungs'!M$4+L15)/('RangeCalculation - Table 1'!$B$7*$O15/100)*$B15/1000)+'RangeCalculation - Table 2'!K$4))*(100/$A15))</f>
        <v>8.575148600489738</v>
      </c>
      <c r="Z15" s="64">
        <f>'RangeCalculation - Table 2'!B$6/P15*100</f>
        <v>225.3715500331708</v>
      </c>
      <c r="AA15" s="61">
        <f>'RangeCalculation - Table 2'!C$6/Q15*100</f>
        <v>273.2336007669479</v>
      </c>
      <c r="AB15" s="61">
        <f>'RangeCalculation - Table 2'!D$6/R15*100</f>
        <v>312.3747172437555</v>
      </c>
      <c r="AC15" s="61">
        <f>'RangeCalculation - Table 2'!E$6/S15*100</f>
        <v>369.1793918365159</v>
      </c>
      <c r="AD15" s="61">
        <f>'RangeCalculation - Table 2'!F$6/T15*100</f>
        <v>397.2451600057498</v>
      </c>
      <c r="AE15" s="61">
        <f>'RangeCalculation - Table 2'!G$6/U15*100</f>
        <v>438.1301681514145</v>
      </c>
      <c r="AF15" s="61">
        <f>'RangeCalculation - Table 2'!H$6/V15*100</f>
        <v>442.0999068251626</v>
      </c>
      <c r="AG15" s="61">
        <f>'RangeCalculation - Table 2'!I$6/W15*100</f>
        <v>438.2713124429787</v>
      </c>
      <c r="AH15" s="61">
        <f>'RangeCalculation - Table 2'!J$6/X15*100</f>
        <v>397.2113344127004</v>
      </c>
      <c r="AI15" s="65">
        <f>'RangeCalculation - Table 2'!K$6/Y15*100</f>
        <v>339.4226894019972</v>
      </c>
    </row>
    <row r="16" ht="21.45" customHeight="1">
      <c r="A16" s="53">
        <f>A15+5</f>
        <v>60</v>
      </c>
      <c r="B16" s="54">
        <f>A16*1000/3600</f>
        <v>16.66666666666667</v>
      </c>
      <c r="C16" s="55">
        <f>(0.5*'RangeCalculation - Table 1'!$B$10*'RangeCalculation - Table 2'!B$2*$B16^2)</f>
        <v>128.5785083333333</v>
      </c>
      <c r="D16" s="55">
        <f>(0.5*'RangeCalculation - Table 1'!$B$10*'RangeCalculation - Table 2'!C$2*$B16^2)</f>
        <v>126.1819805555556</v>
      </c>
      <c r="E16" s="55">
        <f>(0.5*'RangeCalculation - Table 1'!$B$10*'RangeCalculation - Table 2'!D$2*$B16^2)</f>
        <v>123.8525555555556</v>
      </c>
      <c r="F16" s="55">
        <f>(0.5*'RangeCalculation - Table 1'!$B$10*'RangeCalculation - Table 2'!E$2*$B16^2)</f>
        <v>121.64775</v>
      </c>
      <c r="G16" s="55">
        <f>(0.5*'RangeCalculation - Table 1'!$B$10*'RangeCalculation - Table 2'!F$2*$B16^2)</f>
        <v>119.5004611111111</v>
      </c>
      <c r="H16" s="55">
        <f>(0.5*'RangeCalculation - Table 1'!$B$10*'RangeCalculation - Table 2'!G$2*$B16^2)</f>
        <v>117.4298611111111</v>
      </c>
      <c r="I16" s="55">
        <f>(0.5*'RangeCalculation - Table 1'!$B$10*'RangeCalculation - Table 2'!H$2*$B16^2)</f>
        <v>115.4263638888889</v>
      </c>
      <c r="J16" s="55">
        <f>(0.5*'RangeCalculation - Table 1'!$B$10*'RangeCalculation - Table 2'!I$2*$B16^2)</f>
        <v>113.4899694444444</v>
      </c>
      <c r="K16" s="55">
        <f>(0.5*'RangeCalculation - Table 1'!$B$10*'RangeCalculation - Table 2'!J$2*$B16^2)</f>
        <v>111.6206777777778</v>
      </c>
      <c r="L16" s="55">
        <f>(0.5*'RangeCalculation - Table 1'!$B$10*'RangeCalculation - Table 2'!K$2*$B16^2)</f>
        <v>109.8089027777778</v>
      </c>
      <c r="M16" s="56">
        <v>95</v>
      </c>
      <c r="N16" s="56">
        <f>95-(15*MAX(((65-$A16)/65),0))</f>
        <v>93.84615384615384</v>
      </c>
      <c r="O16" s="56">
        <f>M16*N16/100</f>
        <v>89.15384615384615</v>
      </c>
      <c r="P16" s="55">
        <f>((((('RangeCalculation - Rollreibungs'!D$4+C16)/('RangeCalculation - Table 1'!$B$7*$O16/100)*$B16/1000)+'RangeCalculation - Table 2'!B$4))*(100/$A16))</f>
        <v>8.347654436152698</v>
      </c>
      <c r="Q16" s="55">
        <f>((((('RangeCalculation - Rollreibungs'!E$4+D16)/('RangeCalculation - Table 1'!$B$7*$O16/100)*$B16/1000)+'RangeCalculation - Table 2'!C$4))*(100/$A16))</f>
        <v>8.06652817709919</v>
      </c>
      <c r="R16" s="55">
        <f>((((('RangeCalculation - Rollreibungs'!F$4+E16)/('RangeCalculation - Table 1'!$B$7*$O16/100)*$B16/1000)+'RangeCalculation - Table 2'!D$4))*(100/$A16))</f>
        <v>7.620936019613155</v>
      </c>
      <c r="S16" s="55">
        <f>((((('RangeCalculation - Rollreibungs'!G$4+F16)/('RangeCalculation - Table 1'!$B$7*$O16/100)*$B16/1000)+'RangeCalculation - Table 2'!E$4))*(100/$A16))</f>
        <v>7.34609766980004</v>
      </c>
      <c r="T16" s="55">
        <f>((((('RangeCalculation - Rollreibungs'!H$4+G16)/('RangeCalculation - Table 1'!$B$7*$O16/100)*$B16/1000)+'RangeCalculation - Table 2'!F$4))*(100/$A16))</f>
        <v>7.239812359425714</v>
      </c>
      <c r="U16" s="55">
        <f>((((('RangeCalculation - Rollreibungs'!I$4+H16)/('RangeCalculation - Table 1'!$B$7*$O16/100)*$B16/1000)+'RangeCalculation - Table 2'!G$4))*(100/$A16))</f>
        <v>6.969375546080875</v>
      </c>
      <c r="V16" s="55">
        <f>((((('RangeCalculation - Rollreibungs'!J$4+I16)/('RangeCalculation - Table 1'!$B$7*$O16/100)*$B16/1000)+'RangeCalculation - Table 2'!H$4))*(100/$A16))</f>
        <v>7.034472834303509</v>
      </c>
      <c r="W16" s="55">
        <f>((((('RangeCalculation - Rollreibungs'!K$4+J16)/('RangeCalculation - Table 1'!$B$7*$O16/100)*$B16/1000)+'RangeCalculation - Table 2'!I$4))*(100/$A16))</f>
        <v>7.268437557426947</v>
      </c>
      <c r="X16" s="55">
        <f>((((('RangeCalculation - Rollreibungs'!L$4+K16)/('RangeCalculation - Table 1'!$B$7*$O16/100)*$B16/1000)+'RangeCalculation - Table 2'!J$4))*(100/$A16))</f>
        <v>7.837936382117858</v>
      </c>
      <c r="Y16" s="57">
        <f>((((('RangeCalculation - Rollreibungs'!M$4+L16)/('RangeCalculation - Table 1'!$B$7*$O16/100)*$B16/1000)+'RangeCalculation - Table 2'!K$4))*(100/$A16))</f>
        <v>8.909321579580885</v>
      </c>
      <c r="Z16" s="58">
        <f>'RangeCalculation - Table 2'!B$6/P16*100</f>
        <v>213.4731395063948</v>
      </c>
      <c r="AA16" s="55">
        <f>'RangeCalculation - Table 2'!C$6/Q16*100</f>
        <v>257.7316974980965</v>
      </c>
      <c r="AB16" s="55">
        <f>'RangeCalculation - Table 2'!D$6/R16*100</f>
        <v>292.2869309317558</v>
      </c>
      <c r="AC16" s="55">
        <f>'RangeCalculation - Table 2'!E$6/S16*100</f>
        <v>343.6518425800778</v>
      </c>
      <c r="AD16" s="55">
        <f>'RangeCalculation - Table 2'!F$6/T16*100</f>
        <v>369.2084638795848</v>
      </c>
      <c r="AE16" s="55">
        <f>'RangeCalculation - Table 2'!G$6/U16*100</f>
        <v>404.8425832909275</v>
      </c>
      <c r="AF16" s="55">
        <f>'RangeCalculation - Table 2'!H$6/V16*100</f>
        <v>409.5402836657967</v>
      </c>
      <c r="AG16" s="55">
        <f>'RangeCalculation - Table 2'!I$6/W16*100</f>
        <v>408.6160163768939</v>
      </c>
      <c r="AH16" s="55">
        <f>'RangeCalculation - Table 2'!J$6/X16*100</f>
        <v>375.1370075812625</v>
      </c>
      <c r="AI16" s="59">
        <f>'RangeCalculation - Table 2'!K$6/Y16*100</f>
        <v>326.6915414379869</v>
      </c>
    </row>
    <row r="17" ht="21.45" customHeight="1">
      <c r="A17" s="53">
        <f>A16+5</f>
        <v>65</v>
      </c>
      <c r="B17" s="60">
        <f>A17*1000/3600</f>
        <v>18.05555555555556</v>
      </c>
      <c r="C17" s="61">
        <f>(0.5*'RangeCalculation - Table 1'!$B$10*'RangeCalculation - Table 2'!B$2*$B17^2)</f>
        <v>150.9011660300926</v>
      </c>
      <c r="D17" s="61">
        <f>(0.5*'RangeCalculation - Table 1'!$B$10*'RangeCalculation - Table 2'!C$2*$B17^2)</f>
        <v>148.0885744020062</v>
      </c>
      <c r="E17" s="61">
        <f>(0.5*'RangeCalculation - Table 1'!$B$10*'RangeCalculation - Table 2'!D$2*$B17^2)</f>
        <v>145.3547353395062</v>
      </c>
      <c r="F17" s="61">
        <f>(0.5*'RangeCalculation - Table 1'!$B$10*'RangeCalculation - Table 2'!E$2*$B17^2)</f>
        <v>142.7671510416667</v>
      </c>
      <c r="G17" s="61">
        <f>(0.5*'RangeCalculation - Table 1'!$B$10*'RangeCalculation - Table 2'!F$2*$B17^2)</f>
        <v>140.2470689429012</v>
      </c>
      <c r="H17" s="61">
        <f>(0.5*'RangeCalculation - Table 1'!$B$10*'RangeCalculation - Table 2'!G$2*$B17^2)</f>
        <v>137.8169897762346</v>
      </c>
      <c r="I17" s="61">
        <f>(0.5*'RangeCalculation - Table 1'!$B$10*'RangeCalculation - Table 2'!H$2*$B17^2)</f>
        <v>135.4656631751543</v>
      </c>
      <c r="J17" s="61">
        <f>(0.5*'RangeCalculation - Table 1'!$B$10*'RangeCalculation - Table 2'!I$2*$B17^2)</f>
        <v>133.1930891396605</v>
      </c>
      <c r="K17" s="61">
        <f>(0.5*'RangeCalculation - Table 1'!$B$10*'RangeCalculation - Table 2'!J$2*$B17^2)</f>
        <v>130.9992676697531</v>
      </c>
      <c r="L17" s="61">
        <f>(0.5*'RangeCalculation - Table 1'!$B$10*'RangeCalculation - Table 2'!K$2*$B17^2)</f>
        <v>128.8729483989198</v>
      </c>
      <c r="M17" s="62">
        <v>95</v>
      </c>
      <c r="N17" s="62">
        <f>95-(15*MAX(((65-$A17)/65),0))</f>
        <v>95</v>
      </c>
      <c r="O17" s="62">
        <f>M17*N17/100</f>
        <v>90.25</v>
      </c>
      <c r="P17" s="61">
        <f>((((('RangeCalculation - Rollreibungs'!D$4+C17)/('RangeCalculation - Table 1'!$B$7*$O17/100)*$B17/1000)+'RangeCalculation - Table 2'!B$4))*(100/$A17))</f>
        <v>8.856129186186728</v>
      </c>
      <c r="Q17" s="61">
        <f>((((('RangeCalculation - Rollreibungs'!E$4+D17)/('RangeCalculation - Table 1'!$B$7*$O17/100)*$B17/1000)+'RangeCalculation - Table 2'!C$4))*(100/$A17))</f>
        <v>8.586529958856431</v>
      </c>
      <c r="R17" s="61">
        <f>((((('RangeCalculation - Rollreibungs'!F$4+E17)/('RangeCalculation - Table 1'!$B$7*$O17/100)*$B17/1000)+'RangeCalculation - Table 2'!D$4))*(100/$A17))</f>
        <v>8.165636053132712</v>
      </c>
      <c r="S17" s="61">
        <f>((((('RangeCalculation - Rollreibungs'!G$4+F17)/('RangeCalculation - Table 1'!$B$7*$O17/100)*$B17/1000)+'RangeCalculation - Table 2'!E$4))*(100/$A17))</f>
        <v>7.903326755667373</v>
      </c>
      <c r="T17" s="61">
        <f>((((('RangeCalculation - Rollreibungs'!H$4+G17)/('RangeCalculation - Table 1'!$B$7*$O17/100)*$B17/1000)+'RangeCalculation - Table 2'!F$4))*(100/$A17))</f>
        <v>7.797050591007675</v>
      </c>
      <c r="U17" s="61">
        <f>((((('RangeCalculation - Rollreibungs'!I$4+H17)/('RangeCalculation - Table 1'!$B$7*$O17/100)*$B17/1000)+'RangeCalculation - Table 2'!G$4))*(100/$A17))</f>
        <v>7.53984424444781</v>
      </c>
      <c r="V17" s="61">
        <f>((((('RangeCalculation - Rollreibungs'!J$4+I17)/('RangeCalculation - Table 1'!$B$7*$O17/100)*$B17/1000)+'RangeCalculation - Table 2'!H$4))*(100/$A17))</f>
        <v>7.592881681032985</v>
      </c>
      <c r="W17" s="61">
        <f>((((('RangeCalculation - Rollreibungs'!K$4+J17)/('RangeCalculation - Table 1'!$B$7*$O17/100)*$B17/1000)+'RangeCalculation - Table 2'!I$4))*(100/$A17))</f>
        <v>7.802316746917051</v>
      </c>
      <c r="X17" s="61">
        <f>((((('RangeCalculation - Rollreibungs'!L$4+K17)/('RangeCalculation - Table 1'!$B$7*$O17/100)*$B17/1000)+'RangeCalculation - Table 2'!J$4))*(100/$A17))</f>
        <v>8.321995595946159</v>
      </c>
      <c r="Y17" s="63">
        <f>((((('RangeCalculation - Rollreibungs'!M$4+L17)/('RangeCalculation - Table 1'!$B$7*$O17/100)*$B17/1000)+'RangeCalculation - Table 2'!K$4))*(100/$A17))</f>
        <v>9.305399885473218</v>
      </c>
      <c r="Z17" s="64">
        <f>'RangeCalculation - Table 2'!B$6/P17*100</f>
        <v>201.2165769645117</v>
      </c>
      <c r="AA17" s="61">
        <f>'RangeCalculation - Table 2'!C$6/Q17*100</f>
        <v>242.1234200499878</v>
      </c>
      <c r="AB17" s="61">
        <f>'RangeCalculation - Table 2'!D$6/R17*100</f>
        <v>272.7895274178218</v>
      </c>
      <c r="AC17" s="61">
        <f>'RangeCalculation - Table 2'!E$6/S17*100</f>
        <v>319.4224505762353</v>
      </c>
      <c r="AD17" s="61">
        <f>'RangeCalculation - Table 2'!F$6/T17*100</f>
        <v>342.8219387319054</v>
      </c>
      <c r="AE17" s="61">
        <f>'RangeCalculation - Table 2'!G$6/U17*100</f>
        <v>374.2119742165358</v>
      </c>
      <c r="AF17" s="61">
        <f>'RangeCalculation - Table 2'!H$6/V17*100</f>
        <v>379.4211632714476</v>
      </c>
      <c r="AG17" s="61">
        <f>'RangeCalculation - Table 2'!I$6/W17*100</f>
        <v>380.6561687172651</v>
      </c>
      <c r="AH17" s="61">
        <f>'RangeCalculation - Table 2'!J$6/X17*100</f>
        <v>353.316697431598</v>
      </c>
      <c r="AI17" s="65">
        <f>'RangeCalculation - Table 2'!K$6/Y17*100</f>
        <v>312.786128035591</v>
      </c>
    </row>
    <row r="18" ht="21.45" customHeight="1">
      <c r="A18" s="53">
        <f>A17+5</f>
        <v>70</v>
      </c>
      <c r="B18" s="54">
        <f>A18*1000/3600</f>
        <v>19.44444444444444</v>
      </c>
      <c r="C18" s="55">
        <f>(0.5*'RangeCalculation - Table 1'!$B$10*'RangeCalculation - Table 2'!B$2*$B18^2)</f>
        <v>175.0096363425925</v>
      </c>
      <c r="D18" s="55">
        <f>(0.5*'RangeCalculation - Table 1'!$B$10*'RangeCalculation - Table 2'!C$2*$B18^2)</f>
        <v>171.7476957561728</v>
      </c>
      <c r="E18" s="55">
        <f>(0.5*'RangeCalculation - Table 1'!$B$10*'RangeCalculation - Table 2'!D$2*$B18^2)</f>
        <v>168.5770895061728</v>
      </c>
      <c r="F18" s="55">
        <f>(0.5*'RangeCalculation - Table 1'!$B$10*'RangeCalculation - Table 2'!E$2*$B18^2)</f>
        <v>165.5761041666666</v>
      </c>
      <c r="G18" s="55">
        <f>(0.5*'RangeCalculation - Table 1'!$B$10*'RangeCalculation - Table 2'!F$2*$B18^2)</f>
        <v>162.6534054012345</v>
      </c>
      <c r="H18" s="55">
        <f>(0.5*'RangeCalculation - Table 1'!$B$10*'RangeCalculation - Table 2'!G$2*$B18^2)</f>
        <v>159.8350887345679</v>
      </c>
      <c r="I18" s="55">
        <f>(0.5*'RangeCalculation - Table 1'!$B$10*'RangeCalculation - Table 2'!H$2*$B18^2)</f>
        <v>157.1081064043209</v>
      </c>
      <c r="J18" s="55">
        <f>(0.5*'RangeCalculation - Table 1'!$B$10*'RangeCalculation - Table 2'!I$2*$B18^2)</f>
        <v>154.4724584104938</v>
      </c>
      <c r="K18" s="55">
        <f>(0.5*'RangeCalculation - Table 1'!$B$10*'RangeCalculation - Table 2'!J$2*$B18^2)</f>
        <v>151.9281447530864</v>
      </c>
      <c r="L18" s="55">
        <f>(0.5*'RangeCalculation - Table 1'!$B$10*'RangeCalculation - Table 2'!K$2*$B18^2)</f>
        <v>149.4621176697531</v>
      </c>
      <c r="M18" s="56">
        <v>95</v>
      </c>
      <c r="N18" s="56">
        <f>95-(15*MAX(((65-$A18)/65),0))</f>
        <v>95</v>
      </c>
      <c r="O18" s="56">
        <f>M18*N18/100</f>
        <v>90.25</v>
      </c>
      <c r="P18" s="55">
        <f>((((('RangeCalculation - Rollreibungs'!D$4+C18)/('RangeCalculation - Table 1'!$B$7*$O18/100)*$B18/1000)+'RangeCalculation - Table 2'!B$4))*(100/$A18))</f>
        <v>9.521826047288801</v>
      </c>
      <c r="Q18" s="55">
        <f>((((('RangeCalculation - Rollreibungs'!E$4+D18)/('RangeCalculation - Table 1'!$B$7*$O18/100)*$B18/1000)+'RangeCalculation - Table 2'!C$4))*(100/$A18))</f>
        <v>9.259646550046442</v>
      </c>
      <c r="R18" s="55">
        <f>((((('RangeCalculation - Rollreibungs'!F$4+E18)/('RangeCalculation - Table 1'!$B$7*$O18/100)*$B18/1000)+'RangeCalculation - Table 2'!D$4))*(100/$A18))</f>
        <v>8.857569017572599</v>
      </c>
      <c r="S18" s="55">
        <f>((((('RangeCalculation - Rollreibungs'!G$4+F18)/('RangeCalculation - Table 1'!$B$7*$O18/100)*$B18/1000)+'RangeCalculation - Table 2'!E$4))*(100/$A18))</f>
        <v>8.603844113546407</v>
      </c>
      <c r="T18" s="55">
        <f>((((('RangeCalculation - Rollreibungs'!H$4+G18)/('RangeCalculation - Table 1'!$B$7*$O18/100)*$B18/1000)+'RangeCalculation - Table 2'!F$4))*(100/$A18))</f>
        <v>8.495512730342206</v>
      </c>
      <c r="U18" s="55">
        <f>((((('RangeCalculation - Rollreibungs'!I$4+H18)/('RangeCalculation - Table 1'!$B$7*$O18/100)*$B18/1000)+'RangeCalculation - Table 2'!G$4))*(100/$A18))</f>
        <v>8.24770604156733</v>
      </c>
      <c r="V18" s="55">
        <f>((((('RangeCalculation - Rollreibungs'!J$4+I18)/('RangeCalculation - Table 1'!$B$7*$O18/100)*$B18/1000)+'RangeCalculation - Table 2'!H$4))*(100/$A18))</f>
        <v>8.288572746132397</v>
      </c>
      <c r="W18" s="55">
        <f>((((('RangeCalculation - Rollreibungs'!K$4+J18)/('RangeCalculation - Table 1'!$B$7*$O18/100)*$B18/1000)+'RangeCalculation - Table 2'!I$4))*(100/$A18))</f>
        <v>8.475255701180265</v>
      </c>
      <c r="X18" s="55">
        <f>((((('RangeCalculation - Rollreibungs'!L$4+K18)/('RangeCalculation - Table 1'!$B$7*$O18/100)*$B18/1000)+'RangeCalculation - Table 2'!J$4))*(100/$A18))</f>
        <v>8.950612049568079</v>
      </c>
      <c r="Y18" s="57">
        <f>((((('RangeCalculation - Rollreibungs'!M$4+L18)/('RangeCalculation - Table 1'!$B$7*$O18/100)*$B18/1000)+'RangeCalculation - Table 2'!K$4))*(100/$A18))</f>
        <v>9.85707620449217</v>
      </c>
      <c r="Z18" s="58">
        <f>'RangeCalculation - Table 2'!B$6/P18*100</f>
        <v>187.1489765880987</v>
      </c>
      <c r="AA18" s="55">
        <f>'RangeCalculation - Table 2'!C$6/Q18*100</f>
        <v>224.5226088019064</v>
      </c>
      <c r="AB18" s="55">
        <f>'RangeCalculation - Table 2'!D$6/R18*100</f>
        <v>251.4798355599426</v>
      </c>
      <c r="AC18" s="55">
        <f>'RangeCalculation - Table 2'!E$6/S18*100</f>
        <v>293.4153579125494</v>
      </c>
      <c r="AD18" s="55">
        <f>'RangeCalculation - Table 2'!F$6/T18*100</f>
        <v>314.6366893728767</v>
      </c>
      <c r="AE18" s="55">
        <f>'RangeCalculation - Table 2'!G$6/U18*100</f>
        <v>342.0951214531676</v>
      </c>
      <c r="AF18" s="55">
        <f>'RangeCalculation - Table 2'!H$6/V18*100</f>
        <v>347.5749188959319</v>
      </c>
      <c r="AG18" s="55">
        <f>'RangeCalculation - Table 2'!I$6/W18*100</f>
        <v>350.431904914255</v>
      </c>
      <c r="AH18" s="55">
        <f>'RangeCalculation - Table 2'!J$6/X18*100</f>
        <v>328.5026748692439</v>
      </c>
      <c r="AI18" s="59">
        <f>'RangeCalculation - Table 2'!K$6/Y18*100</f>
        <v>295.2802575142466</v>
      </c>
    </row>
    <row r="19" ht="21.45" customHeight="1">
      <c r="A19" s="53">
        <f>A18+5</f>
        <v>75</v>
      </c>
      <c r="B19" s="60">
        <f>A19*1000/3600</f>
        <v>20.83333333333333</v>
      </c>
      <c r="C19" s="61">
        <f>(0.5*'RangeCalculation - Table 1'!$B$10*'RangeCalculation - Table 2'!B$2*$B19^2)</f>
        <v>200.9039192708333</v>
      </c>
      <c r="D19" s="61">
        <f>(0.5*'RangeCalculation - Table 1'!$B$10*'RangeCalculation - Table 2'!C$2*$B19^2)</f>
        <v>197.1593446180555</v>
      </c>
      <c r="E19" s="61">
        <f>(0.5*'RangeCalculation - Table 1'!$B$10*'RangeCalculation - Table 2'!D$2*$B19^2)</f>
        <v>193.5196180555555</v>
      </c>
      <c r="F19" s="61">
        <f>(0.5*'RangeCalculation - Table 1'!$B$10*'RangeCalculation - Table 2'!E$2*$B19^2)</f>
        <v>190.0746093749999</v>
      </c>
      <c r="G19" s="61">
        <f>(0.5*'RangeCalculation - Table 1'!$B$10*'RangeCalculation - Table 2'!F$2*$B19^2)</f>
        <v>186.719470486111</v>
      </c>
      <c r="H19" s="61">
        <f>(0.5*'RangeCalculation - Table 1'!$B$10*'RangeCalculation - Table 2'!G$2*$B19^2)</f>
        <v>183.4841579861111</v>
      </c>
      <c r="I19" s="61">
        <f>(0.5*'RangeCalculation - Table 1'!$B$10*'RangeCalculation - Table 2'!H$2*$B19^2)</f>
        <v>180.3536935763888</v>
      </c>
      <c r="J19" s="61">
        <f>(0.5*'RangeCalculation - Table 1'!$B$10*'RangeCalculation - Table 2'!I$2*$B19^2)</f>
        <v>177.3280772569444</v>
      </c>
      <c r="K19" s="61">
        <f>(0.5*'RangeCalculation - Table 1'!$B$10*'RangeCalculation - Table 2'!J$2*$B19^2)</f>
        <v>174.4073090277778</v>
      </c>
      <c r="L19" s="61">
        <f>(0.5*'RangeCalculation - Table 1'!$B$10*'RangeCalculation - Table 2'!K$2*$B19^2)</f>
        <v>171.5764105902777</v>
      </c>
      <c r="M19" s="62">
        <v>95</v>
      </c>
      <c r="N19" s="62">
        <f>95-(15*MAX(((65-$A19)/65),0))</f>
        <v>95</v>
      </c>
      <c r="O19" s="62">
        <f>M19*N19/100</f>
        <v>90.25</v>
      </c>
      <c r="P19" s="61">
        <f>((((('RangeCalculation - Rollreibungs'!D$4+C19)/('RangeCalculation - Table 1'!$B$7*$O19/100)*$B19/1000)+'RangeCalculation - Table 2'!B$4))*(100/$A19))</f>
        <v>10.26076541092266</v>
      </c>
      <c r="Q19" s="61">
        <f>((((('RangeCalculation - Rollreibungs'!E$4+D19)/('RangeCalculation - Table 1'!$B$7*$O19/100)*$B19/1000)+'RangeCalculation - Table 2'!C$4))*(100/$A19))</f>
        <v>10.00199684884598</v>
      </c>
      <c r="R19" s="61">
        <f>((((('RangeCalculation - Rollreibungs'!F$4+E19)/('RangeCalculation - Table 1'!$B$7*$O19/100)*$B19/1000)+'RangeCalculation - Table 2'!D$4))*(100/$A19))</f>
        <v>9.613291888210316</v>
      </c>
      <c r="S19" s="61">
        <f>((((('RangeCalculation - Rollreibungs'!G$4+F19)/('RangeCalculation - Table 1'!$B$7*$O19/100)*$B19/1000)+'RangeCalculation - Table 2'!E$4))*(100/$A19))</f>
        <v>9.364228854060354</v>
      </c>
      <c r="T19" s="61">
        <f>((((('RangeCalculation - Rollreibungs'!H$4+G19)/('RangeCalculation - Table 1'!$B$7*$O19/100)*$B19/1000)+'RangeCalculation - Table 2'!F$4))*(100/$A19))</f>
        <v>9.251410811621746</v>
      </c>
      <c r="U19" s="61">
        <f>((((('RangeCalculation - Rollreibungs'!I$4+H19)/('RangeCalculation - Table 1'!$B$7*$O19/100)*$B19/1000)+'RangeCalculation - Table 2'!G$4))*(100/$A19))</f>
        <v>9.009141647020492</v>
      </c>
      <c r="V19" s="61">
        <f>((((('RangeCalculation - Rollreibungs'!J$4+I19)/('RangeCalculation - Table 1'!$B$7*$O19/100)*$B19/1000)+'RangeCalculation - Table 2'!H$4))*(100/$A19))</f>
        <v>9.036936083860258</v>
      </c>
      <c r="W19" s="61">
        <f>((((('RangeCalculation - Rollreibungs'!K$4+J19)/('RangeCalculation - Table 1'!$B$7*$O19/100)*$B19/1000)+'RangeCalculation - Table 2'!I$4))*(100/$A19))</f>
        <v>9.201460788807708</v>
      </c>
      <c r="X19" s="61">
        <f>((((('RangeCalculation - Rollreibungs'!L$4+K19)/('RangeCalculation - Table 1'!$B$7*$O19/100)*$B19/1000)+'RangeCalculation - Table 2'!J$4))*(100/$A19))</f>
        <v>9.636049095196181</v>
      </c>
      <c r="Y19" s="63">
        <f>((((('RangeCalculation - Rollreibungs'!M$4+L19)/('RangeCalculation - Table 1'!$B$7*$O19/100)*$B19/1000)+'RangeCalculation - Table 2'!K$4))*(100/$A19))</f>
        <v>10.47354905996267</v>
      </c>
      <c r="Z19" s="64">
        <f>'RangeCalculation - Table 2'!B$6/P19*100</f>
        <v>173.6712543981416</v>
      </c>
      <c r="AA19" s="61">
        <f>'RangeCalculation - Table 2'!C$6/Q19*100</f>
        <v>207.8584938006528</v>
      </c>
      <c r="AB19" s="61">
        <f>'RangeCalculation - Table 2'!D$6/R19*100</f>
        <v>231.7104302982616</v>
      </c>
      <c r="AC19" s="61">
        <f>'RangeCalculation - Table 2'!E$6/S19*100</f>
        <v>269.5897376435188</v>
      </c>
      <c r="AD19" s="61">
        <f>'RangeCalculation - Table 2'!F$6/T19*100</f>
        <v>288.9289054856522</v>
      </c>
      <c r="AE19" s="61">
        <f>'RangeCalculation - Table 2'!G$6/U19*100</f>
        <v>313.181889079647</v>
      </c>
      <c r="AF19" s="61">
        <f>'RangeCalculation - Table 2'!H$6/V19*100</f>
        <v>318.7916759912926</v>
      </c>
      <c r="AG19" s="61">
        <f>'RangeCalculation - Table 2'!I$6/W19*100</f>
        <v>322.7748363186626</v>
      </c>
      <c r="AH19" s="61">
        <f>'RangeCalculation - Table 2'!J$6/X19*100</f>
        <v>305.1354316434331</v>
      </c>
      <c r="AI19" s="65">
        <f>'RangeCalculation - Table 2'!K$6/Y19*100</f>
        <v>277.9000683852599</v>
      </c>
    </row>
    <row r="20" ht="21.45" customHeight="1">
      <c r="A20" s="53">
        <f>A19+5</f>
        <v>80</v>
      </c>
      <c r="B20" s="54">
        <f>A20*1000/3600</f>
        <v>22.22222222222222</v>
      </c>
      <c r="C20" s="55">
        <f>(0.5*'RangeCalculation - Table 1'!$B$10*'RangeCalculation - Table 2'!B$2*$B20^2)</f>
        <v>228.5840148148148</v>
      </c>
      <c r="D20" s="55">
        <f>(0.5*'RangeCalculation - Table 1'!$B$10*'RangeCalculation - Table 2'!C$2*$B20^2)</f>
        <v>224.3235209876543</v>
      </c>
      <c r="E20" s="55">
        <f>(0.5*'RangeCalculation - Table 1'!$B$10*'RangeCalculation - Table 2'!D$2*$B20^2)</f>
        <v>220.1823209876543</v>
      </c>
      <c r="F20" s="55">
        <f>(0.5*'RangeCalculation - Table 1'!$B$10*'RangeCalculation - Table 2'!E$2*$B20^2)</f>
        <v>216.2626666666666</v>
      </c>
      <c r="G20" s="55">
        <f>(0.5*'RangeCalculation - Table 1'!$B$10*'RangeCalculation - Table 2'!F$2*$B20^2)</f>
        <v>212.4452641975308</v>
      </c>
      <c r="H20" s="55">
        <f>(0.5*'RangeCalculation - Table 1'!$B$10*'RangeCalculation - Table 2'!G$2*$B20^2)</f>
        <v>208.7641975308642</v>
      </c>
      <c r="I20" s="55">
        <f>(0.5*'RangeCalculation - Table 1'!$B$10*'RangeCalculation - Table 2'!H$2*$B20^2)</f>
        <v>205.202424691358</v>
      </c>
      <c r="J20" s="55">
        <f>(0.5*'RangeCalculation - Table 1'!$B$10*'RangeCalculation - Table 2'!I$2*$B20^2)</f>
        <v>201.7599456790123</v>
      </c>
      <c r="K20" s="55">
        <f>(0.5*'RangeCalculation - Table 1'!$B$10*'RangeCalculation - Table 2'!J$2*$B20^2)</f>
        <v>198.4367604938272</v>
      </c>
      <c r="L20" s="55">
        <f>(0.5*'RangeCalculation - Table 1'!$B$10*'RangeCalculation - Table 2'!K$2*$B20^2)</f>
        <v>195.2158271604938</v>
      </c>
      <c r="M20" s="56">
        <v>95</v>
      </c>
      <c r="N20" s="56">
        <f>95-(15*MAX(((65-$A20)/65),0))</f>
        <v>95</v>
      </c>
      <c r="O20" s="56">
        <f>M20*N20/100</f>
        <v>90.25</v>
      </c>
      <c r="P20" s="55">
        <f>((((('RangeCalculation - Rollreibungs'!D$4+C20)/('RangeCalculation - Table 1'!$B$7*$O20/100)*$B20/1000)+'RangeCalculation - Table 2'!B$4))*(100/$A20))</f>
        <v>11.07006266170368</v>
      </c>
      <c r="Q20" s="55">
        <f>((((('RangeCalculation - Rollreibungs'!E$4+D20)/('RangeCalculation - Table 1'!$B$7*$O20/100)*$B20/1000)+'RangeCalculation - Table 2'!C$4))*(100/$A20))</f>
        <v>10.81124569041986</v>
      </c>
      <c r="R20" s="55">
        <f>((((('RangeCalculation - Rollreibungs'!F$4+E20)/('RangeCalculation - Table 1'!$B$7*$O20/100)*$B20/1000)+'RangeCalculation - Table 2'!D$4))*(100/$A20))</f>
        <v>10.43129367603487</v>
      </c>
      <c r="S20" s="55">
        <f>((((('RangeCalculation - Rollreibungs'!G$4+F20)/('RangeCalculation - Table 1'!$B$7*$O20/100)*$B20/1000)+'RangeCalculation - Table 2'!E$4))*(100/$A20))</f>
        <v>10.18351943874768</v>
      </c>
      <c r="T20" s="55">
        <f>((((('RangeCalculation - Rollreibungs'!H$4+G20)/('RangeCalculation - Table 1'!$B$7*$O20/100)*$B20/1000)+'RangeCalculation - Table 2'!F$4))*(100/$A20))</f>
        <v>10.06405802165948</v>
      </c>
      <c r="U20" s="55">
        <f>((((('RangeCalculation - Rollreibungs'!I$4+H20)/('RangeCalculation - Table 1'!$B$7*$O20/100)*$B20/1000)+'RangeCalculation - Table 2'!G$4))*(100/$A20))</f>
        <v>9.824013698169935</v>
      </c>
      <c r="V20" s="55">
        <f>((((('RangeCalculation - Rollreibungs'!J$4+I20)/('RangeCalculation - Table 1'!$B$7*$O20/100)*$B20/1000)+'RangeCalculation - Table 2'!H$4))*(100/$A20))</f>
        <v>9.837834331579206</v>
      </c>
      <c r="W20" s="55">
        <f>((((('RangeCalculation - Rollreibungs'!K$4+J20)/('RangeCalculation - Table 1'!$B$7*$O20/100)*$B20/1000)+'RangeCalculation - Table 2'!I$4))*(100/$A20))</f>
        <v>9.980519921887295</v>
      </c>
      <c r="X20" s="55">
        <f>((((('RangeCalculation - Rollreibungs'!L$4+K20)/('RangeCalculation - Table 1'!$B$7*$O20/100)*$B20/1000)+'RangeCalculation - Table 2'!J$4))*(100/$A20))</f>
        <v>10.37707046909421</v>
      </c>
      <c r="Y20" s="57">
        <f>((((('RangeCalculation - Rollreibungs'!M$4+L20)/('RangeCalculation - Table 1'!$B$7*$O20/100)*$B20/1000)+'RangeCalculation - Table 2'!K$4))*(100/$A20))</f>
        <v>11.1519338365001</v>
      </c>
      <c r="Z20" s="58">
        <f>'RangeCalculation - Table 2'!B$6/P20*100</f>
        <v>160.9746985592719</v>
      </c>
      <c r="AA20" s="55">
        <f>'RangeCalculation - Table 2'!C$6/Q20*100</f>
        <v>192.2997644797082</v>
      </c>
      <c r="AB20" s="55">
        <f>'RangeCalculation - Table 2'!D$6/R20*100</f>
        <v>213.5401484398351</v>
      </c>
      <c r="AC20" s="55">
        <f>'RangeCalculation - Table 2'!E$6/S20*100</f>
        <v>247.9005431456661</v>
      </c>
      <c r="AD20" s="55">
        <f>'RangeCalculation - Table 2'!F$6/T20*100</f>
        <v>265.598627735181</v>
      </c>
      <c r="AE20" s="55">
        <f>'RangeCalculation - Table 2'!G$6/U20*100</f>
        <v>287.2044040945914</v>
      </c>
      <c r="AF20" s="55">
        <f>'RangeCalculation - Table 2'!H$6/V20*100</f>
        <v>292.8388406330834</v>
      </c>
      <c r="AG20" s="55">
        <f>'RangeCalculation - Table 2'!I$6/W20*100</f>
        <v>297.5796875558342</v>
      </c>
      <c r="AH20" s="55">
        <f>'RangeCalculation - Table 2'!J$6/X20*100</f>
        <v>283.3458642067652</v>
      </c>
      <c r="AI20" s="59">
        <f>'RangeCalculation - Table 2'!K$6/Y20*100</f>
        <v>260.9950922120478</v>
      </c>
    </row>
    <row r="21" ht="21.45" customHeight="1">
      <c r="A21" s="53">
        <f>A20+5</f>
        <v>85</v>
      </c>
      <c r="B21" s="60">
        <f>A21*1000/3600</f>
        <v>23.61111111111111</v>
      </c>
      <c r="C21" s="61">
        <f>(0.5*'RangeCalculation - Table 1'!$B$10*'RangeCalculation - Table 2'!B$2*$B21^2)</f>
        <v>258.049922974537</v>
      </c>
      <c r="D21" s="61">
        <f>(0.5*'RangeCalculation - Table 1'!$B$10*'RangeCalculation - Table 2'!C$2*$B21^2)</f>
        <v>253.2402248649691</v>
      </c>
      <c r="E21" s="61">
        <f>(0.5*'RangeCalculation - Table 1'!$B$10*'RangeCalculation - Table 2'!D$2*$B21^2)</f>
        <v>248.5651983024691</v>
      </c>
      <c r="F21" s="61">
        <f>(0.5*'RangeCalculation - Table 1'!$B$10*'RangeCalculation - Table 2'!E$2*$B21^2)</f>
        <v>244.1402760416666</v>
      </c>
      <c r="G21" s="61">
        <f>(0.5*'RangeCalculation - Table 1'!$B$10*'RangeCalculation - Table 2'!F$2*$B21^2)</f>
        <v>239.8307865354938</v>
      </c>
      <c r="H21" s="61">
        <f>(0.5*'RangeCalculation - Table 1'!$B$10*'RangeCalculation - Table 2'!G$2*$B21^2)</f>
        <v>235.6752073688271</v>
      </c>
      <c r="I21" s="61">
        <f>(0.5*'RangeCalculation - Table 1'!$B$10*'RangeCalculation - Table 2'!H$2*$B21^2)</f>
        <v>231.6542997492283</v>
      </c>
      <c r="J21" s="61">
        <f>(0.5*'RangeCalculation - Table 1'!$B$10*'RangeCalculation - Table 2'!I$2*$B21^2)</f>
        <v>227.7680636766975</v>
      </c>
      <c r="K21" s="61">
        <f>(0.5*'RangeCalculation - Table 1'!$B$10*'RangeCalculation - Table 2'!J$2*$B21^2)</f>
        <v>224.0164991512346</v>
      </c>
      <c r="L21" s="61">
        <f>(0.5*'RangeCalculation - Table 1'!$B$10*'RangeCalculation - Table 2'!K$2*$B21^2)</f>
        <v>220.3803673804012</v>
      </c>
      <c r="M21" s="62">
        <v>95</v>
      </c>
      <c r="N21" s="62">
        <f>95-(15*MAX(((65-$A21)/65),0))</f>
        <v>95</v>
      </c>
      <c r="O21" s="62">
        <f>M21*N21/100</f>
        <v>90.25</v>
      </c>
      <c r="P21" s="61">
        <f>((((('RangeCalculation - Rollreibungs'!D$4+C21)/('RangeCalculation - Table 1'!$B$7*$O21/100)*$B21/1000)+'RangeCalculation - Table 2'!B$4))*(100/$A21))</f>
        <v>11.94751191727891</v>
      </c>
      <c r="Q21" s="61">
        <f>((((('RangeCalculation - Rollreibungs'!E$4+D21)/('RangeCalculation - Table 1'!$B$7*$O21/100)*$B21/1000)+'RangeCalculation - Table 2'!C$4))*(100/$A21))</f>
        <v>11.68560736048239</v>
      </c>
      <c r="R21" s="61">
        <f>((((('RangeCalculation - Rollreibungs'!F$4+E21)/('RangeCalculation - Table 1'!$B$7*$O21/100)*$B21/1000)+'RangeCalculation - Table 2'!D$4))*(100/$A21))</f>
        <v>11.31041891886139</v>
      </c>
      <c r="S21" s="61">
        <f>((((('RangeCalculation - Rollreibungs'!G$4+F21)/('RangeCalculation - Table 1'!$B$7*$O21/100)*$B21/1000)+'RangeCalculation - Table 2'!E$4))*(100/$A21))</f>
        <v>11.06098057349074</v>
      </c>
      <c r="T21" s="61">
        <f>((((('RangeCalculation - Rollreibungs'!H$4+G21)/('RangeCalculation - Table 1'!$B$7*$O21/100)*$B21/1000)+'RangeCalculation - Table 2'!F$4))*(100/$A21))</f>
        <v>10.93292915037138</v>
      </c>
      <c r="U21" s="61">
        <f>((((('RangeCalculation - Rollreibungs'!I$4+H21)/('RangeCalculation - Table 1'!$B$7*$O21/100)*$B21/1000)+'RangeCalculation - Table 2'!G$4))*(100/$A21))</f>
        <v>10.69221715299885</v>
      </c>
      <c r="V21" s="61">
        <f>((((('RangeCalculation - Rollreibungs'!J$4+I21)/('RangeCalculation - Table 1'!$B$7*$O21/100)*$B21/1000)+'RangeCalculation - Table 2'!H$4))*(100/$A21))</f>
        <v>10.69116244727243</v>
      </c>
      <c r="W21" s="61">
        <f>((((('RangeCalculation - Rollreibungs'!K$4+J21)/('RangeCalculation - Table 1'!$B$7*$O21/100)*$B21/1000)+'RangeCalculation - Table 2'!I$4))*(100/$A21))</f>
        <v>10.8121179743686</v>
      </c>
      <c r="X21" s="61">
        <f>((((('RangeCalculation - Rollreibungs'!L$4+K21)/('RangeCalculation - Table 1'!$B$7*$O21/100)*$B21/1000)+'RangeCalculation - Table 2'!J$4))*(100/$A21))</f>
        <v>11.17273079311088</v>
      </c>
      <c r="Y21" s="63">
        <f>((((('RangeCalculation - Rollreibungs'!M$4+L21)/('RangeCalculation - Table 1'!$B$7*$O21/100)*$B21/1000)+'RangeCalculation - Table 2'!K$4))*(100/$A21))</f>
        <v>11.89002465175152</v>
      </c>
      <c r="Z21" s="64">
        <f>'RangeCalculation - Table 2'!B$6/P21*100</f>
        <v>149.1523935977673</v>
      </c>
      <c r="AA21" s="61">
        <f>'RangeCalculation - Table 2'!C$6/Q21*100</f>
        <v>177.9111633538728</v>
      </c>
      <c r="AB21" s="61">
        <f>'RangeCalculation - Table 2'!D$6/R21*100</f>
        <v>196.9423074405666</v>
      </c>
      <c r="AC21" s="61">
        <f>'RangeCalculation - Table 2'!E$6/S21*100</f>
        <v>228.2347377094518</v>
      </c>
      <c r="AD21" s="61">
        <f>'RangeCalculation - Table 2'!F$6/T21*100</f>
        <v>244.4907456396716</v>
      </c>
      <c r="AE21" s="61">
        <f>'RangeCalculation - Table 2'!G$6/U21*100</f>
        <v>263.8835294519484</v>
      </c>
      <c r="AF21" s="61">
        <f>'RangeCalculation - Table 2'!H$6/V21*100</f>
        <v>269.4655529001887</v>
      </c>
      <c r="AG21" s="61">
        <f>'RangeCalculation - Table 2'!I$6/W21*100</f>
        <v>274.6917862939283</v>
      </c>
      <c r="AH21" s="61">
        <f>'RangeCalculation - Table 2'!J$6/X21*100</f>
        <v>263.167533027198</v>
      </c>
      <c r="AI21" s="65">
        <f>'RangeCalculation - Table 2'!K$6/Y21*100</f>
        <v>244.7934369565196</v>
      </c>
    </row>
    <row r="22" ht="21.45" customHeight="1">
      <c r="A22" s="53">
        <f>A21+5</f>
        <v>90</v>
      </c>
      <c r="B22" s="54">
        <f>A22*1000/3600</f>
        <v>25</v>
      </c>
      <c r="C22" s="55">
        <f>(0.5*'RangeCalculation - Table 1'!$B$10*'RangeCalculation - Table 2'!B$2*$B22^2)</f>
        <v>289.3016437499999</v>
      </c>
      <c r="D22" s="55">
        <f>(0.5*'RangeCalculation - Table 1'!$B$10*'RangeCalculation - Table 2'!C$2*$B22^2)</f>
        <v>283.9094562499999</v>
      </c>
      <c r="E22" s="55">
        <f>(0.5*'RangeCalculation - Table 1'!$B$10*'RangeCalculation - Table 2'!D$2*$B22^2)</f>
        <v>278.66825</v>
      </c>
      <c r="F22" s="55">
        <f>(0.5*'RangeCalculation - Table 1'!$B$10*'RangeCalculation - Table 2'!E$2*$B22^2)</f>
        <v>273.7074375</v>
      </c>
      <c r="G22" s="55">
        <f>(0.5*'RangeCalculation - Table 1'!$B$10*'RangeCalculation - Table 2'!F$2*$B22^2)</f>
        <v>268.8760374999999</v>
      </c>
      <c r="H22" s="55">
        <f>(0.5*'RangeCalculation - Table 1'!$B$10*'RangeCalculation - Table 2'!G$2*$B22^2)</f>
        <v>264.2171875</v>
      </c>
      <c r="I22" s="55">
        <f>(0.5*'RangeCalculation - Table 1'!$B$10*'RangeCalculation - Table 2'!H$2*$B22^2)</f>
        <v>259.70931875</v>
      </c>
      <c r="J22" s="55">
        <f>(0.5*'RangeCalculation - Table 1'!$B$10*'RangeCalculation - Table 2'!I$2*$B22^2)</f>
        <v>255.35243125</v>
      </c>
      <c r="K22" s="55">
        <f>(0.5*'RangeCalculation - Table 1'!$B$10*'RangeCalculation - Table 2'!J$2*$B22^2)</f>
        <v>251.146525</v>
      </c>
      <c r="L22" s="55">
        <f>(0.5*'RangeCalculation - Table 1'!$B$10*'RangeCalculation - Table 2'!K$2*$B22^2)</f>
        <v>247.07003125</v>
      </c>
      <c r="M22" s="56">
        <v>95</v>
      </c>
      <c r="N22" s="56">
        <f>95-(15*MAX(((65-$A22)/65),0))</f>
        <v>95</v>
      </c>
      <c r="O22" s="56">
        <f>M22*N22/100</f>
        <v>90.25</v>
      </c>
      <c r="P22" s="55">
        <f>((((('RangeCalculation - Rollreibungs'!D$4+C22)/('RangeCalculation - Table 1'!$B$7*$O22/100)*$B22/1000)+'RangeCalculation - Table 2'!B$4))*(100/$A22))</f>
        <v>12.89139749137386</v>
      </c>
      <c r="Q22" s="55">
        <f>((((('RangeCalculation - Rollreibungs'!E$4+D22)/('RangeCalculation - Table 1'!$B$7*$O22/100)*$B22/1000)+'RangeCalculation - Table 2'!C$4))*(100/$A22))</f>
        <v>12.62369297014466</v>
      </c>
      <c r="R22" s="55">
        <f>((((('RangeCalculation - Rollreibungs'!F$4+E22)/('RangeCalculation - Table 1'!$B$7*$O22/100)*$B22/1000)+'RangeCalculation - Table 2'!D$4))*(100/$A22))</f>
        <v>12.24976892387941</v>
      </c>
      <c r="S22" s="55">
        <f>((((('RangeCalculation - Rollreibungs'!G$4+F22)/('RangeCalculation - Table 1'!$B$7*$O22/100)*$B22/1000)+'RangeCalculation - Table 2'!E$4))*(100/$A22))</f>
        <v>11.99604036286469</v>
      </c>
      <c r="T22" s="55">
        <f>((((('RangeCalculation - Rollreibungs'!H$4+G22)/('RangeCalculation - Table 1'!$B$7*$O22/100)*$B22/1000)+'RangeCalculation - Table 2'!F$4))*(100/$A22))</f>
        <v>11.85761570102541</v>
      </c>
      <c r="U22" s="55">
        <f>((((('RangeCalculation - Rollreibungs'!I$4+H22)/('RangeCalculation - Table 1'!$B$7*$O22/100)*$B22/1000)+'RangeCalculation - Table 2'!G$4))*(100/$A22))</f>
        <v>11.61367031216083</v>
      </c>
      <c r="V22" s="55">
        <f>((((('RangeCalculation - Rollreibungs'!J$4+I22)/('RangeCalculation - Table 1'!$B$7*$O22/100)*$B22/1000)+'RangeCalculation - Table 2'!H$4))*(100/$A22))</f>
        <v>11.59683873159353</v>
      </c>
      <c r="W22" s="55">
        <f>((((('RangeCalculation - Rollreibungs'!K$4+J22)/('RangeCalculation - Table 1'!$B$7*$O22/100)*$B22/1000)+'RangeCalculation - Table 2'!I$4))*(100/$A22))</f>
        <v>11.6960098482124</v>
      </c>
      <c r="X22" s="55">
        <f>((((('RangeCalculation - Rollreibungs'!L$4+K22)/('RangeCalculation - Table 1'!$B$7*$O22/100)*$B22/1000)+'RangeCalculation - Table 2'!J$4))*(100/$A22))</f>
        <v>12.02229477312857</v>
      </c>
      <c r="Y22" s="57">
        <f>((((('RangeCalculation - Rollreibungs'!M$4+L22)/('RangeCalculation - Table 1'!$B$7*$O22/100)*$B22/1000)+'RangeCalculation - Table 2'!K$4))*(100/$A22))</f>
        <v>12.68610581944242</v>
      </c>
      <c r="Z22" s="58">
        <f>'RangeCalculation - Table 2'!B$6/P22*100</f>
        <v>138.2317162427429</v>
      </c>
      <c r="AA22" s="55">
        <f>'RangeCalculation - Table 2'!C$6/Q22*100</f>
        <v>164.6903172405164</v>
      </c>
      <c r="AB22" s="55">
        <f>'RangeCalculation - Table 2'!D$6/R22*100</f>
        <v>181.8401648097838</v>
      </c>
      <c r="AC22" s="55">
        <f>'RangeCalculation - Table 2'!E$6/S22*100</f>
        <v>210.4444403017282</v>
      </c>
      <c r="AD22" s="55">
        <f>'RangeCalculation - Table 2'!F$6/T22*100</f>
        <v>225.4247453616536</v>
      </c>
      <c r="AE22" s="55">
        <f>'RangeCalculation - Table 2'!G$6/U22*100</f>
        <v>242.9464522551126</v>
      </c>
      <c r="AF22" s="55">
        <f>'RangeCalculation - Table 2'!H$6/V22*100</f>
        <v>248.4211487869965</v>
      </c>
      <c r="AG22" s="55">
        <f>'RangeCalculation - Table 2'!I$6/W22*100</f>
        <v>253.9327547209555</v>
      </c>
      <c r="AH22" s="55">
        <f>'RangeCalculation - Table 2'!J$6/X22*100</f>
        <v>244.5706128061309</v>
      </c>
      <c r="AI22" s="59">
        <f>'RangeCalculation - Table 2'!K$6/Y22*100</f>
        <v>229.4321079632872</v>
      </c>
    </row>
    <row r="23" ht="21.45" customHeight="1">
      <c r="A23" s="53">
        <f>A22+5</f>
        <v>95</v>
      </c>
      <c r="B23" s="60">
        <f>A23*1000/3600</f>
        <v>26.38888888888889</v>
      </c>
      <c r="C23" s="61">
        <f>(0.5*'RangeCalculation - Table 1'!$B$10*'RangeCalculation - Table 2'!B$2*$B23^2)</f>
        <v>322.3391771412036</v>
      </c>
      <c r="D23" s="61">
        <f>(0.5*'RangeCalculation - Table 1'!$B$10*'RangeCalculation - Table 2'!C$2*$B23^2)</f>
        <v>316.3312151427469</v>
      </c>
      <c r="E23" s="61">
        <f>(0.5*'RangeCalculation - Table 1'!$B$10*'RangeCalculation - Table 2'!D$2*$B23^2)</f>
        <v>310.4914760802469</v>
      </c>
      <c r="F23" s="61">
        <f>(0.5*'RangeCalculation - Table 1'!$B$10*'RangeCalculation - Table 2'!E$2*$B23^2)</f>
        <v>304.9641510416666</v>
      </c>
      <c r="G23" s="61">
        <f>(0.5*'RangeCalculation - Table 1'!$B$10*'RangeCalculation - Table 2'!F$2*$B23^2)</f>
        <v>299.5810170910493</v>
      </c>
      <c r="H23" s="61">
        <f>(0.5*'RangeCalculation - Table 1'!$B$10*'RangeCalculation - Table 2'!G$2*$B23^2)</f>
        <v>294.3901379243827</v>
      </c>
      <c r="I23" s="61">
        <f>(0.5*'RangeCalculation - Table 1'!$B$10*'RangeCalculation - Table 2'!H$2*$B23^2)</f>
        <v>289.3674816936728</v>
      </c>
      <c r="J23" s="61">
        <f>(0.5*'RangeCalculation - Table 1'!$B$10*'RangeCalculation - Table 2'!I$2*$B23^2)</f>
        <v>284.5130483989197</v>
      </c>
      <c r="K23" s="61">
        <f>(0.5*'RangeCalculation - Table 1'!$B$10*'RangeCalculation - Table 2'!J$2*$B23^2)</f>
        <v>279.8268380401234</v>
      </c>
      <c r="L23" s="61">
        <f>(0.5*'RangeCalculation - Table 1'!$B$10*'RangeCalculation - Table 2'!K$2*$B23^2)</f>
        <v>275.2848187692901</v>
      </c>
      <c r="M23" s="62">
        <v>95</v>
      </c>
      <c r="N23" s="62">
        <f>95-(15*MAX(((65-$A23)/65),0))</f>
        <v>95</v>
      </c>
      <c r="O23" s="62">
        <f>M23*N23/100</f>
        <v>90.25</v>
      </c>
      <c r="P23" s="61">
        <f>((((('RangeCalculation - Rollreibungs'!D$4+C23)/('RangeCalculation - Table 1'!$B$7*$O23/100)*$B23/1000)+'RangeCalculation - Table 2'!B$4))*(100/$A23))</f>
        <v>13.90036489482443</v>
      </c>
      <c r="Q23" s="61">
        <f>((((('RangeCalculation - Rollreibungs'!E$4+D23)/('RangeCalculation - Table 1'!$B$7*$O23/100)*$B23/1000)+'RangeCalculation - Table 2'!C$4))*(100/$A23))</f>
        <v>13.62440602817861</v>
      </c>
      <c r="R23" s="61">
        <f>((((('RangeCalculation - Rollreibungs'!F$4+E23)/('RangeCalculation - Table 1'!$B$7*$O23/100)*$B23/1000)+'RangeCalculation - Table 2'!D$4))*(100/$A23))</f>
        <v>13.24863419676489</v>
      </c>
      <c r="S23" s="61">
        <f>((((('RangeCalculation - Rollreibungs'!G$4+F23)/('RangeCalculation - Table 1'!$B$7*$O23/100)*$B23/1000)+'RangeCalculation - Table 2'!E$4))*(100/$A23))</f>
        <v>12.9882473104815</v>
      </c>
      <c r="T23" s="61">
        <f>((((('RangeCalculation - Rollreibungs'!H$4+G23)/('RangeCalculation - Table 1'!$B$7*$O23/100)*$B23/1000)+'RangeCalculation - Table 2'!F$4))*(100/$A23))</f>
        <v>12.83779517620156</v>
      </c>
      <c r="U23" s="61">
        <f>((((('RangeCalculation - Rollreibungs'!I$4+H23)/('RangeCalculation - Table 1'!$B$7*$O23/100)*$B23/1000)+'RangeCalculation - Table 2'!G$4))*(100/$A23))</f>
        <v>12.58830867617186</v>
      </c>
      <c r="V23" s="61">
        <f>((((('RangeCalculation - Rollreibungs'!J$4+I23)/('RangeCalculation - Table 1'!$B$7*$O23/100)*$B23/1000)+'RangeCalculation - Table 2'!H$4))*(100/$A23))</f>
        <v>12.55479868505849</v>
      </c>
      <c r="W23" s="61">
        <f>((((('RangeCalculation - Rollreibungs'!K$4+J23)/('RangeCalculation - Table 1'!$B$7*$O23/100)*$B23/1000)+'RangeCalculation - Table 2'!I$4))*(100/$A23))</f>
        <v>12.6320020449667</v>
      </c>
      <c r="X23" s="61">
        <f>((((('RangeCalculation - Rollreibungs'!L$4+K23)/('RangeCalculation - Table 1'!$B$7*$O23/100)*$B23/1000)+'RangeCalculation - Table 2'!J$4))*(100/$A23))</f>
        <v>12.92518191379124</v>
      </c>
      <c r="Y23" s="63">
        <f>((((('RangeCalculation - Rollreibungs'!M$4+L23)/('RangeCalculation - Table 1'!$B$7*$O23/100)*$B23/1000)+'RangeCalculation - Table 2'!K$4))*(100/$A23))</f>
        <v>13.53882285040872</v>
      </c>
      <c r="Z23" s="64">
        <f>'RangeCalculation - Table 2'!B$6/P23*100</f>
        <v>128.1980734666539</v>
      </c>
      <c r="AA23" s="61">
        <f>'RangeCalculation - Table 2'!C$6/Q23*100</f>
        <v>152.5938081777744</v>
      </c>
      <c r="AB23" s="61">
        <f>'RangeCalculation - Table 2'!D$6/R23*100</f>
        <v>168.1305383572233</v>
      </c>
      <c r="AC23" s="61">
        <f>'RangeCalculation - Table 2'!E$6/S23*100</f>
        <v>194.3680266977002</v>
      </c>
      <c r="AD23" s="61">
        <f>'RangeCalculation - Table 2'!F$6/T23*100</f>
        <v>208.2133234961679</v>
      </c>
      <c r="AE23" s="61">
        <f>'RangeCalculation - Table 2'!G$6/U23*100</f>
        <v>224.1365438822418</v>
      </c>
      <c r="AF23" s="61">
        <f>'RangeCalculation - Table 2'!H$6/V23*100</f>
        <v>229.4660449974853</v>
      </c>
      <c r="AG23" s="61">
        <f>'RangeCalculation - Table 2'!I$6/W23*100</f>
        <v>235.117124698647</v>
      </c>
      <c r="AH23" s="61">
        <f>'RangeCalculation - Table 2'!J$6/X23*100</f>
        <v>227.4861599327035</v>
      </c>
      <c r="AI23" s="65">
        <f>'RangeCalculation - Table 2'!K$6/Y23*100</f>
        <v>214.9817626066459</v>
      </c>
    </row>
    <row r="24" ht="21.45" customHeight="1">
      <c r="A24" s="53">
        <f>A23+5</f>
        <v>100</v>
      </c>
      <c r="B24" s="54">
        <f>A24*1000/3600</f>
        <v>27.77777777777778</v>
      </c>
      <c r="C24" s="55">
        <f>(0.5*'RangeCalculation - Table 1'!$B$10*'RangeCalculation - Table 2'!B$2*$B24^2)</f>
        <v>357.1625231481481</v>
      </c>
      <c r="D24" s="55">
        <f>(0.5*'RangeCalculation - Table 1'!$B$10*'RangeCalculation - Table 2'!C$2*$B24^2)</f>
        <v>350.5055015432098</v>
      </c>
      <c r="E24" s="55">
        <f>(0.5*'RangeCalculation - Table 1'!$B$10*'RangeCalculation - Table 2'!D$2*$B24^2)</f>
        <v>344.0348765432099</v>
      </c>
      <c r="F24" s="55">
        <f>(0.5*'RangeCalculation - Table 1'!$B$10*'RangeCalculation - Table 2'!E$2*$B24^2)</f>
        <v>337.9104166666666</v>
      </c>
      <c r="G24" s="55">
        <f>(0.5*'RangeCalculation - Table 1'!$B$10*'RangeCalculation - Table 2'!F$2*$B24^2)</f>
        <v>331.945725308642</v>
      </c>
      <c r="H24" s="55">
        <f>(0.5*'RangeCalculation - Table 1'!$B$10*'RangeCalculation - Table 2'!G$2*$B24^2)</f>
        <v>326.1940586419753</v>
      </c>
      <c r="I24" s="55">
        <f>(0.5*'RangeCalculation - Table 1'!$B$10*'RangeCalculation - Table 2'!H$2*$B24^2)</f>
        <v>320.6287885802469</v>
      </c>
      <c r="J24" s="55">
        <f>(0.5*'RangeCalculation - Table 1'!$B$10*'RangeCalculation - Table 2'!I$2*$B24^2)</f>
        <v>315.2499151234567</v>
      </c>
      <c r="K24" s="55">
        <f>(0.5*'RangeCalculation - Table 1'!$B$10*'RangeCalculation - Table 2'!J$2*$B24^2)</f>
        <v>310.057438271605</v>
      </c>
      <c r="L24" s="55">
        <f>(0.5*'RangeCalculation - Table 1'!$B$10*'RangeCalculation - Table 2'!K$2*$B24^2)</f>
        <v>305.0247299382716</v>
      </c>
      <c r="M24" s="56">
        <v>95</v>
      </c>
      <c r="N24" s="56">
        <f>95-(15*MAX(((65-$A24)/65),0))</f>
        <v>95</v>
      </c>
      <c r="O24" s="56">
        <f>M24*N24/100</f>
        <v>90.25</v>
      </c>
      <c r="P24" s="55">
        <f>((((('RangeCalculation - Rollreibungs'!D$4+C24)/('RangeCalculation - Table 1'!$B$7*$O24/100)*$B24/1000)+'RangeCalculation - Table 2'!B$4))*(100/$A24))</f>
        <v>14.97333053629937</v>
      </c>
      <c r="Q24" s="55">
        <f>((((('RangeCalculation - Rollreibungs'!E$4+D24)/('RangeCalculation - Table 1'!$B$7*$O24/100)*$B24/1000)+'RangeCalculation - Table 2'!C$4))*(100/$A24))</f>
        <v>14.68686934160178</v>
      </c>
      <c r="R24" s="55">
        <f>((((('RangeCalculation - Rollreibungs'!F$4+E24)/('RangeCalculation - Table 1'!$B$7*$O24/100)*$B24/1000)+'RangeCalculation - Table 2'!D$4))*(100/$A24))</f>
        <v>14.30644714205861</v>
      </c>
      <c r="S24" s="55">
        <f>((((('RangeCalculation - Rollreibungs'!G$4+F24)/('RangeCalculation - Table 1'!$B$7*$O24/100)*$B24/1000)+'RangeCalculation - Table 2'!E$4))*(100/$A24))</f>
        <v>14.03724021923075</v>
      </c>
      <c r="T24" s="55">
        <f>((((('RangeCalculation - Rollreibungs'!H$4+G24)/('RangeCalculation - Table 1'!$B$7*$O24/100)*$B24/1000)+'RangeCalculation - Table 2'!F$4))*(100/$A24))</f>
        <v>13.87320957796381</v>
      </c>
      <c r="U24" s="55">
        <f>((((('RangeCalculation - Rollreibungs'!I$4+H24)/('RangeCalculation - Table 1'!$B$7*$O24/100)*$B24/1000)+'RangeCalculation - Table 2'!G$4))*(100/$A24))</f>
        <v>13.61608064544476</v>
      </c>
      <c r="V24" s="55">
        <f>((((('RangeCalculation - Rollreibungs'!J$4+I24)/('RangeCalculation - Table 1'!$B$7*$O24/100)*$B24/1000)+'RangeCalculation - Table 2'!H$4))*(100/$A24))</f>
        <v>13.56499070808012</v>
      </c>
      <c r="W24" s="55">
        <f>((((('RangeCalculation - Rollreibungs'!K$4+J24)/('RangeCalculation - Table 1'!$B$7*$O24/100)*$B24/1000)+'RangeCalculation - Table 2'!I$4))*(100/$A24))</f>
        <v>13.61993976586988</v>
      </c>
      <c r="X24" s="55">
        <f>((((('RangeCalculation - Rollreibungs'!L$4+K24)/('RangeCalculation - Table 1'!$B$7*$O24/100)*$B24/1000)+'RangeCalculation - Table 2'!J$4))*(100/$A24))</f>
        <v>13.88092781881405</v>
      </c>
      <c r="Y24" s="57">
        <f>((((('RangeCalculation - Rollreibungs'!M$4+L24)/('RangeCalculation - Table 1'!$B$7*$O24/100)*$B24/1000)+'RangeCalculation - Table 2'!K$4))*(100/$A24))</f>
        <v>14.44709215331913</v>
      </c>
      <c r="Z24" s="58">
        <f>'RangeCalculation - Table 2'!B$6/P24*100</f>
        <v>119.0115983668399</v>
      </c>
      <c r="AA24" s="55">
        <f>'RangeCalculation - Table 2'!C$6/Q24*100</f>
        <v>141.5550143222871</v>
      </c>
      <c r="AB24" s="55">
        <f>'RangeCalculation - Table 2'!D$6/R24*100</f>
        <v>155.699034000658</v>
      </c>
      <c r="AC24" s="55">
        <f>'RangeCalculation - Table 2'!E$6/S24*100</f>
        <v>179.8430432601334</v>
      </c>
      <c r="AD24" s="55">
        <f>'RangeCalculation - Table 2'!F$6/T24*100</f>
        <v>192.6735111279361</v>
      </c>
      <c r="AE24" s="55">
        <f>'RangeCalculation - Table 2'!G$6/U24*100</f>
        <v>207.2182203873717</v>
      </c>
      <c r="AF24" s="55">
        <f>'RangeCalculation - Table 2'!H$6/V24*100</f>
        <v>212.3775874231866</v>
      </c>
      <c r="AG24" s="55">
        <f>'RangeCalculation - Table 2'!I$6/W24*100</f>
        <v>218.0626383857074</v>
      </c>
      <c r="AH24" s="55">
        <f>'RangeCalculation - Table 2'!J$6/X24*100</f>
        <v>211.823016327104</v>
      </c>
      <c r="AI24" s="59">
        <f>'RangeCalculation - Table 2'!K$6/Y24*100</f>
        <v>201.4661475895207</v>
      </c>
    </row>
    <row r="25" ht="21.45" customHeight="1">
      <c r="A25" s="53">
        <f>A24+5</f>
        <v>105</v>
      </c>
      <c r="B25" s="60">
        <f>A25*1000/3600</f>
        <v>29.16666666666667</v>
      </c>
      <c r="C25" s="61">
        <f>(0.5*'RangeCalculation - Table 1'!$B$10*'RangeCalculation - Table 2'!B$2*$B25^2)</f>
        <v>393.7716817708333</v>
      </c>
      <c r="D25" s="61">
        <f>(0.5*'RangeCalculation - Table 1'!$B$10*'RangeCalculation - Table 2'!C$2*$B25^2)</f>
        <v>386.4323154513888</v>
      </c>
      <c r="E25" s="61">
        <f>(0.5*'RangeCalculation - Table 1'!$B$10*'RangeCalculation - Table 2'!D$2*$B25^2)</f>
        <v>379.2984513888889</v>
      </c>
      <c r="F25" s="61">
        <f>(0.5*'RangeCalculation - Table 1'!$B$10*'RangeCalculation - Table 2'!E$2*$B25^2)</f>
        <v>372.5462343749999</v>
      </c>
      <c r="G25" s="61">
        <f>(0.5*'RangeCalculation - Table 1'!$B$10*'RangeCalculation - Table 2'!F$2*$B25^2)</f>
        <v>365.9701621527777</v>
      </c>
      <c r="H25" s="61">
        <f>(0.5*'RangeCalculation - Table 1'!$B$10*'RangeCalculation - Table 2'!G$2*$B25^2)</f>
        <v>359.6289496527778</v>
      </c>
      <c r="I25" s="61">
        <f>(0.5*'RangeCalculation - Table 1'!$B$10*'RangeCalculation - Table 2'!H$2*$B25^2)</f>
        <v>353.4932394097222</v>
      </c>
      <c r="J25" s="61">
        <f>(0.5*'RangeCalculation - Table 1'!$B$10*'RangeCalculation - Table 2'!I$2*$B25^2)</f>
        <v>347.5630314236111</v>
      </c>
      <c r="K25" s="61">
        <f>(0.5*'RangeCalculation - Table 1'!$B$10*'RangeCalculation - Table 2'!J$2*$B25^2)</f>
        <v>341.8383256944444</v>
      </c>
      <c r="L25" s="61">
        <f>(0.5*'RangeCalculation - Table 1'!$B$10*'RangeCalculation - Table 2'!K$2*$B25^2)</f>
        <v>336.2897647569444</v>
      </c>
      <c r="M25" s="62">
        <v>95</v>
      </c>
      <c r="N25" s="62">
        <f>95-(15*MAX(((65-$A25)/65),0))</f>
        <v>95</v>
      </c>
      <c r="O25" s="62">
        <f>M25*N25/100</f>
        <v>90.25</v>
      </c>
      <c r="P25" s="61">
        <f>((((('RangeCalculation - Rollreibungs'!D$4+C25)/('RangeCalculation - Table 1'!$B$7*$O25/100)*$B25/1000)+'RangeCalculation - Table 2'!B$4))*(100/$A25))</f>
        <v>16.10941722281619</v>
      </c>
      <c r="Q25" s="61">
        <f>((((('RangeCalculation - Rollreibungs'!E$4+D25)/('RangeCalculation - Table 1'!$B$7*$O25/100)*$B25/1000)+'RangeCalculation - Table 2'!C$4))*(100/$A25))</f>
        <v>15.81037280180933</v>
      </c>
      <c r="R25" s="61">
        <f>((((('RangeCalculation - Rollreibungs'!F$4+E25)/('RangeCalculation - Table 1'!$B$7*$O25/100)*$B25/1000)+'RangeCalculation - Table 2'!D$4))*(100/$A25))</f>
        <v>15.42274827772211</v>
      </c>
      <c r="S25" s="61">
        <f>((((('RangeCalculation - Rollreibungs'!G$4+F25)/('RangeCalculation - Table 1'!$B$7*$O25/100)*$B25/1000)+'RangeCalculation - Table 2'!E$4))*(100/$A25))</f>
        <v>15.14272669145162</v>
      </c>
      <c r="T25" s="61">
        <f>((((('RangeCalculation - Rollreibungs'!H$4+G25)/('RangeCalculation - Table 1'!$B$7*$O25/100)*$B25/1000)+'RangeCalculation - Table 2'!F$4))*(100/$A25))</f>
        <v>14.96365005084014</v>
      </c>
      <c r="U25" s="61">
        <f>((((('RangeCalculation - Rollreibungs'!I$4+H25)/('RangeCalculation - Table 1'!$B$7*$O25/100)*$B25/1000)+'RangeCalculation - Table 2'!G$4))*(100/$A25))</f>
        <v>14.69694444888511</v>
      </c>
      <c r="V25" s="61">
        <f>((((('RangeCalculation - Rollreibungs'!J$4+I25)/('RangeCalculation - Table 1'!$B$7*$O25/100)*$B25/1000)+'RangeCalculation - Table 2'!H$4))*(100/$A25))</f>
        <v>14.62737302956401</v>
      </c>
      <c r="W25" s="61">
        <f>((((('RangeCalculation - Rollreibungs'!K$4+J25)/('RangeCalculation - Table 1'!$B$7*$O25/100)*$B25/1000)+'RangeCalculation - Table 2'!I$4))*(100/$A25))</f>
        <v>14.65969769763873</v>
      </c>
      <c r="X25" s="61">
        <f>((((('RangeCalculation - Rollreibungs'!L$4+K25)/('RangeCalculation - Table 1'!$B$7*$O25/100)*$B25/1000)+'RangeCalculation - Table 2'!J$4))*(100/$A25))</f>
        <v>14.88915654834737</v>
      </c>
      <c r="Y25" s="63">
        <f>((((('RangeCalculation - Rollreibungs'!M$4+L25)/('RangeCalculation - Table 1'!$B$7*$O25/100)*$B25/1000)+'RangeCalculation - Table 2'!K$4))*(100/$A25))</f>
        <v>15.41003653519122</v>
      </c>
      <c r="Z25" s="64">
        <f>'RangeCalculation - Table 2'!B$6/P25*100</f>
        <v>110.6185267506826</v>
      </c>
      <c r="AA25" s="61">
        <f>'RangeCalculation - Table 2'!C$6/Q25*100</f>
        <v>131.4959505421706</v>
      </c>
      <c r="AB25" s="61">
        <f>'RangeCalculation - Table 2'!D$6/R25*100</f>
        <v>144.4295115169315</v>
      </c>
      <c r="AC25" s="61">
        <f>'RangeCalculation - Table 2'!E$6/S25*100</f>
        <v>166.713700342035</v>
      </c>
      <c r="AD25" s="61">
        <f>'RangeCalculation - Table 2'!F$6/T25*100</f>
        <v>178.6328864226495</v>
      </c>
      <c r="AE25" s="61">
        <f>'RangeCalculation - Table 2'!G$6/U25*100</f>
        <v>191.9786803177333</v>
      </c>
      <c r="AF25" s="61">
        <f>'RangeCalculation - Table 2'!H$6/V25*100</f>
        <v>196.9526581551787</v>
      </c>
      <c r="AG25" s="61">
        <f>'RangeCalculation - Table 2'!I$6/W25*100</f>
        <v>202.596265029284</v>
      </c>
      <c r="AH25" s="61">
        <f>'RangeCalculation - Table 2'!J$6/X25*100</f>
        <v>197.4792857105367</v>
      </c>
      <c r="AI25" s="65">
        <f>'RangeCalculation - Table 2'!K$6/Y25*100</f>
        <v>188.8769045649692</v>
      </c>
    </row>
    <row r="26" ht="21.45" customHeight="1">
      <c r="A26" s="53">
        <f>A25+5</f>
        <v>110</v>
      </c>
      <c r="B26" s="54">
        <f>A26*1000/3600</f>
        <v>30.55555555555556</v>
      </c>
      <c r="C26" s="55">
        <f>(0.5*'RangeCalculation - Table 1'!$B$10*'RangeCalculation - Table 2'!B$2*$B26^2)</f>
        <v>432.1666530092592</v>
      </c>
      <c r="D26" s="55">
        <f>(0.5*'RangeCalculation - Table 1'!$B$10*'RangeCalculation - Table 2'!C$2*$B26^2)</f>
        <v>424.111656867284</v>
      </c>
      <c r="E26" s="55">
        <f>(0.5*'RangeCalculation - Table 1'!$B$10*'RangeCalculation - Table 2'!D$2*$B26^2)</f>
        <v>416.2822006172839</v>
      </c>
      <c r="F26" s="55">
        <f>(0.5*'RangeCalculation - Table 1'!$B$10*'RangeCalculation - Table 2'!E$2*$B26^2)</f>
        <v>408.8716041666666</v>
      </c>
      <c r="G26" s="55">
        <f>(0.5*'RangeCalculation - Table 1'!$B$10*'RangeCalculation - Table 2'!F$2*$B26^2)</f>
        <v>401.6543276234568</v>
      </c>
      <c r="H26" s="55">
        <f>(0.5*'RangeCalculation - Table 1'!$B$10*'RangeCalculation - Table 2'!G$2*$B26^2)</f>
        <v>394.6948109567901</v>
      </c>
      <c r="I26" s="55">
        <f>(0.5*'RangeCalculation - Table 1'!$B$10*'RangeCalculation - Table 2'!H$2*$B26^2)</f>
        <v>387.9608341820987</v>
      </c>
      <c r="J26" s="55">
        <f>(0.5*'RangeCalculation - Table 1'!$B$10*'RangeCalculation - Table 2'!I$2*$B26^2)</f>
        <v>381.4523972993827</v>
      </c>
      <c r="K26" s="55">
        <f>(0.5*'RangeCalculation - Table 1'!$B$10*'RangeCalculation - Table 2'!J$2*$B26^2)</f>
        <v>375.169500308642</v>
      </c>
      <c r="L26" s="55">
        <f>(0.5*'RangeCalculation - Table 1'!$B$10*'RangeCalculation - Table 2'!K$2*$B26^2)</f>
        <v>369.0799232253086</v>
      </c>
      <c r="M26" s="56">
        <v>95</v>
      </c>
      <c r="N26" s="56">
        <f>95-(15*MAX(((65-$A26)/65),0))</f>
        <v>95</v>
      </c>
      <c r="O26" s="56">
        <f>M26*N26/100</f>
        <v>90.25</v>
      </c>
      <c r="P26" s="55">
        <f>((((('RangeCalculation - Rollreibungs'!D$4+C26)/('RangeCalculation - Table 1'!$B$7*$O26/100)*$B26/1000)+'RangeCalculation - Table 2'!B$4))*(100/$A26))</f>
        <v>17.30790725102564</v>
      </c>
      <c r="Q26" s="55">
        <f>((((('RangeCalculation - Rollreibungs'!E$4+D26)/('RangeCalculation - Table 1'!$B$7*$O26/100)*$B26/1000)+'RangeCalculation - Table 2'!C$4))*(100/$A26))</f>
        <v>16.99433541085185</v>
      </c>
      <c r="R26" s="55">
        <f>((((('RangeCalculation - Rollreibungs'!F$4+E26)/('RangeCalculation - Table 1'!$B$7*$O26/100)*$B26/1000)+'RangeCalculation - Table 2'!D$4))*(100/$A26))</f>
        <v>16.59716166390578</v>
      </c>
      <c r="S26" s="55">
        <f>((((('RangeCalculation - Rollreibungs'!G$4+F26)/('RangeCalculation - Table 1'!$B$7*$O26/100)*$B26/1000)+'RangeCalculation - Table 2'!E$4))*(100/$A26))</f>
        <v>16.30446749269436</v>
      </c>
      <c r="T26" s="55">
        <f>((((('RangeCalculation - Rollreibungs'!H$4+G26)/('RangeCalculation - Table 1'!$B$7*$O26/100)*$B26/1000)+'RangeCalculation - Table 2'!F$4))*(100/$A26))</f>
        <v>16.10894571308073</v>
      </c>
      <c r="U26" s="55">
        <f>((((('RangeCalculation - Rollreibungs'!I$4+H26)/('RangeCalculation - Table 1'!$B$7*$O26/100)*$B26/1000)+'RangeCalculation - Table 2'!G$4))*(100/$A26))</f>
        <v>15.83086591014295</v>
      </c>
      <c r="V26" s="55">
        <f>((((('RangeCalculation - Rollreibungs'!J$4+I26)/('RangeCalculation - Table 1'!$B$7*$O26/100)*$B26/1000)+'RangeCalculation - Table 2'!H$4))*(100/$A26))</f>
        <v>15.7419114731602</v>
      </c>
      <c r="W26" s="55">
        <f>((((('RangeCalculation - Rollreibungs'!K$4+J26)/('RangeCalculation - Table 1'!$B$7*$O26/100)*$B26/1000)+'RangeCalculation - Table 2'!I$4))*(100/$A26))</f>
        <v>15.75117331122335</v>
      </c>
      <c r="X26" s="55">
        <f>((((('RangeCalculation - Rollreibungs'!L$4+K26)/('RangeCalculation - Table 1'!$B$7*$O26/100)*$B26/1000)+'RangeCalculation - Table 2'!J$4))*(100/$A26))</f>
        <v>15.94956051524153</v>
      </c>
      <c r="Y26" s="57">
        <f>((((('RangeCalculation - Rollreibungs'!M$4+L26)/('RangeCalculation - Table 1'!$B$7*$O26/100)*$B26/1000)+'RangeCalculation - Table 2'!K$4))*(100/$A26))</f>
        <v>16.42693829267569</v>
      </c>
      <c r="Z26" s="58">
        <f>'RangeCalculation - Table 2'!B$6/P26*100</f>
        <v>102.958721360978</v>
      </c>
      <c r="AA26" s="55">
        <f>'RangeCalculation - Table 2'!C$6/Q26*100</f>
        <v>122.334880990547</v>
      </c>
      <c r="AB26" s="55">
        <f>'RangeCalculation - Table 2'!D$6/R26*100</f>
        <v>134.2096947120901</v>
      </c>
      <c r="AC26" s="55">
        <f>'RangeCalculation - Table 2'!E$6/S26*100</f>
        <v>154.8348635814796</v>
      </c>
      <c r="AD26" s="55">
        <f>'RangeCalculation - Table 2'!F$6/T26*100</f>
        <v>165.932646841654</v>
      </c>
      <c r="AE26" s="55">
        <f>'RangeCalculation - Table 2'!G$6/U26*100</f>
        <v>178.2277745269918</v>
      </c>
      <c r="AF26" s="55">
        <f>'RangeCalculation - Table 2'!H$6/V26*100</f>
        <v>183.0082709404068</v>
      </c>
      <c r="AG26" s="55">
        <f>'RangeCalculation - Table 2'!I$6/W26*100</f>
        <v>188.5573818100112</v>
      </c>
      <c r="AH26" s="55">
        <f>'RangeCalculation - Table 2'!J$6/X26*100</f>
        <v>184.3499071457314</v>
      </c>
      <c r="AI26" s="59">
        <f>'RangeCalculation - Table 2'!K$6/Y26*100</f>
        <v>177.1845701336661</v>
      </c>
    </row>
    <row r="27" ht="21.45" customHeight="1">
      <c r="A27" s="53">
        <f>A26+5</f>
        <v>115</v>
      </c>
      <c r="B27" s="60">
        <f>A27*1000/3600</f>
        <v>31.94444444444444</v>
      </c>
      <c r="C27" s="61">
        <f>(0.5*'RangeCalculation - Table 1'!$B$10*'RangeCalculation - Table 2'!B$2*$B27^2)</f>
        <v>472.3474368634258</v>
      </c>
      <c r="D27" s="61">
        <f>(0.5*'RangeCalculation - Table 1'!$B$10*'RangeCalculation - Table 2'!C$2*$B27^2)</f>
        <v>463.543525790895</v>
      </c>
      <c r="E27" s="61">
        <f>(0.5*'RangeCalculation - Table 1'!$B$10*'RangeCalculation - Table 2'!D$2*$B27^2)</f>
        <v>454.986124228395</v>
      </c>
      <c r="F27" s="61">
        <f>(0.5*'RangeCalculation - Table 1'!$B$10*'RangeCalculation - Table 2'!E$2*$B27^2)</f>
        <v>446.8865260416666</v>
      </c>
      <c r="G27" s="61">
        <f>(0.5*'RangeCalculation - Table 1'!$B$10*'RangeCalculation - Table 2'!F$2*$B27^2)</f>
        <v>438.9982217206789</v>
      </c>
      <c r="H27" s="61">
        <f>(0.5*'RangeCalculation - Table 1'!$B$10*'RangeCalculation - Table 2'!G$2*$B27^2)</f>
        <v>431.3916425540123</v>
      </c>
      <c r="I27" s="61">
        <f>(0.5*'RangeCalculation - Table 1'!$B$10*'RangeCalculation - Table 2'!H$2*$B27^2)</f>
        <v>424.0315728973765</v>
      </c>
      <c r="J27" s="61">
        <f>(0.5*'RangeCalculation - Table 1'!$B$10*'RangeCalculation - Table 2'!I$2*$B27^2)</f>
        <v>416.9180127507715</v>
      </c>
      <c r="K27" s="61">
        <f>(0.5*'RangeCalculation - Table 1'!$B$10*'RangeCalculation - Table 2'!J$2*$B27^2)</f>
        <v>410.0509621141975</v>
      </c>
      <c r="L27" s="61">
        <f>(0.5*'RangeCalculation - Table 1'!$B$10*'RangeCalculation - Table 2'!K$2*$B27^2)</f>
        <v>403.3952053433641</v>
      </c>
      <c r="M27" s="62">
        <v>95</v>
      </c>
      <c r="N27" s="62">
        <f>95-(15*MAX(((65-$A27)/65),0))</f>
        <v>95</v>
      </c>
      <c r="O27" s="62">
        <f>M27*N27/100</f>
        <v>90.25</v>
      </c>
      <c r="P27" s="61">
        <f>((((('RangeCalculation - Rollreibungs'!D$4+C27)/('RangeCalculation - Table 1'!$B$7*$O27/100)*$B27/1000)+'RangeCalculation - Table 2'!B$4))*(100/$A27))</f>
        <v>18.56820773555221</v>
      </c>
      <c r="Q27" s="61">
        <f>((((('RangeCalculation - Rollreibungs'!E$4+D27)/('RangeCalculation - Table 1'!$B$7*$O27/100)*$B27/1000)+'RangeCalculation - Table 2'!C$4))*(100/$A27))</f>
        <v>18.23827721390153</v>
      </c>
      <c r="R27" s="61">
        <f>((((('RangeCalculation - Rollreibungs'!F$4+E27)/('RangeCalculation - Table 1'!$B$7*$O27/100)*$B27/1000)+'RangeCalculation - Table 2'!D$4))*(100/$A27))</f>
        <v>17.82937674160341</v>
      </c>
      <c r="S27" s="61">
        <f>((((('RangeCalculation - Rollreibungs'!G$4+F27)/('RangeCalculation - Table 1'!$B$7*$O27/100)*$B27/1000)+'RangeCalculation - Table 2'!E$4))*(100/$A27))</f>
        <v>17.52226499450045</v>
      </c>
      <c r="T27" s="61">
        <f>((((('RangeCalculation - Rollreibungs'!H$4+G27)/('RangeCalculation - Table 1'!$B$7*$O27/100)*$B27/1000)+'RangeCalculation - Table 2'!F$4))*(100/$A27))</f>
        <v>17.30895540150092</v>
      </c>
      <c r="U27" s="61">
        <f>((((('RangeCalculation - Rollreibungs'!I$4+H27)/('RangeCalculation - Table 1'!$B$7*$O27/100)*$B27/1000)+'RangeCalculation - Table 2'!G$4))*(100/$A27))</f>
        <v>17.01781679658136</v>
      </c>
      <c r="V27" s="61">
        <f>((((('RangeCalculation - Rollreibungs'!J$4+I27)/('RangeCalculation - Table 1'!$B$7*$O27/100)*$B27/1000)+'RangeCalculation - Table 2'!H$4))*(100/$A27))</f>
        <v>16.90857780623175</v>
      </c>
      <c r="W27" s="61">
        <f>((((('RangeCalculation - Rollreibungs'!K$4+J27)/('RangeCalculation - Table 1'!$B$7*$O27/100)*$B27/1000)+'RangeCalculation - Table 2'!I$4))*(100/$A27))</f>
        <v>16.89428190871296</v>
      </c>
      <c r="X27" s="61">
        <f>((((('RangeCalculation - Rollreibungs'!L$4+K27)/('RangeCalculation - Table 1'!$B$7*$O27/100)*$B27/1000)+'RangeCalculation - Table 2'!J$4))*(100/$A27))</f>
        <v>17.06188562576416</v>
      </c>
      <c r="Y27" s="63">
        <f>((((('RangeCalculation - Rollreibungs'!M$4+L27)/('RangeCalculation - Table 1'!$B$7*$O27/100)*$B27/1000)+'RangeCalculation - Table 2'!K$4))*(100/$A27))</f>
        <v>17.49720454039704</v>
      </c>
      <c r="Z27" s="64">
        <f>'RangeCalculation - Table 2'!B$6/P27*100</f>
        <v>95.97049027990123</v>
      </c>
      <c r="AA27" s="61">
        <f>'RangeCalculation - Table 2'!C$6/Q27*100</f>
        <v>113.9910297237587</v>
      </c>
      <c r="AB27" s="61">
        <f>'RangeCalculation - Table 2'!D$6/R27*100</f>
        <v>124.9342605904058</v>
      </c>
      <c r="AC27" s="61">
        <f>'RangeCalculation - Table 2'!E$6/S27*100</f>
        <v>144.0738398142216</v>
      </c>
      <c r="AD27" s="61">
        <f>'RangeCalculation - Table 2'!F$6/T27*100</f>
        <v>154.4287299837987</v>
      </c>
      <c r="AE27" s="61">
        <f>'RangeCalculation - Table 2'!G$6/U27*100</f>
        <v>165.7968253934194</v>
      </c>
      <c r="AF27" s="61">
        <f>'RangeCalculation - Table 2'!H$6/V27*100</f>
        <v>170.3809766270365</v>
      </c>
      <c r="AG27" s="61">
        <f>'RangeCalculation - Table 2'!I$6/W27*100</f>
        <v>175.7991263581478</v>
      </c>
      <c r="AH27" s="61">
        <f>'RangeCalculation - Table 2'!J$6/X27*100</f>
        <v>172.3314799133353</v>
      </c>
      <c r="AI27" s="65">
        <f>'RangeCalculation - Table 2'!K$6/Y27*100</f>
        <v>166.3465722927391</v>
      </c>
    </row>
    <row r="28" ht="21.45" customHeight="1">
      <c r="A28" s="53">
        <f>A27+5</f>
        <v>120</v>
      </c>
      <c r="B28" s="54">
        <f>A28*1000/3600</f>
        <v>33.33333333333334</v>
      </c>
      <c r="C28" s="55">
        <f>(0.5*'RangeCalculation - Table 1'!$B$10*'RangeCalculation - Table 2'!B$2*$B28^2)</f>
        <v>514.3140333333333</v>
      </c>
      <c r="D28" s="55">
        <f>(0.5*'RangeCalculation - Table 1'!$B$10*'RangeCalculation - Table 2'!C$2*$B28^2)</f>
        <v>504.7279222222223</v>
      </c>
      <c r="E28" s="55">
        <f>(0.5*'RangeCalculation - Table 1'!$B$10*'RangeCalculation - Table 2'!D$2*$B28^2)</f>
        <v>495.4102222222223</v>
      </c>
      <c r="F28" s="55">
        <f>(0.5*'RangeCalculation - Table 1'!$B$10*'RangeCalculation - Table 2'!E$2*$B28^2)</f>
        <v>486.591</v>
      </c>
      <c r="G28" s="55">
        <f>(0.5*'RangeCalculation - Table 1'!$B$10*'RangeCalculation - Table 2'!F$2*$B28^2)</f>
        <v>478.0018444444444</v>
      </c>
      <c r="H28" s="55">
        <f>(0.5*'RangeCalculation - Table 1'!$B$10*'RangeCalculation - Table 2'!G$2*$B28^2)</f>
        <v>469.7194444444445</v>
      </c>
      <c r="I28" s="55">
        <f>(0.5*'RangeCalculation - Table 1'!$B$10*'RangeCalculation - Table 2'!H$2*$B28^2)</f>
        <v>461.7054555555555</v>
      </c>
      <c r="J28" s="55">
        <f>(0.5*'RangeCalculation - Table 1'!$B$10*'RangeCalculation - Table 2'!I$2*$B28^2)</f>
        <v>453.9598777777778</v>
      </c>
      <c r="K28" s="55">
        <f>(0.5*'RangeCalculation - Table 1'!$B$10*'RangeCalculation - Table 2'!J$2*$B28^2)</f>
        <v>446.4827111111112</v>
      </c>
      <c r="L28" s="55">
        <f>(0.5*'RangeCalculation - Table 1'!$B$10*'RangeCalculation - Table 2'!K$2*$B28^2)</f>
        <v>439.2356111111112</v>
      </c>
      <c r="M28" s="56">
        <v>95</v>
      </c>
      <c r="N28" s="56">
        <f>95-(15*MAX(((65-$A28)/65),0))</f>
        <v>95</v>
      </c>
      <c r="O28" s="56">
        <f>M28*N28/100</f>
        <v>90.25</v>
      </c>
      <c r="P28" s="55">
        <f>((((('RangeCalculation - Rollreibungs'!D$4+C28)/('RangeCalculation - Table 1'!$B$7*$O28/100)*$B28/1000)+'RangeCalculation - Table 2'!B$4))*(100/$A28))</f>
        <v>19.88982460524966</v>
      </c>
      <c r="Q28" s="55">
        <f>((((('RangeCalculation - Rollreibungs'!E$4+D28)/('RangeCalculation - Table 1'!$B$7*$O28/100)*$B28/1000)+'RangeCalculation - Table 2'!C$4))*(100/$A28))</f>
        <v>19.54179824860191</v>
      </c>
      <c r="R28" s="55">
        <f>((((('RangeCalculation - Rollreibungs'!F$4+E28)/('RangeCalculation - Table 1'!$B$7*$O28/100)*$B28/1000)+'RangeCalculation - Table 2'!D$4))*(100/$A28))</f>
        <v>19.11913471164317</v>
      </c>
      <c r="S28" s="55">
        <f>((((('RangeCalculation - Rollreibungs'!G$4+F28)/('RangeCalculation - Table 1'!$B$7*$O28/100)*$B28/1000)+'RangeCalculation - Table 2'!E$4))*(100/$A28))</f>
        <v>18.79595450648783</v>
      </c>
      <c r="T28" s="55">
        <f>((((('RangeCalculation - Rollreibungs'!H$4+G28)/('RangeCalculation - Table 1'!$B$7*$O28/100)*$B28/1000)+'RangeCalculation - Table 2'!F$4))*(100/$A28))</f>
        <v>18.56356148011354</v>
      </c>
      <c r="U28" s="55">
        <f>((((('RangeCalculation - Rollreibungs'!I$4+H28)/('RangeCalculation - Table 1'!$B$7*$O28/100)*$B28/1000)+'RangeCalculation - Table 2'!G$4))*(100/$A28))</f>
        <v>18.25777358100289</v>
      </c>
      <c r="V28" s="55">
        <f>((((('RangeCalculation - Rollreibungs'!J$4+I28)/('RangeCalculation - Table 1'!$B$7*$O28/100)*$B28/1000)+'RangeCalculation - Table 2'!H$4))*(100/$A28))</f>
        <v>18.12734850158123</v>
      </c>
      <c r="W28" s="55">
        <f>((((('RangeCalculation - Rollreibungs'!K$4+J28)/('RangeCalculation - Table 1'!$B$7*$O28/100)*$B28/1000)+'RangeCalculation - Table 2'!I$4))*(100/$A28))</f>
        <v>18.08895290851526</v>
      </c>
      <c r="X28" s="55">
        <f>((((('RangeCalculation - Rollreibungs'!L$4+K28)/('RangeCalculation - Table 1'!$B$7*$O28/100)*$B28/1000)+'RangeCalculation - Table 2'!J$4))*(100/$A28))</f>
        <v>18.2259201351383</v>
      </c>
      <c r="Y28" s="57">
        <f>((((('RangeCalculation - Rollreibungs'!M$4+L28)/('RangeCalculation - Table 1'!$B$7*$O28/100)*$B28/1000)+'RangeCalculation - Table 2'!K$4))*(100/$A28))</f>
        <v>18.62034120720906</v>
      </c>
      <c r="Z28" s="58">
        <f>'RangeCalculation - Table 2'!B$6/P28*100</f>
        <v>89.59355023822906</v>
      </c>
      <c r="AA28" s="55">
        <f>'RangeCalculation - Table 2'!C$6/Q28*100</f>
        <v>106.3873433525361</v>
      </c>
      <c r="AB28" s="55">
        <f>'RangeCalculation - Table 2'!D$6/R28*100</f>
        <v>116.5063185962855</v>
      </c>
      <c r="AC28" s="55">
        <f>'RangeCalculation - Table 2'!E$6/S28*100</f>
        <v>134.3108166775257</v>
      </c>
      <c r="AD28" s="55">
        <f>'RangeCalculation - Table 2'!F$6/T28*100</f>
        <v>143.9917659584604</v>
      </c>
      <c r="AE28" s="55">
        <f>'RangeCalculation - Table 2'!G$6/U28*100</f>
        <v>154.536914782192</v>
      </c>
      <c r="AF28" s="55">
        <f>'RangeCalculation - Table 2'!H$6/V28*100</f>
        <v>158.9256145072017</v>
      </c>
      <c r="AG28" s="55">
        <f>'RangeCalculation - Table 2'!I$6/W28*100</f>
        <v>164.1886080980337</v>
      </c>
      <c r="AH28" s="55">
        <f>'RangeCalculation - Table 2'!J$6/X28*100</f>
        <v>161.3251884238924</v>
      </c>
      <c r="AI28" s="59">
        <f>'RangeCalculation - Table 2'!K$6/Y28*100</f>
        <v>156.3129250753542</v>
      </c>
    </row>
    <row r="29" ht="21.45" customHeight="1">
      <c r="A29" s="53">
        <f>A28+5</f>
        <v>125</v>
      </c>
      <c r="B29" s="60">
        <f>A29*1000/3600</f>
        <v>34.72222222222222</v>
      </c>
      <c r="C29" s="61">
        <f>(0.5*'RangeCalculation - Table 1'!$B$10*'RangeCalculation - Table 2'!B$2*$B29^2)</f>
        <v>558.0664424189813</v>
      </c>
      <c r="D29" s="61">
        <f>(0.5*'RangeCalculation - Table 1'!$B$10*'RangeCalculation - Table 2'!C$2*$B29^2)</f>
        <v>547.6648461612654</v>
      </c>
      <c r="E29" s="61">
        <f>(0.5*'RangeCalculation - Table 1'!$B$10*'RangeCalculation - Table 2'!D$2*$B29^2)</f>
        <v>537.5544945987654</v>
      </c>
      <c r="F29" s="61">
        <f>(0.5*'RangeCalculation - Table 1'!$B$10*'RangeCalculation - Table 2'!E$2*$B29^2)</f>
        <v>527.9850260416665</v>
      </c>
      <c r="G29" s="61">
        <f>(0.5*'RangeCalculation - Table 1'!$B$10*'RangeCalculation - Table 2'!F$2*$B29^2)</f>
        <v>518.665195794753</v>
      </c>
      <c r="H29" s="61">
        <f>(0.5*'RangeCalculation - Table 1'!$B$10*'RangeCalculation - Table 2'!G$2*$B29^2)</f>
        <v>509.6782166280864</v>
      </c>
      <c r="I29" s="61">
        <f>(0.5*'RangeCalculation - Table 1'!$B$10*'RangeCalculation - Table 2'!H$2*$B29^2)</f>
        <v>500.9824821566357</v>
      </c>
      <c r="J29" s="61">
        <f>(0.5*'RangeCalculation - Table 1'!$B$10*'RangeCalculation - Table 2'!I$2*$B29^2)</f>
        <v>492.5779923804012</v>
      </c>
      <c r="K29" s="61">
        <f>(0.5*'RangeCalculation - Table 1'!$B$10*'RangeCalculation - Table 2'!J$2*$B29^2)</f>
        <v>484.4647472993827</v>
      </c>
      <c r="L29" s="61">
        <f>(0.5*'RangeCalculation - Table 1'!$B$10*'RangeCalculation - Table 2'!K$2*$B29^2)</f>
        <v>476.6011405285493</v>
      </c>
      <c r="M29" s="62">
        <v>95</v>
      </c>
      <c r="N29" s="62">
        <f>95-(15*MAX(((65-$A29)/65),0))</f>
        <v>95</v>
      </c>
      <c r="O29" s="62">
        <f>M29*N29/100</f>
        <v>90.25</v>
      </c>
      <c r="P29" s="61">
        <f>((((('RangeCalculation - Rollreibungs'!D$4+C29)/('RangeCalculation - Table 1'!$B$7*$O29/100)*$B29/1000)+'RangeCalculation - Table 2'!B$4))*(100/$A29))</f>
        <v>21.27234284035513</v>
      </c>
      <c r="Q29" s="61">
        <f>((((('RangeCalculation - Rollreibungs'!E$4+D29)/('RangeCalculation - Table 1'!$B$7*$O29/100)*$B29/1000)+'RangeCalculation - Table 2'!C$4))*(100/$A29))</f>
        <v>20.90456254657353</v>
      </c>
      <c r="R29" s="61">
        <f>((((('RangeCalculation - Rollreibungs'!F$4+E29)/('RangeCalculation - Table 1'!$B$7*$O29/100)*$B29/1000)+'RangeCalculation - Table 2'!D$4))*(100/$A29))</f>
        <v>20.46621818272069</v>
      </c>
      <c r="S29" s="61">
        <f>((((('RangeCalculation - Rollreibungs'!G$4+F29)/('RangeCalculation - Table 1'!$B$7*$O29/100)*$B29/1000)+'RangeCalculation - Table 2'!E$4))*(100/$A29))</f>
        <v>20.12539768873553</v>
      </c>
      <c r="T29" s="61">
        <f>((((('RangeCalculation - Rollreibungs'!H$4+G29)/('RangeCalculation - Table 1'!$B$7*$O29/100)*$B29/1000)+'RangeCalculation - Table 2'!F$4))*(100/$A29))</f>
        <v>19.87266513468931</v>
      </c>
      <c r="U29" s="61">
        <f>((((('RangeCalculation - Rollreibungs'!I$4+H29)/('RangeCalculation - Table 1'!$B$7*$O29/100)*$B29/1000)+'RangeCalculation - Table 2'!G$4))*(100/$A29))</f>
        <v>19.55071650056168</v>
      </c>
      <c r="V29" s="61">
        <f>((((('RangeCalculation - Rollreibungs'!J$4+I29)/('RangeCalculation - Table 1'!$B$7*$O29/100)*$B29/1000)+'RangeCalculation - Table 2'!H$4))*(100/$A29))</f>
        <v>19.39820379636279</v>
      </c>
      <c r="W29" s="61">
        <f>((((('RangeCalculation - Rollreibungs'!K$4+J29)/('RangeCalculation - Table 1'!$B$7*$O29/100)*$B29/1000)+'RangeCalculation - Table 2'!I$4))*(100/$A29))</f>
        <v>19.33512702209267</v>
      </c>
      <c r="X29" s="61">
        <f>((((('RangeCalculation - Rollreibungs'!L$4+K29)/('RangeCalculation - Table 1'!$B$7*$O29/100)*$B29/1000)+'RangeCalculation - Table 2'!J$4))*(100/$A29))</f>
        <v>19.4414861777513</v>
      </c>
      <c r="Y29" s="63">
        <f>((((('RangeCalculation - Rollreibungs'!M$4+L29)/('RangeCalculation - Table 1'!$B$7*$O29/100)*$B29/1000)+'RangeCalculation - Table 2'!K$4))*(100/$A29))</f>
        <v>19.79593327334887</v>
      </c>
      <c r="Z29" s="64">
        <f>'RangeCalculation - Table 2'!B$6/P29*100</f>
        <v>83.77074464122593</v>
      </c>
      <c r="AA29" s="61">
        <f>'RangeCalculation - Table 2'!C$6/Q29*100</f>
        <v>99.45197348034287</v>
      </c>
      <c r="AB29" s="61">
        <f>'RangeCalculation - Table 2'!D$6/R29*100</f>
        <v>108.8378898393961</v>
      </c>
      <c r="AC29" s="61">
        <f>'RangeCalculation - Table 2'!E$6/S29*100</f>
        <v>125.4385150069853</v>
      </c>
      <c r="AD29" s="61">
        <f>'RangeCalculation - Table 2'!F$6/T29*100</f>
        <v>134.5063675095127</v>
      </c>
      <c r="AE29" s="61">
        <f>'RangeCalculation - Table 2'!G$6/U29*100</f>
        <v>144.3169614739664</v>
      </c>
      <c r="AF29" s="61">
        <f>'RangeCalculation - Table 2'!H$6/V29*100</f>
        <v>148.5137505638628</v>
      </c>
      <c r="AG29" s="61">
        <f>'RangeCalculation - Table 2'!I$6/W29*100</f>
        <v>153.6064385098905</v>
      </c>
      <c r="AH29" s="61">
        <f>'RangeCalculation - Table 2'!J$6/X29*100</f>
        <v>151.2384379011548</v>
      </c>
      <c r="AI29" s="65">
        <f>'RangeCalculation - Table 2'!K$6/Y29*100</f>
        <v>147.0301985670219</v>
      </c>
    </row>
    <row r="30" ht="21.45" customHeight="1">
      <c r="A30" s="53">
        <f>A29+5</f>
        <v>130</v>
      </c>
      <c r="B30" s="54">
        <f>A30*1000/3600</f>
        <v>36.11111111111111</v>
      </c>
      <c r="C30" s="55">
        <f>(0.5*'RangeCalculation - Table 1'!$B$10*'RangeCalculation - Table 2'!B$2*$B30^2)</f>
        <v>603.6046641203703</v>
      </c>
      <c r="D30" s="55">
        <f>(0.5*'RangeCalculation - Table 1'!$B$10*'RangeCalculation - Table 2'!C$2*$B30^2)</f>
        <v>592.3542976080247</v>
      </c>
      <c r="E30" s="55">
        <f>(0.5*'RangeCalculation - Table 1'!$B$10*'RangeCalculation - Table 2'!D$2*$B30^2)</f>
        <v>581.4189413580247</v>
      </c>
      <c r="F30" s="55">
        <f>(0.5*'RangeCalculation - Table 1'!$B$10*'RangeCalculation - Table 2'!E$2*$B30^2)</f>
        <v>571.0686041666667</v>
      </c>
      <c r="G30" s="55">
        <f>(0.5*'RangeCalculation - Table 1'!$B$10*'RangeCalculation - Table 2'!F$2*$B30^2)</f>
        <v>560.9882757716049</v>
      </c>
      <c r="H30" s="55">
        <f>(0.5*'RangeCalculation - Table 1'!$B$10*'RangeCalculation - Table 2'!G$2*$B30^2)</f>
        <v>551.2679591049383</v>
      </c>
      <c r="I30" s="55">
        <f>(0.5*'RangeCalculation - Table 1'!$B$10*'RangeCalculation - Table 2'!H$2*$B30^2)</f>
        <v>541.8626527006172</v>
      </c>
      <c r="J30" s="55">
        <f>(0.5*'RangeCalculation - Table 1'!$B$10*'RangeCalculation - Table 2'!I$2*$B30^2)</f>
        <v>532.7723565586419</v>
      </c>
      <c r="K30" s="55">
        <f>(0.5*'RangeCalculation - Table 1'!$B$10*'RangeCalculation - Table 2'!J$2*$B30^2)</f>
        <v>523.9970706790124</v>
      </c>
      <c r="L30" s="55">
        <f>(0.5*'RangeCalculation - Table 1'!$B$10*'RangeCalculation - Table 2'!K$2*$B30^2)</f>
        <v>515.491793595679</v>
      </c>
      <c r="M30" s="56">
        <v>95</v>
      </c>
      <c r="N30" s="56">
        <f>95-(15*MAX(((65-$A30)/65),0))</f>
        <v>95</v>
      </c>
      <c r="O30" s="56">
        <f>M30*N30/100</f>
        <v>90.25</v>
      </c>
      <c r="P30" s="55">
        <f>((((('RangeCalculation - Rollreibungs'!D$4+C30)/('RangeCalculation - Table 1'!$B$7*$O30/100)*$B30/1000)+'RangeCalculation - Table 2'!B$4))*(100/$A30))</f>
        <v>22.71541127030009</v>
      </c>
      <c r="Q30" s="55">
        <f>((((('RangeCalculation - Rollreibungs'!E$4+D30)/('RangeCalculation - Table 1'!$B$7*$O30/100)*$B30/1000)+'RangeCalculation - Table 2'!C$4))*(100/$A30))</f>
        <v>22.32628582687996</v>
      </c>
      <c r="R30" s="55">
        <f>((((('RangeCalculation - Rollreibungs'!F$4+E30)/('RangeCalculation - Table 1'!$B$7*$O30/100)*$B30/1000)+'RangeCalculation - Table 2'!D$4))*(100/$A30))</f>
        <v>21.87044320834769</v>
      </c>
      <c r="S30" s="55">
        <f>((((('RangeCalculation - Rollreibungs'!G$4+F30)/('RangeCalculation - Table 1'!$B$7*$O30/100)*$B30/1000)+'RangeCalculation - Table 2'!E$4))*(100/$A30))</f>
        <v>21.51047748438739</v>
      </c>
      <c r="T30" s="55">
        <f>((((('RangeCalculation - Rollreibungs'!H$4+G30)/('RangeCalculation - Table 1'!$B$7*$O30/100)*$B30/1000)+'RangeCalculation - Table 2'!F$4))*(100/$A30))</f>
        <v>21.23618275318813</v>
      </c>
      <c r="U30" s="55">
        <f>((((('RangeCalculation - Rollreibungs'!I$4+H30)/('RangeCalculation - Table 1'!$B$7*$O30/100)*$B30/1000)+'RangeCalculation - Table 2'!G$4))*(100/$A30))</f>
        <v>20.89662883284972</v>
      </c>
      <c r="V30" s="55">
        <f>((((('RangeCalculation - Rollreibungs'!J$4+I30)/('RangeCalculation - Table 1'!$B$7*$O30/100)*$B30/1000)+'RangeCalculation - Table 2'!H$4))*(100/$A30))</f>
        <v>20.7211269681684</v>
      </c>
      <c r="W30" s="55">
        <f>((((('RangeCalculation - Rollreibungs'!K$4+J30)/('RangeCalculation - Table 1'!$B$7*$O30/100)*$B30/1000)+'RangeCalculation - Table 2'!I$4))*(100/$A30))</f>
        <v>20.63275408222111</v>
      </c>
      <c r="X30" s="55">
        <f>((((('RangeCalculation - Rollreibungs'!L$4+K30)/('RangeCalculation - Table 1'!$B$7*$O30/100)*$B30/1000)+'RangeCalculation - Table 2'!J$4))*(100/$A30))</f>
        <v>20.70843325193093</v>
      </c>
      <c r="Y30" s="57">
        <f>((((('RangeCalculation - Rollreibungs'!M$4+L30)/('RangeCalculation - Table 1'!$B$7*$O30/100)*$B30/1000)+'RangeCalculation - Table 2'!K$4))*(100/$A30))</f>
        <v>21.02362956824792</v>
      </c>
      <c r="Z30" s="58">
        <f>'RangeCalculation - Table 2'!B$6/P30*100</f>
        <v>78.44894282543441</v>
      </c>
      <c r="AA30" s="55">
        <f>'RangeCalculation - Table 2'!C$6/Q30*100</f>
        <v>93.11893684962891</v>
      </c>
      <c r="AB30" s="55">
        <f>'RangeCalculation - Table 2'!D$6/R30*100</f>
        <v>101.8497878063024</v>
      </c>
      <c r="AC30" s="55">
        <f>'RangeCalculation - Table 2'!E$6/S30*100</f>
        <v>117.3614115182853</v>
      </c>
      <c r="AD30" s="55">
        <f>'RangeCalculation - Table 2'!F$6/T30*100</f>
        <v>125.8700789622236</v>
      </c>
      <c r="AE30" s="55">
        <f>'RangeCalculation - Table 2'!G$6/U30*100</f>
        <v>135.0217789945415</v>
      </c>
      <c r="AF30" s="55">
        <f>'RangeCalculation - Table 2'!H$6/V30*100</f>
        <v>139.0320132889302</v>
      </c>
      <c r="AG30" s="55">
        <f>'RangeCalculation - Table 2'!I$6/W30*100</f>
        <v>143.9458827534419</v>
      </c>
      <c r="AH30" s="55">
        <f>'RangeCalculation - Table 2'!J$6/X30*100</f>
        <v>141.9856328206691</v>
      </c>
      <c r="AI30" s="59">
        <f>'RangeCalculation - Table 2'!K$6/Y30*100</f>
        <v>138.4442201357986</v>
      </c>
    </row>
    <row r="31" ht="21.45" customHeight="1">
      <c r="A31" s="53">
        <f>A30+5</f>
        <v>135</v>
      </c>
      <c r="B31" s="60">
        <f>A31*1000/3600</f>
        <v>37.5</v>
      </c>
      <c r="C31" s="61">
        <f>(0.5*'RangeCalculation - Table 1'!$B$10*'RangeCalculation - Table 2'!B$2*$B31^2)</f>
        <v>650.9286984374999</v>
      </c>
      <c r="D31" s="61">
        <f>(0.5*'RangeCalculation - Table 1'!$B$10*'RangeCalculation - Table 2'!C$2*$B31^2)</f>
        <v>638.7962765624999</v>
      </c>
      <c r="E31" s="61">
        <f>(0.5*'RangeCalculation - Table 1'!$B$10*'RangeCalculation - Table 2'!D$2*$B31^2)</f>
        <v>627.0035624999999</v>
      </c>
      <c r="F31" s="61">
        <f>(0.5*'RangeCalculation - Table 1'!$B$10*'RangeCalculation - Table 2'!E$2*$B31^2)</f>
        <v>615.8417343749999</v>
      </c>
      <c r="G31" s="61">
        <f>(0.5*'RangeCalculation - Table 1'!$B$10*'RangeCalculation - Table 2'!F$2*$B31^2)</f>
        <v>604.9710843749999</v>
      </c>
      <c r="H31" s="61">
        <f>(0.5*'RangeCalculation - Table 1'!$B$10*'RangeCalculation - Table 2'!G$2*$B31^2)</f>
        <v>594.488671875</v>
      </c>
      <c r="I31" s="61">
        <f>(0.5*'RangeCalculation - Table 1'!$B$10*'RangeCalculation - Table 2'!H$2*$B31^2)</f>
        <v>584.3459671874999</v>
      </c>
      <c r="J31" s="61">
        <f>(0.5*'RangeCalculation - Table 1'!$B$10*'RangeCalculation - Table 2'!I$2*$B31^2)</f>
        <v>574.5429703124998</v>
      </c>
      <c r="K31" s="61">
        <f>(0.5*'RangeCalculation - Table 1'!$B$10*'RangeCalculation - Table 2'!J$2*$B31^2)</f>
        <v>565.07968125</v>
      </c>
      <c r="L31" s="61">
        <f>(0.5*'RangeCalculation - Table 1'!$B$10*'RangeCalculation - Table 2'!K$2*$B31^2)</f>
        <v>555.9075703125</v>
      </c>
      <c r="M31" s="62">
        <v>95</v>
      </c>
      <c r="N31" s="62">
        <f>95-(15*MAX(((65-$A31)/65),0))</f>
        <v>95</v>
      </c>
      <c r="O31" s="62">
        <f>M31*N31/100</f>
        <v>90.25</v>
      </c>
      <c r="P31" s="61">
        <f>((((('RangeCalculation - Rollreibungs'!D$4+C31)/('RangeCalculation - Table 1'!$B$7*$O31/100)*$B31/1000)+'RangeCalculation - Table 2'!B$4))*(100/$A31))</f>
        <v>24.21873074978535</v>
      </c>
      <c r="Q31" s="61">
        <f>((((('RangeCalculation - Rollreibungs'!E$4+D31)/('RangeCalculation - Table 1'!$B$7*$O31/100)*$B31/1000)+'RangeCalculation - Table 2'!C$4))*(100/$A31))</f>
        <v>23.80672592427899</v>
      </c>
      <c r="R31" s="61">
        <f>((((('RangeCalculation - Rollreibungs'!F$4+E31)/('RangeCalculation - Table 1'!$B$7*$O31/100)*$B31/1000)+'RangeCalculation - Table 2'!D$4))*(100/$A31))</f>
        <v>23.33165309336746</v>
      </c>
      <c r="S31" s="61">
        <f>((((('RangeCalculation - Rollreibungs'!G$4+F31)/('RangeCalculation - Table 1'!$B$7*$O31/100)*$B31/1000)+'RangeCalculation - Table 2'!E$4))*(100/$A31))</f>
        <v>22.95109417834367</v>
      </c>
      <c r="T31" s="61">
        <f>((((('RangeCalculation - Rollreibungs'!H$4+G31)/('RangeCalculation - Table 1'!$B$7*$O31/100)*$B31/1000)+'RangeCalculation - Table 2'!F$4))*(100/$A31))</f>
        <v>22.65404311053873</v>
      </c>
      <c r="U31" s="61">
        <f>((((('RangeCalculation - Rollreibungs'!I$4+H31)/('RangeCalculation - Table 1'!$B$7*$O31/100)*$B31/1000)+'RangeCalculation - Table 2'!G$4))*(100/$A31))</f>
        <v>22.29549633285275</v>
      </c>
      <c r="V31" s="61">
        <f>((((('RangeCalculation - Rollreibungs'!J$4+I31)/('RangeCalculation - Table 1'!$B$7*$O31/100)*$B31/1000)+'RangeCalculation - Table 2'!H$4))*(100/$A31))</f>
        <v>22.09610377198382</v>
      </c>
      <c r="W31" s="61">
        <f>((((('RangeCalculation - Rollreibungs'!K$4+J31)/('RangeCalculation - Table 1'!$B$7*$O31/100)*$B31/1000)+'RangeCalculation - Table 2'!I$4))*(100/$A31))</f>
        <v>21.98179135385786</v>
      </c>
      <c r="X31" s="61">
        <f>((((('RangeCalculation - Rollreibungs'!L$4+K31)/('RangeCalculation - Table 1'!$B$7*$O31/100)*$B31/1000)+'RangeCalculation - Table 2'!J$4))*(100/$A31))</f>
        <v>22.02663315254896</v>
      </c>
      <c r="Y31" s="63">
        <f>((((('RangeCalculation - Rollreibungs'!M$4+L31)/('RangeCalculation - Table 1'!$B$7*$O31/100)*$B31/1000)+'RangeCalculation - Table 2'!K$4))*(100/$A31))</f>
        <v>22.30313094660705</v>
      </c>
      <c r="Z31" s="64">
        <f>'RangeCalculation - Table 2'!B$6/P31*100</f>
        <v>73.57941332312775</v>
      </c>
      <c r="AA31" s="61">
        <f>'RangeCalculation - Table 2'!C$6/Q31*100</f>
        <v>87.32826204714516</v>
      </c>
      <c r="AB31" s="61">
        <f>'RangeCalculation - Table 2'!D$6/R31*100</f>
        <v>95.47116061969977</v>
      </c>
      <c r="AC31" s="61">
        <f>'RangeCalculation - Table 2'!E$6/S31*100</f>
        <v>109.9947558222336</v>
      </c>
      <c r="AD31" s="61">
        <f>'RangeCalculation - Table 2'!F$6/T31*100</f>
        <v>117.9921829828474</v>
      </c>
      <c r="AE31" s="61">
        <f>'RangeCalculation - Table 2'!G$6/U31*100</f>
        <v>126.5502215280346</v>
      </c>
      <c r="AF31" s="61">
        <f>'RangeCalculation - Table 2'!H$6/V31*100</f>
        <v>130.3804521253545</v>
      </c>
      <c r="AG31" s="61">
        <f>'RangeCalculation - Table 2'!I$6/W31*100</f>
        <v>135.1118274297858</v>
      </c>
      <c r="AH31" s="61">
        <f>'RangeCalculation - Table 2'!J$6/X31*100</f>
        <v>133.4883992318065</v>
      </c>
      <c r="AI31" s="65">
        <f>'RangeCalculation - Table 2'!K$6/Y31*100</f>
        <v>130.5018567558016</v>
      </c>
    </row>
    <row r="32" ht="21.45" customHeight="1">
      <c r="A32" s="53">
        <f>A31+5</f>
        <v>140</v>
      </c>
      <c r="B32" s="54">
        <f>A32*1000/3600</f>
        <v>38.88888888888889</v>
      </c>
      <c r="C32" s="55">
        <f>(0.5*'RangeCalculation - Table 1'!$B$10*'RangeCalculation - Table 2'!B$2*$B32^2)</f>
        <v>700.0385453703701</v>
      </c>
      <c r="D32" s="55">
        <f>(0.5*'RangeCalculation - Table 1'!$B$10*'RangeCalculation - Table 2'!C$2*$B32^2)</f>
        <v>686.9907830246912</v>
      </c>
      <c r="E32" s="55">
        <f>(0.5*'RangeCalculation - Table 1'!$B$10*'RangeCalculation - Table 2'!D$2*$B32^2)</f>
        <v>674.3083580246912</v>
      </c>
      <c r="F32" s="55">
        <f>(0.5*'RangeCalculation - Table 1'!$B$10*'RangeCalculation - Table 2'!E$2*$B32^2)</f>
        <v>662.3044166666665</v>
      </c>
      <c r="G32" s="55">
        <f>(0.5*'RangeCalculation - Table 1'!$B$10*'RangeCalculation - Table 2'!F$2*$B32^2)</f>
        <v>650.6136216049381</v>
      </c>
      <c r="H32" s="55">
        <f>(0.5*'RangeCalculation - Table 1'!$B$10*'RangeCalculation - Table 2'!G$2*$B32^2)</f>
        <v>639.3403549382715</v>
      </c>
      <c r="I32" s="55">
        <f>(0.5*'RangeCalculation - Table 1'!$B$10*'RangeCalculation - Table 2'!H$2*$B32^2)</f>
        <v>628.4324256172838</v>
      </c>
      <c r="J32" s="55">
        <f>(0.5*'RangeCalculation - Table 1'!$B$10*'RangeCalculation - Table 2'!I$2*$B32^2)</f>
        <v>617.8898336419751</v>
      </c>
      <c r="K32" s="55">
        <f>(0.5*'RangeCalculation - Table 1'!$B$10*'RangeCalculation - Table 2'!J$2*$B32^2)</f>
        <v>607.7125790123456</v>
      </c>
      <c r="L32" s="55">
        <f>(0.5*'RangeCalculation - Table 1'!$B$10*'RangeCalculation - Table 2'!K$2*$B32^2)</f>
        <v>597.8484706790123</v>
      </c>
      <c r="M32" s="56">
        <v>95</v>
      </c>
      <c r="N32" s="56">
        <f>95-(15*MAX(((65-$A32)/65),0))</f>
        <v>95</v>
      </c>
      <c r="O32" s="56">
        <f>M32*N32/100</f>
        <v>90.25</v>
      </c>
      <c r="P32" s="55">
        <f>((((('RangeCalculation - Rollreibungs'!D$4+C32)/('RangeCalculation - Table 1'!$B$7*$O32/100)*$B32/1000)+'RangeCalculation - Table 2'!B$4))*(100/$A32))</f>
        <v>25.78204486855453</v>
      </c>
      <c r="Q32" s="55">
        <f>((((('RangeCalculation - Rollreibungs'!E$4+D32)/('RangeCalculation - Table 1'!$B$7*$O32/100)*$B32/1000)+'RangeCalculation - Table 2'!C$4))*(100/$A32))</f>
        <v>25.34567526856309</v>
      </c>
      <c r="R32" s="55">
        <f>((((('RangeCalculation - Rollreibungs'!F$4+E32)/('RangeCalculation - Table 1'!$B$7*$O32/100)*$B32/1000)+'RangeCalculation - Table 2'!D$4))*(100/$A32))</f>
        <v>24.8497135276457</v>
      </c>
      <c r="S32" s="55">
        <f>((((('RangeCalculation - Rollreibungs'!G$4+F32)/('RangeCalculation - Table 1'!$B$7*$O32/100)*$B32/1000)+'RangeCalculation - Table 2'!E$4))*(100/$A32))</f>
        <v>24.44716230051892</v>
      </c>
      <c r="T32" s="55">
        <f>((((('RangeCalculation - Rollreibungs'!H$4+G32)/('RangeCalculation - Table 1'!$B$7*$O32/100)*$B32/1000)+'RangeCalculation - Table 2'!F$4))*(100/$A32))</f>
        <v>24.12618515668009</v>
      </c>
      <c r="U32" s="55">
        <f>((((('RangeCalculation - Rollreibungs'!I$4+H32)/('RangeCalculation - Table 1'!$B$7*$O32/100)*$B32/1000)+'RangeCalculation - Table 2'!G$4))*(100/$A32))</f>
        <v>23.74730679055858</v>
      </c>
      <c r="V32" s="55">
        <f>((((('RangeCalculation - Rollreibungs'!J$4+I32)/('RangeCalculation - Table 1'!$B$7*$O32/100)*$B32/1000)+'RangeCalculation - Table 2'!H$4))*(100/$A32))</f>
        <v>23.52312199779683</v>
      </c>
      <c r="W32" s="55">
        <f>((((('RangeCalculation - Rollreibungs'!K$4+J32)/('RangeCalculation - Table 1'!$B$7*$O32/100)*$B32/1000)+'RangeCalculation - Table 2'!I$4))*(100/$A32))</f>
        <v>23.38220220696628</v>
      </c>
      <c r="X32" s="55">
        <f>((((('RangeCalculation - Rollreibungs'!L$4+K32)/('RangeCalculation - Table 1'!$B$7*$O32/100)*$B32/1000)+'RangeCalculation - Table 2'!J$4))*(100/$A32))</f>
        <v>23.39597598949553</v>
      </c>
      <c r="Y32" s="57">
        <f>((((('RangeCalculation - Rollreibungs'!M$4+L32)/('RangeCalculation - Table 1'!$B$7*$O32/100)*$B32/1000)+'RangeCalculation - Table 2'!K$4))*(100/$A32))</f>
        <v>23.63418099816987</v>
      </c>
      <c r="Z32" s="58">
        <f>'RangeCalculation - Table 2'!B$6/P32*100</f>
        <v>69.11786900865431</v>
      </c>
      <c r="AA32" s="55">
        <f>'RangeCalculation - Table 2'!C$6/Q32*100</f>
        <v>82.0258279951467</v>
      </c>
      <c r="AB32" s="55">
        <f>'RangeCalculation - Table 2'!D$6/R32*100</f>
        <v>89.63886032415911</v>
      </c>
      <c r="AC32" s="55">
        <f>'RangeCalculation - Table 2'!E$6/S32*100</f>
        <v>103.2635186434875</v>
      </c>
      <c r="AD32" s="55">
        <f>'RangeCalculation - Table 2'!F$6/T32*100</f>
        <v>110.7924847065967</v>
      </c>
      <c r="AE32" s="55">
        <f>'RangeCalculation - Table 2'!G$6/U32*100</f>
        <v>118.8134732449647</v>
      </c>
      <c r="AF32" s="55">
        <f>'RangeCalculation - Table 2'!H$6/V32*100</f>
        <v>122.4709883437166</v>
      </c>
      <c r="AG32" s="55">
        <f>'RangeCalculation - Table 2'!I$6/W32*100</f>
        <v>127.0196867562434</v>
      </c>
      <c r="AH32" s="55">
        <f>'RangeCalculation - Table 2'!J$6/X32*100</f>
        <v>125.675458092458</v>
      </c>
      <c r="AI32" s="59">
        <f>'RangeCalculation - Table 2'!K$6/Y32*100</f>
        <v>123.1521413932382</v>
      </c>
    </row>
    <row r="33" ht="21.45" customHeight="1">
      <c r="A33" s="53">
        <f>A32+5</f>
        <v>145</v>
      </c>
      <c r="B33" s="60">
        <f>A33*1000/3600</f>
        <v>40.27777777777778</v>
      </c>
      <c r="C33" s="61">
        <f>(0.5*'RangeCalculation - Table 1'!$B$10*'RangeCalculation - Table 2'!B$2*$B33^2)</f>
        <v>750.9342049189813</v>
      </c>
      <c r="D33" s="61">
        <f>(0.5*'RangeCalculation - Table 1'!$B$10*'RangeCalculation - Table 2'!C$2*$B33^2)</f>
        <v>736.9378169945987</v>
      </c>
      <c r="E33" s="61">
        <f>(0.5*'RangeCalculation - Table 1'!$B$10*'RangeCalculation - Table 2'!D$2*$B33^2)</f>
        <v>723.3333279320988</v>
      </c>
      <c r="F33" s="61">
        <f>(0.5*'RangeCalculation - Table 1'!$B$10*'RangeCalculation - Table 2'!E$2*$B33^2)</f>
        <v>710.4566510416665</v>
      </c>
      <c r="G33" s="61">
        <f>(0.5*'RangeCalculation - Table 1'!$B$10*'RangeCalculation - Table 2'!F$2*$B33^2)</f>
        <v>697.9158874614196</v>
      </c>
      <c r="H33" s="61">
        <f>(0.5*'RangeCalculation - Table 1'!$B$10*'RangeCalculation - Table 2'!G$2*$B33^2)</f>
        <v>685.8230082947531</v>
      </c>
      <c r="I33" s="61">
        <f>(0.5*'RangeCalculation - Table 1'!$B$10*'RangeCalculation - Table 2'!H$2*$B33^2)</f>
        <v>674.1220279899691</v>
      </c>
      <c r="J33" s="61">
        <f>(0.5*'RangeCalculation - Table 1'!$B$10*'RangeCalculation - Table 2'!I$2*$B33^2)</f>
        <v>662.8129465470678</v>
      </c>
      <c r="K33" s="61">
        <f>(0.5*'RangeCalculation - Table 1'!$B$10*'RangeCalculation - Table 2'!J$2*$B33^2)</f>
        <v>651.8957639660495</v>
      </c>
      <c r="L33" s="61">
        <f>(0.5*'RangeCalculation - Table 1'!$B$10*'RangeCalculation - Table 2'!K$2*$B33^2)</f>
        <v>641.314494695216</v>
      </c>
      <c r="M33" s="62">
        <v>95</v>
      </c>
      <c r="N33" s="62">
        <f>95-(15*MAX(((65-$A33)/65),0))</f>
        <v>95</v>
      </c>
      <c r="O33" s="62">
        <f>M33*N33/100</f>
        <v>90.25</v>
      </c>
      <c r="P33" s="61">
        <f>((((('RangeCalculation - Rollreibungs'!D$4+C33)/('RangeCalculation - Table 1'!$B$7*$O33/100)*$B33/1000)+'RangeCalculation - Table 2'!B$4))*(100/$A33))</f>
        <v>27.40513258328315</v>
      </c>
      <c r="Q33" s="61">
        <f>((((('RangeCalculation - Rollreibungs'!E$4+D33)/('RangeCalculation - Table 1'!$B$7*$O33/100)*$B33/1000)+'RangeCalculation - Table 2'!C$4))*(100/$A33))</f>
        <v>26.94295491989814</v>
      </c>
      <c r="R33" s="61">
        <f>((((('RangeCalculation - Rollreibungs'!F$4+E33)/('RangeCalculation - Table 1'!$B$7*$O33/100)*$B33/1000)+'RangeCalculation - Table 2'!D$4))*(100/$A33))</f>
        <v>26.42450872658388</v>
      </c>
      <c r="S33" s="61">
        <f>((((('RangeCalculation - Rollreibungs'!G$4+F33)/('RangeCalculation - Table 1'!$B$7*$O33/100)*$B33/1000)+'RangeCalculation - Table 2'!E$4))*(100/$A33))</f>
        <v>25.99860816980495</v>
      </c>
      <c r="T33" s="61">
        <f>((((('RangeCalculation - Rollreibungs'!H$4+G33)/('RangeCalculation - Table 1'!$B$7*$O33/100)*$B33/1000)+'RangeCalculation - Table 2'!F$4))*(100/$A33))</f>
        <v>25.65255626224925</v>
      </c>
      <c r="U33" s="61">
        <f>((((('RangeCalculation - Rollreibungs'!I$4+H33)/('RangeCalculation - Table 1'!$B$7*$O33/100)*$B33/1000)+'RangeCalculation - Table 2'!G$4))*(100/$A33))</f>
        <v>25.2520496800946</v>
      </c>
      <c r="V33" s="61">
        <f>((((('RangeCalculation - Rollreibungs'!J$4+I33)/('RangeCalculation - Table 1'!$B$7*$O33/100)*$B33/1000)+'RangeCalculation - Table 2'!H$4))*(100/$A33))</f>
        <v>25.00217111973485</v>
      </c>
      <c r="W33" s="61">
        <f>((((('RangeCalculation - Rollreibungs'!K$4+J33)/('RangeCalculation - Table 1'!$B$7*$O33/100)*$B33/1000)+'RangeCalculation - Table 2'!I$4))*(100/$A33))</f>
        <v>24.83395506392861</v>
      </c>
      <c r="X33" s="61">
        <f>((((('RangeCalculation - Rollreibungs'!L$4+K33)/('RangeCalculation - Table 1'!$B$7*$O33/100)*$B33/1000)+'RangeCalculation - Table 2'!J$4))*(100/$A33))</f>
        <v>24.81636702991728</v>
      </c>
      <c r="Y33" s="63">
        <f>((((('RangeCalculation - Rollreibungs'!M$4+L33)/('RangeCalculation - Table 1'!$B$7*$O33/100)*$B33/1000)+'RangeCalculation - Table 2'!K$4))*(100/$A33))</f>
        <v>25.01655867961189</v>
      </c>
      <c r="Z33" s="64">
        <f>'RangeCalculation - Table 2'!B$6/P33*100</f>
        <v>65.02431595923028</v>
      </c>
      <c r="AA33" s="61">
        <f>'RangeCalculation - Table 2'!C$6/Q33*100</f>
        <v>77.16302856093186</v>
      </c>
      <c r="AB33" s="61">
        <f>'RangeCalculation - Table 2'!D$6/R33*100</f>
        <v>84.29674220429557</v>
      </c>
      <c r="AC33" s="61">
        <f>'RangeCalculation - Table 2'!E$6/S33*100</f>
        <v>97.10135186898118</v>
      </c>
      <c r="AD33" s="61">
        <f>'RangeCalculation - Table 2'!F$6/T33*100</f>
        <v>104.2001417977059</v>
      </c>
      <c r="AE33" s="61">
        <f>'RangeCalculation - Table 2'!G$6/U33*100</f>
        <v>111.7335042400182</v>
      </c>
      <c r="AF33" s="61">
        <f>'RangeCalculation - Table 2'!H$6/V33*100</f>
        <v>115.2259932228858</v>
      </c>
      <c r="AG33" s="61">
        <f>'RangeCalculation - Table 2'!I$6/W33*100</f>
        <v>119.5943212571055</v>
      </c>
      <c r="AH33" s="61">
        <f>'RangeCalculation - Table 2'!J$6/X33*100</f>
        <v>118.4822901940212</v>
      </c>
      <c r="AI33" s="65">
        <f>'RangeCalculation - Table 2'!K$6/Y33*100</f>
        <v>116.3469379332376</v>
      </c>
    </row>
    <row r="34" ht="21.35" customHeight="1">
      <c r="A34" s="53">
        <f>A33+5</f>
        <v>150</v>
      </c>
      <c r="B34" s="66">
        <f>A34*1000/3600</f>
        <v>41.66666666666666</v>
      </c>
      <c r="C34" s="67">
        <f>(0.5*'RangeCalculation - Table 1'!$B$10*'RangeCalculation - Table 2'!B$2*$B34^2)</f>
        <v>803.615677083333</v>
      </c>
      <c r="D34" s="67">
        <f>(0.5*'RangeCalculation - Table 1'!$B$10*'RangeCalculation - Table 2'!C$2*$B34^2)</f>
        <v>788.6373784722221</v>
      </c>
      <c r="E34" s="67">
        <f>(0.5*'RangeCalculation - Table 1'!$B$10*'RangeCalculation - Table 2'!D$2*$B34^2)</f>
        <v>774.0784722222221</v>
      </c>
      <c r="F34" s="67">
        <f>(0.5*'RangeCalculation - Table 1'!$B$10*'RangeCalculation - Table 2'!E$2*$B34^2)</f>
        <v>760.2984374999997</v>
      </c>
      <c r="G34" s="67">
        <f>(0.5*'RangeCalculation - Table 1'!$B$10*'RangeCalculation - Table 2'!F$2*$B34^2)</f>
        <v>746.8778819444442</v>
      </c>
      <c r="H34" s="67">
        <f>(0.5*'RangeCalculation - Table 1'!$B$10*'RangeCalculation - Table 2'!G$2*$B34^2)</f>
        <v>733.9366319444443</v>
      </c>
      <c r="I34" s="67">
        <f>(0.5*'RangeCalculation - Table 1'!$B$10*'RangeCalculation - Table 2'!H$2*$B34^2)</f>
        <v>721.4147743055553</v>
      </c>
      <c r="J34" s="67">
        <f>(0.5*'RangeCalculation - Table 1'!$B$10*'RangeCalculation - Table 2'!I$2*$B34^2)</f>
        <v>709.3123090277776</v>
      </c>
      <c r="K34" s="67">
        <f>(0.5*'RangeCalculation - Table 1'!$B$10*'RangeCalculation - Table 2'!J$2*$B34^2)</f>
        <v>697.629236111111</v>
      </c>
      <c r="L34" s="67">
        <f>(0.5*'RangeCalculation - Table 1'!$B$10*'RangeCalculation - Table 2'!K$2*$B34^2)</f>
        <v>686.3056423611109</v>
      </c>
      <c r="M34" s="68">
        <v>95</v>
      </c>
      <c r="N34" s="68">
        <f>95-(15*MAX(((65-$A34)/65),0))</f>
        <v>95</v>
      </c>
      <c r="O34" s="68">
        <f>M34*N34/100</f>
        <v>90.25</v>
      </c>
      <c r="P34" s="67">
        <f>((((('RangeCalculation - Rollreibungs'!D$4+C34)/('RangeCalculation - Table 1'!$B$7*$O34/100)*$B34/1000)+'RangeCalculation - Table 2'!B$4))*(100/$A34))</f>
        <v>29.08780232308995</v>
      </c>
      <c r="Q34" s="67">
        <f>((((('RangeCalculation - Rollreibungs'!E$4+D34)/('RangeCalculation - Table 1'!$B$7*$O34/100)*$B34/1000)+'RangeCalculation - Table 2'!C$4))*(100/$A34))</f>
        <v>28.59840979709455</v>
      </c>
      <c r="R34" s="67">
        <f>((((('RangeCalculation - Rollreibungs'!F$4+E34)/('RangeCalculation - Table 1'!$B$7*$O34/100)*$B34/1000)+'RangeCalculation - Table 2'!D$4))*(100/$A34))</f>
        <v>28.0559383435299</v>
      </c>
      <c r="S34" s="67">
        <f>((((('RangeCalculation - Rollreibungs'!G$4+F34)/('RangeCalculation - Table 1'!$B$7*$O34/100)*$B34/1000)+'RangeCalculation - Table 2'!E$4))*(100/$A34))</f>
        <v>27.60536792924137</v>
      </c>
      <c r="T34" s="67">
        <f>((((('RangeCalculation - Rollreibungs'!H$4+G34)/('RangeCalculation - Table 1'!$B$7*$O34/100)*$B34/1000)+'RangeCalculation - Table 2'!F$4))*(100/$A34))</f>
        <v>27.23311081513159</v>
      </c>
      <c r="U34" s="67">
        <f>((((('RangeCalculation - Rollreibungs'!I$4+H34)/('RangeCalculation - Table 1'!$B$7*$O34/100)*$B34/1000)+'RangeCalculation - Table 2'!G$4))*(100/$A34))</f>
        <v>26.8097158790379</v>
      </c>
      <c r="V34" s="67">
        <f>((((('RangeCalculation - Rollreibungs'!J$4+I34)/('RangeCalculation - Table 1'!$B$7*$O34/100)*$B34/1000)+'RangeCalculation - Table 2'!H$4))*(100/$A34))</f>
        <v>26.53324201537494</v>
      </c>
      <c r="W34" s="67">
        <f>((((('RangeCalculation - Rollreibungs'!K$4+J34)/('RangeCalculation - Table 1'!$B$7*$O34/100)*$B34/1000)+'RangeCalculation - Table 2'!I$4))*(100/$A34))</f>
        <v>26.33702255747606</v>
      </c>
      <c r="X34" s="67">
        <f>((((('RangeCalculation - Rollreibungs'!L$4+K34)/('RangeCalculation - Table 1'!$B$7*$O34/100)*$B34/1000)+'RangeCalculation - Table 2'!J$4))*(100/$A34))</f>
        <v>26.28772417200794</v>
      </c>
      <c r="Y34" s="69">
        <f>((((('RangeCalculation - Rollreibungs'!M$4+L34)/('RangeCalculation - Table 1'!$B$7*$O34/100)*$B34/1000)+'RangeCalculation - Table 2'!K$4))*(100/$A34))</f>
        <v>26.45007242005187</v>
      </c>
      <c r="Z34" s="70">
        <f>'RangeCalculation - Table 2'!B$6/P34*100</f>
        <v>61.26279256874093</v>
      </c>
      <c r="AA34" s="67">
        <f>'RangeCalculation - Table 2'!C$6/Q34*100</f>
        <v>72.6963497184104</v>
      </c>
      <c r="AB34" s="67">
        <f>'RangeCalculation - Table 2'!D$6/R34*100</f>
        <v>79.39495634490848</v>
      </c>
      <c r="AC34" s="67">
        <f>'RangeCalculation - Table 2'!E$6/S34*100</f>
        <v>91.44960525325538</v>
      </c>
      <c r="AD34" s="67">
        <f>'RangeCalculation - Table 2'!F$6/T34*100</f>
        <v>98.15257677117062</v>
      </c>
      <c r="AE34" s="67">
        <f>'RangeCalculation - Table 2'!G$6/U34*100</f>
        <v>105.2416971791218</v>
      </c>
      <c r="AF34" s="67">
        <f>'RangeCalculation - Table 2'!H$6/V34*100</f>
        <v>108.5770068478867</v>
      </c>
      <c r="AG34" s="67">
        <f>'RangeCalculation - Table 2'!I$6/W34*100</f>
        <v>112.769011512918</v>
      </c>
      <c r="AH34" s="67">
        <f>'RangeCalculation - Table 2'!J$6/X34*100</f>
        <v>111.8506866840504</v>
      </c>
      <c r="AI34" s="71">
        <f>'RangeCalculation - Table 2'!K$6/Y34*100</f>
        <v>110.0412866088588</v>
      </c>
    </row>
  </sheetData>
  <mergeCells count="37">
    <mergeCell ref="A1:AI1"/>
    <mergeCell ref="N2:N4"/>
    <mergeCell ref="M2:M4"/>
    <mergeCell ref="Z2:AI2"/>
    <mergeCell ref="AI3:AI4"/>
    <mergeCell ref="AH3:AH4"/>
    <mergeCell ref="AG3:AG4"/>
    <mergeCell ref="AF3:AF4"/>
    <mergeCell ref="AE3:AE4"/>
    <mergeCell ref="AD3:AD4"/>
    <mergeCell ref="AC3:AC4"/>
    <mergeCell ref="AB3:AB4"/>
    <mergeCell ref="AA3:AA4"/>
    <mergeCell ref="L3:L4"/>
    <mergeCell ref="K3:K4"/>
    <mergeCell ref="I3:I4"/>
    <mergeCell ref="H3:H4"/>
    <mergeCell ref="G3:G4"/>
    <mergeCell ref="F3:F4"/>
    <mergeCell ref="E3:E4"/>
    <mergeCell ref="P2:Y2"/>
    <mergeCell ref="D3:D4"/>
    <mergeCell ref="Z3:Z4"/>
    <mergeCell ref="O2:O4"/>
    <mergeCell ref="C3:C4"/>
    <mergeCell ref="Y3:Y4"/>
    <mergeCell ref="W3:W4"/>
    <mergeCell ref="U3:U4"/>
    <mergeCell ref="C2:L2"/>
    <mergeCell ref="T3:T4"/>
    <mergeCell ref="S3:S4"/>
    <mergeCell ref="R3:R4"/>
    <mergeCell ref="P3:P4"/>
    <mergeCell ref="Q3:Q4"/>
    <mergeCell ref="X3:X4"/>
    <mergeCell ref="J3:J4"/>
    <mergeCell ref="V3:V4"/>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2:L2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72" customWidth="1"/>
    <col min="2" max="2" width="16.3516" style="72" customWidth="1"/>
    <col min="3" max="3" width="16.3516" style="72" customWidth="1"/>
    <col min="4" max="4" width="16.3516" style="72" customWidth="1"/>
    <col min="5" max="5" width="16.3516" style="72" customWidth="1"/>
    <col min="6" max="6" width="16.3516" style="72" customWidth="1"/>
    <col min="7" max="7" width="16.3516" style="72" customWidth="1"/>
    <col min="8" max="8" width="16.3516" style="72" customWidth="1"/>
    <col min="9" max="9" width="16.3516" style="72" customWidth="1"/>
    <col min="10" max="10" width="16.3516" style="72" customWidth="1"/>
    <col min="11" max="11" width="16.3516" style="72" customWidth="1"/>
    <col min="12" max="12" width="16.3516" style="72" customWidth="1"/>
    <col min="13" max="256" width="16.3516" style="72" customWidth="1"/>
  </cols>
  <sheetData>
    <row r="1" ht="28" customHeight="1">
      <c r="A1" t="s" s="25">
        <v>78</v>
      </c>
      <c r="B1" s="25"/>
      <c r="C1" s="25"/>
      <c r="D1" s="25"/>
      <c r="E1" s="25"/>
      <c r="F1" s="25"/>
      <c r="G1" s="25"/>
      <c r="H1" s="25"/>
      <c r="I1" s="25"/>
      <c r="J1" s="25"/>
      <c r="K1" s="25"/>
      <c r="L1" s="25"/>
    </row>
    <row r="2" ht="20.55" customHeight="1">
      <c r="A2" t="s" s="7">
        <v>80</v>
      </c>
      <c r="B2" s="21">
        <v>10</v>
      </c>
      <c r="C2" s="21">
        <f>B2+10</f>
        <v>20</v>
      </c>
      <c r="D2" s="21">
        <f>C2+10</f>
        <v>30</v>
      </c>
      <c r="E2" s="21">
        <f>D2+10</f>
        <v>40</v>
      </c>
      <c r="F2" s="21">
        <f>E2+10</f>
        <v>50</v>
      </c>
      <c r="G2" s="21">
        <f>F2+10</f>
        <v>60</v>
      </c>
      <c r="H2" s="21">
        <f>G2+10</f>
        <v>70</v>
      </c>
      <c r="I2" s="21">
        <f>H2+10</f>
        <v>80</v>
      </c>
      <c r="J2" s="21">
        <f>I2+10</f>
        <v>90</v>
      </c>
      <c r="K2" s="21">
        <f>J2+10</f>
        <v>100</v>
      </c>
      <c r="L2" s="21">
        <f>K2+10</f>
        <v>110</v>
      </c>
    </row>
    <row r="3" ht="20.55" customHeight="1">
      <c r="A3" t="s" s="9">
        <v>16</v>
      </c>
      <c r="B3" s="10">
        <f>B2*'RangeCalculation - Reifen_Getri'!$B$10</f>
        <v>735.5645835884839</v>
      </c>
      <c r="C3" s="11">
        <f>C2*'RangeCalculation - Reifen_Getri'!$B$10</f>
        <v>1471.129167176968</v>
      </c>
      <c r="D3" s="11">
        <f>D2*'RangeCalculation - Reifen_Getri'!$B$10</f>
        <v>2206.693750765452</v>
      </c>
      <c r="E3" s="11">
        <f>E2*'RangeCalculation - Reifen_Getri'!$B$10</f>
        <v>2942.258334353935</v>
      </c>
      <c r="F3" s="11">
        <f>F2*'RangeCalculation - Reifen_Getri'!$B$10</f>
        <v>3677.822917942419</v>
      </c>
      <c r="G3" s="11">
        <f>G2*'RangeCalculation - Reifen_Getri'!$B$10</f>
        <v>4413.387501530903</v>
      </c>
      <c r="H3" s="11">
        <f>H2*'RangeCalculation - Reifen_Getri'!$B$10</f>
        <v>5148.952085119387</v>
      </c>
      <c r="I3" s="11">
        <f>I2*'RangeCalculation - Reifen_Getri'!$B$10</f>
        <v>5884.516668707871</v>
      </c>
      <c r="J3" s="11">
        <f>J2*'RangeCalculation - Reifen_Getri'!$B$10</f>
        <v>6620.081252296355</v>
      </c>
      <c r="K3" s="11">
        <f>K2*'RangeCalculation - Reifen_Getri'!$B$10</f>
        <v>7355.645835884839</v>
      </c>
      <c r="L3" s="11">
        <f>L2*'RangeCalculation - Reifen_Getri'!$B$10</f>
        <v>8091.210419473323</v>
      </c>
    </row>
    <row r="4" ht="20.35" customHeight="1">
      <c r="A4" s="73">
        <v>10</v>
      </c>
      <c r="B4" s="14">
        <v>90</v>
      </c>
      <c r="C4" s="19"/>
      <c r="D4" s="19"/>
      <c r="E4" s="19"/>
      <c r="F4" s="19"/>
      <c r="G4" s="19"/>
      <c r="H4" s="19"/>
      <c r="I4" s="19"/>
      <c r="J4" s="19"/>
      <c r="K4" s="19"/>
      <c r="L4" s="19"/>
    </row>
    <row r="5" ht="20.35" customHeight="1">
      <c r="A5" s="73">
        <v>20</v>
      </c>
      <c r="B5" s="74"/>
      <c r="C5" s="19"/>
      <c r="D5" s="19"/>
      <c r="E5" s="19"/>
      <c r="F5" s="19"/>
      <c r="G5" s="19"/>
      <c r="H5" s="19"/>
      <c r="I5" s="19"/>
      <c r="J5" s="19"/>
      <c r="K5" s="19"/>
      <c r="L5" s="19"/>
    </row>
    <row r="6" ht="20.35" customHeight="1">
      <c r="A6" s="73">
        <v>30</v>
      </c>
      <c r="B6" s="74"/>
      <c r="C6" s="19"/>
      <c r="D6" s="19"/>
      <c r="E6" s="19"/>
      <c r="F6" s="19"/>
      <c r="G6" s="19"/>
      <c r="H6" s="19"/>
      <c r="I6" s="19"/>
      <c r="J6" s="19"/>
      <c r="K6" s="19"/>
      <c r="L6" s="19"/>
    </row>
    <row r="7" ht="20.35" customHeight="1">
      <c r="A7" s="75"/>
      <c r="B7" s="74"/>
      <c r="C7" s="19"/>
      <c r="D7" s="19"/>
      <c r="E7" s="19"/>
      <c r="F7" s="19"/>
      <c r="G7" s="19"/>
      <c r="H7" s="19"/>
      <c r="I7" s="19"/>
      <c r="J7" s="19"/>
      <c r="K7" s="19"/>
      <c r="L7" s="19"/>
    </row>
    <row r="8" ht="20.35" customHeight="1">
      <c r="A8" s="75"/>
      <c r="B8" s="74"/>
      <c r="C8" s="19"/>
      <c r="D8" s="19"/>
      <c r="E8" s="19"/>
      <c r="F8" s="19"/>
      <c r="G8" s="19"/>
      <c r="H8" s="19"/>
      <c r="I8" s="19"/>
      <c r="J8" s="19"/>
      <c r="K8" s="19"/>
      <c r="L8" s="19"/>
    </row>
    <row r="9" ht="20.35" customHeight="1">
      <c r="A9" s="75"/>
      <c r="B9" s="74"/>
      <c r="C9" s="19"/>
      <c r="D9" s="19"/>
      <c r="E9" s="19"/>
      <c r="F9" s="19"/>
      <c r="G9" s="19"/>
      <c r="H9" s="19"/>
      <c r="I9" s="19"/>
      <c r="J9" s="19"/>
      <c r="K9" s="19"/>
      <c r="L9" s="19"/>
    </row>
    <row r="10" ht="20.35" customHeight="1">
      <c r="A10" s="75"/>
      <c r="B10" s="74"/>
      <c r="C10" s="19"/>
      <c r="D10" s="19"/>
      <c r="E10" s="19"/>
      <c r="F10" s="19"/>
      <c r="G10" s="19"/>
      <c r="H10" s="19"/>
      <c r="I10" s="19"/>
      <c r="J10" s="19"/>
      <c r="K10" s="19"/>
      <c r="L10" s="19"/>
    </row>
    <row r="11" ht="20.35" customHeight="1">
      <c r="A11" s="75"/>
      <c r="B11" s="74"/>
      <c r="C11" s="19"/>
      <c r="D11" s="19"/>
      <c r="E11" s="19"/>
      <c r="F11" s="19"/>
      <c r="G11" s="19"/>
      <c r="H11" s="19"/>
      <c r="I11" s="19"/>
      <c r="J11" s="19"/>
      <c r="K11" s="19"/>
      <c r="L11" s="19"/>
    </row>
    <row r="12" ht="20.35" customHeight="1">
      <c r="A12" s="75"/>
      <c r="B12" s="74"/>
      <c r="C12" s="19"/>
      <c r="D12" s="19"/>
      <c r="E12" s="19"/>
      <c r="F12" s="19"/>
      <c r="G12" s="19"/>
      <c r="H12" s="19"/>
      <c r="I12" s="19"/>
      <c r="J12" s="19"/>
      <c r="K12" s="19"/>
      <c r="L12" s="19"/>
    </row>
    <row r="13" ht="20.35" customHeight="1">
      <c r="A13" s="75"/>
      <c r="B13" s="74"/>
      <c r="C13" s="19"/>
      <c r="D13" s="19"/>
      <c r="E13" s="19"/>
      <c r="F13" s="19"/>
      <c r="G13" s="19"/>
      <c r="H13" s="19"/>
      <c r="I13" s="19"/>
      <c r="J13" s="19"/>
      <c r="K13" s="19"/>
      <c r="L13" s="19"/>
    </row>
    <row r="14" ht="20.35" customHeight="1">
      <c r="A14" s="75"/>
      <c r="B14" s="74"/>
      <c r="C14" s="19"/>
      <c r="D14" s="19"/>
      <c r="E14" s="19"/>
      <c r="F14" s="19"/>
      <c r="G14" s="19"/>
      <c r="H14" s="19"/>
      <c r="I14" s="19"/>
      <c r="J14" s="19"/>
      <c r="K14" s="19"/>
      <c r="L14" s="19"/>
    </row>
    <row r="15" ht="20.35" customHeight="1">
      <c r="A15" s="75"/>
      <c r="B15" s="74"/>
      <c r="C15" s="19"/>
      <c r="D15" s="19"/>
      <c r="E15" s="19"/>
      <c r="F15" s="19"/>
      <c r="G15" s="19"/>
      <c r="H15" s="19"/>
      <c r="I15" s="19"/>
      <c r="J15" s="19"/>
      <c r="K15" s="19"/>
      <c r="L15" s="19"/>
    </row>
    <row r="16" ht="20.35" customHeight="1">
      <c r="A16" s="75"/>
      <c r="B16" s="74"/>
      <c r="C16" s="19"/>
      <c r="D16" s="19"/>
      <c r="E16" s="19"/>
      <c r="F16" s="19"/>
      <c r="G16" s="19"/>
      <c r="H16" s="19"/>
      <c r="I16" s="19"/>
      <c r="J16" s="19"/>
      <c r="K16" s="19"/>
      <c r="L16" s="19"/>
    </row>
    <row r="17" ht="20.35" customHeight="1">
      <c r="A17" s="75"/>
      <c r="B17" s="74"/>
      <c r="C17" s="19"/>
      <c r="D17" s="19"/>
      <c r="E17" s="19"/>
      <c r="F17" s="19"/>
      <c r="G17" s="19"/>
      <c r="H17" s="19"/>
      <c r="I17" s="19"/>
      <c r="J17" s="19"/>
      <c r="K17" s="19"/>
      <c r="L17" s="19"/>
    </row>
    <row r="18" ht="20.35" customHeight="1">
      <c r="A18" s="75"/>
      <c r="B18" s="74"/>
      <c r="C18" s="19"/>
      <c r="D18" s="19"/>
      <c r="E18" s="19"/>
      <c r="F18" s="19"/>
      <c r="G18" s="19"/>
      <c r="H18" s="19"/>
      <c r="I18" s="19"/>
      <c r="J18" s="19"/>
      <c r="K18" s="19"/>
      <c r="L18" s="19"/>
    </row>
    <row r="19" ht="20.35" customHeight="1">
      <c r="A19" s="75"/>
      <c r="B19" s="74"/>
      <c r="C19" s="19"/>
      <c r="D19" s="19"/>
      <c r="E19" s="19"/>
      <c r="F19" s="19"/>
      <c r="G19" s="19"/>
      <c r="H19" s="19"/>
      <c r="I19" s="19"/>
      <c r="J19" s="19"/>
      <c r="K19" s="19"/>
      <c r="L19" s="19"/>
    </row>
    <row r="20" ht="20.35" customHeight="1">
      <c r="A20" s="75"/>
      <c r="B20" s="74"/>
      <c r="C20" s="19"/>
      <c r="D20" s="19"/>
      <c r="E20" s="19"/>
      <c r="F20" s="19"/>
      <c r="G20" s="19"/>
      <c r="H20" s="19"/>
      <c r="I20" s="19"/>
      <c r="J20" s="19"/>
      <c r="K20" s="19"/>
      <c r="L20" s="19"/>
    </row>
  </sheetData>
  <mergeCells count="1">
    <mergeCell ref="A1:L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51"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