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Research Work/"/>
    </mc:Choice>
  </mc:AlternateContent>
  <xr:revisionPtr revIDLastSave="0" documentId="13_ncr:1_{DF4AA400-A377-5A45-BE0E-9D7AC8FEC836}" xr6:coauthVersionLast="34" xr6:coauthVersionMax="34" xr10:uidLastSave="{00000000-0000-0000-0000-000000000000}"/>
  <bookViews>
    <workbookView xWindow="0" yWindow="0" windowWidth="25600" windowHeight="16000" activeTab="1" xr2:uid="{E618B4D7-236D-8B40-A29A-8D62F8E560C0}"/>
  </bookViews>
  <sheets>
    <sheet name="Setup_v2 04_13_2018" sheetId="3" r:id="rId1"/>
    <sheet name="New Setup" sheetId="5" r:id="rId2"/>
    <sheet name="Old Setup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5" l="1"/>
  <c r="J21" i="5"/>
  <c r="M21" i="5"/>
  <c r="J16" i="5"/>
  <c r="G34" i="5"/>
  <c r="D34" i="5"/>
  <c r="D26" i="5"/>
  <c r="O10" i="5"/>
  <c r="D16" i="5"/>
  <c r="J35" i="5"/>
  <c r="J32" i="5"/>
  <c r="G32" i="5"/>
  <c r="C32" i="5"/>
  <c r="G31" i="5"/>
  <c r="J33" i="5" s="1"/>
  <c r="L33" i="5" s="1"/>
  <c r="G22" i="5"/>
  <c r="C19" i="5"/>
  <c r="G18" i="5"/>
  <c r="G16" i="5"/>
  <c r="D14" i="5"/>
  <c r="C14" i="5"/>
  <c r="G13" i="5"/>
  <c r="C13" i="5"/>
  <c r="C10" i="5"/>
  <c r="D15" i="5" s="1"/>
  <c r="G15" i="5" s="1"/>
  <c r="C8" i="5"/>
  <c r="G6" i="3"/>
  <c r="L16" i="5" l="1"/>
  <c r="C21" i="5" s="1"/>
  <c r="J17" i="5"/>
  <c r="D22" i="3"/>
  <c r="J10" i="3"/>
  <c r="K7" i="3"/>
  <c r="I10" i="3"/>
  <c r="D21" i="5" l="1"/>
  <c r="C30" i="5"/>
  <c r="J31" i="5"/>
  <c r="J24" i="5"/>
  <c r="J25" i="5" s="1"/>
  <c r="G35" i="5"/>
  <c r="D20" i="5"/>
  <c r="C20" i="5" s="1"/>
  <c r="J32" i="4"/>
  <c r="K26" i="4"/>
  <c r="D13" i="4"/>
  <c r="M28" i="4"/>
  <c r="I7" i="3"/>
  <c r="C14" i="3"/>
  <c r="C14" i="4"/>
  <c r="D14" i="4" s="1"/>
  <c r="F9" i="4"/>
  <c r="C19" i="4"/>
  <c r="J9" i="4"/>
  <c r="J10" i="4" s="1"/>
  <c r="J8" i="4"/>
  <c r="J18" i="4"/>
  <c r="D16" i="4"/>
  <c r="J35" i="4"/>
  <c r="G34" i="4"/>
  <c r="G33" i="4"/>
  <c r="G32" i="4"/>
  <c r="C32" i="4"/>
  <c r="G31" i="4"/>
  <c r="J33" i="4" s="1"/>
  <c r="L33" i="4" s="1"/>
  <c r="G25" i="4"/>
  <c r="G18" i="4"/>
  <c r="G17" i="4"/>
  <c r="G16" i="4"/>
  <c r="G13" i="4"/>
  <c r="C13" i="4"/>
  <c r="C10" i="4"/>
  <c r="D15" i="4" s="1"/>
  <c r="C8" i="4"/>
  <c r="G16" i="3"/>
  <c r="J35" i="3"/>
  <c r="J32" i="3"/>
  <c r="G32" i="3"/>
  <c r="C32" i="3"/>
  <c r="G31" i="3"/>
  <c r="J33" i="3" s="1"/>
  <c r="L33" i="3" s="1"/>
  <c r="G22" i="3"/>
  <c r="C19" i="3"/>
  <c r="G18" i="3"/>
  <c r="D14" i="3"/>
  <c r="G13" i="3"/>
  <c r="C13" i="3"/>
  <c r="C10" i="3"/>
  <c r="D15" i="3" s="1"/>
  <c r="G15" i="3" s="1"/>
  <c r="C8" i="3"/>
  <c r="C36" i="5" l="1"/>
  <c r="D36" i="5" s="1"/>
  <c r="D38" i="5" s="1"/>
  <c r="G40" i="5" s="1"/>
  <c r="D30" i="5"/>
  <c r="J36" i="5"/>
  <c r="L28" i="4"/>
  <c r="N28" i="4"/>
  <c r="G15" i="4"/>
  <c r="J17" i="4"/>
  <c r="J21" i="4"/>
  <c r="J16" i="4"/>
  <c r="L16" i="4" s="1"/>
  <c r="C21" i="4" s="1"/>
  <c r="C30" i="4" s="1"/>
  <c r="C36" i="4" s="1"/>
  <c r="J16" i="3"/>
  <c r="L16" i="3" s="1"/>
  <c r="J17" i="3"/>
  <c r="J21" i="3"/>
  <c r="G35" i="3" s="1"/>
  <c r="J24" i="3" l="1"/>
  <c r="J25" i="3" s="1"/>
  <c r="C21" i="3"/>
  <c r="D21" i="3" s="1"/>
  <c r="D21" i="4"/>
  <c r="D30" i="4"/>
  <c r="G35" i="4"/>
  <c r="J36" i="4" s="1"/>
  <c r="J22" i="4"/>
  <c r="J31" i="4"/>
  <c r="D20" i="4"/>
  <c r="C20" i="4" s="1"/>
  <c r="D20" i="3"/>
  <c r="C20" i="3" s="1"/>
  <c r="J36" i="3"/>
  <c r="J31" i="3"/>
  <c r="C30" i="3" l="1"/>
  <c r="D36" i="4"/>
  <c r="D38" i="4" s="1"/>
  <c r="G40" i="4" s="1"/>
  <c r="C36" i="3" l="1"/>
  <c r="D36" i="3" s="1"/>
  <c r="D30" i="3"/>
  <c r="D38" i="3" l="1"/>
  <c r="G40" i="3" s="1"/>
</calcChain>
</file>

<file path=xl/sharedStrings.xml><?xml version="1.0" encoding="utf-8"?>
<sst xmlns="http://schemas.openxmlformats.org/spreadsheetml/2006/main" count="331" uniqueCount="65">
  <si>
    <t>NIST D2D LINK BUDGET</t>
  </si>
  <si>
    <t>K</t>
  </si>
  <si>
    <t>C</t>
  </si>
  <si>
    <t>Hz</t>
  </si>
  <si>
    <t>J/K</t>
  </si>
  <si>
    <t>m/s</t>
  </si>
  <si>
    <t>Transmitter</t>
  </si>
  <si>
    <t>Pout_Tx</t>
  </si>
  <si>
    <t>DC signal</t>
  </si>
  <si>
    <t>dB</t>
  </si>
  <si>
    <t>dBm</t>
  </si>
  <si>
    <t>-</t>
  </si>
  <si>
    <t>Cable A</t>
  </si>
  <si>
    <t>Cable 25 ft</t>
  </si>
  <si>
    <t>+</t>
  </si>
  <si>
    <t>Channel</t>
  </si>
  <si>
    <t>Cable B</t>
  </si>
  <si>
    <t>Cable 6ft</t>
  </si>
  <si>
    <t>Attenuator 40 dB x2</t>
  </si>
  <si>
    <t>Receiver</t>
  </si>
  <si>
    <t>LNA</t>
  </si>
  <si>
    <t>LNA Gain</t>
  </si>
  <si>
    <t>Cable C</t>
  </si>
  <si>
    <t>Cable 6 ft</t>
  </si>
  <si>
    <t>Attenuator 20 dB</t>
  </si>
  <si>
    <t>Pin</t>
  </si>
  <si>
    <t>Att C</t>
  </si>
  <si>
    <t>Att B</t>
  </si>
  <si>
    <t>PA</t>
  </si>
  <si>
    <t>Att A</t>
  </si>
  <si>
    <t>Power @PA Input</t>
  </si>
  <si>
    <t>Max Input power @PA Input</t>
  </si>
  <si>
    <t>SNR</t>
  </si>
  <si>
    <t>SNR Required</t>
  </si>
  <si>
    <t>Margin</t>
  </si>
  <si>
    <t>Transmitted Noise power</t>
  </si>
  <si>
    <t>Pt,tx</t>
  </si>
  <si>
    <t>Nt,tx</t>
  </si>
  <si>
    <t>Total Gain Tx</t>
  </si>
  <si>
    <t>Total Gain Rx</t>
  </si>
  <si>
    <t>m</t>
  </si>
  <si>
    <t>Wavelength</t>
  </si>
  <si>
    <t>Bandwidth_signal</t>
  </si>
  <si>
    <t>Bandwidth_transmission</t>
  </si>
  <si>
    <t>Carrier Frequency</t>
  </si>
  <si>
    <t>Boltzmann's Constant</t>
  </si>
  <si>
    <t>Current Temperature</t>
  </si>
  <si>
    <t>Mean Output Power @ USRP TX</t>
  </si>
  <si>
    <t>Mean Output Noise Power @ USRP TX</t>
  </si>
  <si>
    <t>Duty cycle signal</t>
  </si>
  <si>
    <t>Attenuator @ usrp tx</t>
  </si>
  <si>
    <t>TX Power Amplifier Gain</t>
  </si>
  <si>
    <t>Max Input Power @USRP RX</t>
  </si>
  <si>
    <t>Receiver Noise Power @LNA</t>
  </si>
  <si>
    <t>Noise Figure@LNA</t>
  </si>
  <si>
    <t>Power Input @ USRP RX</t>
  </si>
  <si>
    <t>Noise Input @USRP RX</t>
  </si>
  <si>
    <t>Margin @USRP RX Input</t>
  </si>
  <si>
    <t>Noise Figure @PA TX</t>
  </si>
  <si>
    <t>EIRP @PA TX output</t>
  </si>
  <si>
    <t>Max Transmitted Signal Power</t>
  </si>
  <si>
    <t>Cable 25ft</t>
  </si>
  <si>
    <t>Power @LNA Input</t>
  </si>
  <si>
    <t>Attenuator 33 dB</t>
  </si>
  <si>
    <t>Attenuator 53dB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</si>
</sst>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1" fontId="0" fillId="0" borderId="1" xfId="0" applyNumberFormat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Fill="1"/>
    <xf numFmtId="2" fontId="0" fillId="0" borderId="0" xfId="0" applyNumberFormat="1"/>
    <xf numFmtId="0" fontId="1" fillId="4" borderId="1" xfId="0" applyFont="1" applyFill="1" applyBorder="1"/>
    <xf numFmtId="0" fontId="0" fillId="4" borderId="1" xfId="0" applyFill="1" applyBorder="1"/>
    <xf numFmtId="2" fontId="0" fillId="4" borderId="1" xfId="0" applyNumberFormat="1" applyFill="1" applyBorder="1"/>
    <xf numFmtId="0" fontId="1" fillId="6" borderId="1" xfId="0" applyFont="1" applyFill="1" applyBorder="1"/>
    <xf numFmtId="11" fontId="0" fillId="6" borderId="1" xfId="0" applyNumberFormat="1" applyFill="1" applyBorder="1"/>
    <xf numFmtId="2" fontId="0" fillId="6" borderId="1" xfId="0" applyNumberFormat="1" applyFill="1" applyBorder="1"/>
    <xf numFmtId="0" fontId="0" fillId="6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2" fontId="0" fillId="5" borderId="1" xfId="0" applyNumberFormat="1" applyFill="1" applyBorder="1"/>
    <xf numFmtId="0" fontId="0" fillId="4" borderId="1" xfId="0" applyFont="1" applyFill="1" applyBorder="1"/>
    <xf numFmtId="0" fontId="1" fillId="7" borderId="1" xfId="0" applyFont="1" applyFill="1" applyBorder="1"/>
    <xf numFmtId="11" fontId="0" fillId="6" borderId="1" xfId="0" applyNumberFormat="1" applyFont="1" applyFill="1" applyBorder="1"/>
    <xf numFmtId="0" fontId="0" fillId="0" borderId="1" xfId="0" applyFill="1" applyBorder="1"/>
    <xf numFmtId="0" fontId="0" fillId="4" borderId="2" xfId="0" applyFill="1" applyBorder="1"/>
    <xf numFmtId="0" fontId="0" fillId="6" borderId="2" xfId="0" applyFill="1" applyBorder="1"/>
    <xf numFmtId="2" fontId="0" fillId="0" borderId="1" xfId="0" applyNumberFormat="1" applyBorder="1"/>
    <xf numFmtId="0" fontId="1" fillId="3" borderId="1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11" fontId="0" fillId="0" borderId="0" xfId="0" applyNumberForma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6F15-EB44-1742-BD31-599096D997A7}">
  <dimension ref="A1:L40"/>
  <sheetViews>
    <sheetView workbookViewId="0">
      <selection sqref="A1:L40"/>
    </sheetView>
  </sheetViews>
  <sheetFormatPr baseColWidth="10" defaultRowHeight="16"/>
  <cols>
    <col min="1" max="1" width="21.83203125" bestFit="1" customWidth="1"/>
    <col min="2" max="2" width="33.5" bestFit="1" customWidth="1"/>
    <col min="3" max="3" width="20.6640625" customWidth="1"/>
    <col min="7" max="7" width="12.1640625" bestFit="1" customWidth="1"/>
    <col min="9" max="9" width="28" bestFit="1" customWidth="1"/>
  </cols>
  <sheetData>
    <row r="1" spans="1:12" ht="21">
      <c r="B1" s="29" t="s">
        <v>0</v>
      </c>
      <c r="C1" s="29"/>
      <c r="D1" s="29"/>
    </row>
    <row r="3" spans="1:12">
      <c r="A3" s="4" t="s">
        <v>44</v>
      </c>
      <c r="C3" s="2">
        <v>900000000</v>
      </c>
      <c r="D3" s="3" t="s">
        <v>3</v>
      </c>
    </row>
    <row r="4" spans="1:12">
      <c r="A4" s="4" t="s">
        <v>42</v>
      </c>
      <c r="C4" s="2">
        <v>60000000</v>
      </c>
      <c r="D4" s="3" t="s">
        <v>3</v>
      </c>
    </row>
    <row r="5" spans="1:12">
      <c r="A5" s="4" t="s">
        <v>43</v>
      </c>
      <c r="C5" s="2">
        <v>80000000</v>
      </c>
      <c r="D5" s="3" t="s">
        <v>3</v>
      </c>
    </row>
    <row r="6" spans="1:12">
      <c r="A6" s="4" t="s">
        <v>45</v>
      </c>
      <c r="C6" s="2">
        <v>1.3800000000000001E-23</v>
      </c>
      <c r="D6" s="3" t="s">
        <v>4</v>
      </c>
      <c r="G6">
        <f>9-13.49</f>
        <v>-4.49</v>
      </c>
    </row>
    <row r="7" spans="1:12">
      <c r="A7" s="4" t="s">
        <v>46</v>
      </c>
      <c r="C7" s="2">
        <v>290</v>
      </c>
      <c r="D7" s="3" t="s">
        <v>1</v>
      </c>
      <c r="I7">
        <f>-27.1+9.7*2+5.89+0.7</f>
        <v>-1.1100000000000032</v>
      </c>
      <c r="K7">
        <f>9.4-13.5</f>
        <v>-4.0999999999999996</v>
      </c>
    </row>
    <row r="8" spans="1:12">
      <c r="A8" s="4" t="s">
        <v>41</v>
      </c>
      <c r="C8" s="2">
        <f>C9/C3</f>
        <v>0.33333333333333331</v>
      </c>
      <c r="D8" s="3" t="s">
        <v>40</v>
      </c>
    </row>
    <row r="9" spans="1:12">
      <c r="A9" s="4" t="s">
        <v>2</v>
      </c>
      <c r="C9" s="2">
        <v>300000000</v>
      </c>
      <c r="D9" s="3" t="s">
        <v>5</v>
      </c>
    </row>
    <row r="10" spans="1:12">
      <c r="A10" s="4" t="s">
        <v>8</v>
      </c>
      <c r="C10" s="3">
        <f>10*LOG10(1.792/40)</f>
        <v>-13.487219860018559</v>
      </c>
      <c r="D10" s="3" t="s">
        <v>9</v>
      </c>
      <c r="I10">
        <f>-23.5+19.7+2.9+5+13.5</f>
        <v>17.600000000000001</v>
      </c>
      <c r="J10">
        <f>17.6-0.71-19.7</f>
        <v>-2.8099999999999987</v>
      </c>
    </row>
    <row r="11" spans="1:12">
      <c r="A11" s="26"/>
      <c r="C11" s="25"/>
      <c r="D11" s="25"/>
    </row>
    <row r="12" spans="1:12">
      <c r="B12" s="24" t="s">
        <v>6</v>
      </c>
      <c r="C12" s="1"/>
    </row>
    <row r="13" spans="1:12">
      <c r="A13" s="7" t="s">
        <v>7</v>
      </c>
      <c r="B13" s="7" t="s">
        <v>47</v>
      </c>
      <c r="C13" s="8">
        <f>10^(D13/10)</f>
        <v>0.35563131856898528</v>
      </c>
      <c r="D13" s="9">
        <v>-4.49</v>
      </c>
      <c r="E13" s="8" t="s">
        <v>10</v>
      </c>
      <c r="F13" s="8"/>
      <c r="G13" s="9">
        <f>D13</f>
        <v>-4.49</v>
      </c>
      <c r="H13" s="8" t="s">
        <v>10</v>
      </c>
    </row>
    <row r="14" spans="1:12">
      <c r="A14" s="5"/>
      <c r="B14" s="10" t="s">
        <v>48</v>
      </c>
      <c r="C14" s="11">
        <f>C5*C6*C7*1000</f>
        <v>3.2016000000000001E-10</v>
      </c>
      <c r="D14" s="12">
        <f>10*LOG10(C14)</f>
        <v>-94.94632928707864</v>
      </c>
      <c r="E14" s="13" t="s">
        <v>10</v>
      </c>
      <c r="F14" s="13"/>
      <c r="G14" s="12"/>
      <c r="H14" s="13"/>
    </row>
    <row r="15" spans="1:12">
      <c r="A15" s="14" t="s">
        <v>8</v>
      </c>
      <c r="B15" s="14" t="s">
        <v>49</v>
      </c>
      <c r="C15" s="15"/>
      <c r="D15" s="16">
        <f>-C10</f>
        <v>13.487219860018559</v>
      </c>
      <c r="E15" s="15" t="s">
        <v>9</v>
      </c>
      <c r="F15" s="15" t="s">
        <v>11</v>
      </c>
      <c r="G15" s="16">
        <f>D15</f>
        <v>13.487219860018559</v>
      </c>
      <c r="H15" s="15" t="s">
        <v>9</v>
      </c>
    </row>
    <row r="16" spans="1:12">
      <c r="A16" s="14" t="s">
        <v>29</v>
      </c>
      <c r="B16" s="14" t="s">
        <v>50</v>
      </c>
      <c r="C16" s="15"/>
      <c r="D16" s="16">
        <v>19.7</v>
      </c>
      <c r="E16" s="15" t="s">
        <v>9</v>
      </c>
      <c r="F16" s="15" t="s">
        <v>11</v>
      </c>
      <c r="G16" s="16">
        <f>D16</f>
        <v>19.7</v>
      </c>
      <c r="H16" s="15" t="s">
        <v>9</v>
      </c>
      <c r="I16" s="20" t="s">
        <v>38</v>
      </c>
      <c r="J16" s="3">
        <f>G18-G17-G16</f>
        <v>20.59</v>
      </c>
      <c r="K16" s="20" t="s">
        <v>9</v>
      </c>
      <c r="L16" s="20">
        <f>10^(J16/10)</f>
        <v>114.55129414455367</v>
      </c>
    </row>
    <row r="17" spans="1:11">
      <c r="A17" s="14" t="s">
        <v>12</v>
      </c>
      <c r="B17" s="14" t="s">
        <v>23</v>
      </c>
      <c r="C17" s="15"/>
      <c r="D17" s="16">
        <v>0.7</v>
      </c>
      <c r="E17" s="15" t="s">
        <v>9</v>
      </c>
      <c r="F17" s="15" t="s">
        <v>11</v>
      </c>
      <c r="G17" s="16">
        <v>0.71</v>
      </c>
      <c r="H17" s="15" t="s">
        <v>9</v>
      </c>
      <c r="I17" s="3" t="s">
        <v>30</v>
      </c>
      <c r="J17" s="3">
        <f>G13+G15-G16-G17</f>
        <v>-11.412780139981439</v>
      </c>
      <c r="K17" s="3" t="s">
        <v>9</v>
      </c>
    </row>
    <row r="18" spans="1:11">
      <c r="A18" s="7" t="s">
        <v>28</v>
      </c>
      <c r="B18" s="7" t="s">
        <v>51</v>
      </c>
      <c r="C18" s="8"/>
      <c r="D18" s="9">
        <v>41</v>
      </c>
      <c r="E18" s="8" t="s">
        <v>9</v>
      </c>
      <c r="F18" s="8" t="s">
        <v>14</v>
      </c>
      <c r="G18" s="9">
        <f>D18</f>
        <v>41</v>
      </c>
      <c r="H18" s="8" t="s">
        <v>9</v>
      </c>
      <c r="I18" s="3" t="s">
        <v>31</v>
      </c>
      <c r="J18" s="3">
        <v>10</v>
      </c>
      <c r="K18" s="3" t="s">
        <v>10</v>
      </c>
    </row>
    <row r="19" spans="1:11">
      <c r="B19" s="10" t="s">
        <v>58</v>
      </c>
      <c r="C19" s="13">
        <f t="shared" ref="C19" si="0">10^(D19/10)</f>
        <v>6.3095734448019343</v>
      </c>
      <c r="D19" s="12">
        <v>8</v>
      </c>
      <c r="E19" s="13" t="s">
        <v>9</v>
      </c>
      <c r="F19" s="13"/>
      <c r="G19" s="12"/>
      <c r="H19" s="13"/>
    </row>
    <row r="20" spans="1:11">
      <c r="A20" s="7" t="s">
        <v>36</v>
      </c>
      <c r="B20" s="7" t="s">
        <v>60</v>
      </c>
      <c r="C20" s="17">
        <f>10^(D20/10)</f>
        <v>909.33097724132381</v>
      </c>
      <c r="D20" s="9">
        <f>J21</f>
        <v>29.587219860018561</v>
      </c>
      <c r="E20" s="8" t="s">
        <v>10</v>
      </c>
      <c r="F20" s="8"/>
      <c r="G20" s="9"/>
      <c r="H20" s="8"/>
    </row>
    <row r="21" spans="1:11">
      <c r="A21" s="18" t="s">
        <v>37</v>
      </c>
      <c r="B21" s="10" t="s">
        <v>35</v>
      </c>
      <c r="C21" s="19">
        <f>C14*L16+L16*C6*C5*C7*(C19-1)*1000</f>
        <v>2.3140198032127113E-7</v>
      </c>
      <c r="D21" s="12">
        <f>10*LOG10(C21)</f>
        <v>-66.356329287078637</v>
      </c>
      <c r="E21" s="13" t="s">
        <v>10</v>
      </c>
      <c r="F21" s="13"/>
      <c r="G21" s="12"/>
      <c r="H21" s="13"/>
      <c r="I21" s="3" t="s">
        <v>59</v>
      </c>
      <c r="J21" s="3">
        <f>G13+G15-G16-G17+G18</f>
        <v>29.587219860018561</v>
      </c>
      <c r="K21" s="3" t="s">
        <v>10</v>
      </c>
    </row>
    <row r="22" spans="1:11">
      <c r="A22" s="14" t="s">
        <v>16</v>
      </c>
      <c r="B22" s="14" t="s">
        <v>61</v>
      </c>
      <c r="C22" s="15"/>
      <c r="D22" s="16">
        <f>2.89+0.7</f>
        <v>3.59</v>
      </c>
      <c r="E22" s="15" t="s">
        <v>9</v>
      </c>
      <c r="F22" s="15" t="s">
        <v>11</v>
      </c>
      <c r="G22" s="16">
        <f>D22</f>
        <v>3.59</v>
      </c>
      <c r="H22" s="15" t="s">
        <v>9</v>
      </c>
    </row>
    <row r="24" spans="1:11">
      <c r="B24" s="24" t="s">
        <v>15</v>
      </c>
      <c r="J24" s="6">
        <f>J21-G22-G26</f>
        <v>-27.002780139981439</v>
      </c>
    </row>
    <row r="25" spans="1:11">
      <c r="J25" s="6">
        <f>J24+30-0.7-33+3</f>
        <v>-27.702780139981439</v>
      </c>
    </row>
    <row r="26" spans="1:11">
      <c r="A26" s="14" t="s">
        <v>27</v>
      </c>
      <c r="B26" s="14" t="s">
        <v>64</v>
      </c>
      <c r="C26" s="15"/>
      <c r="D26" s="16">
        <v>53</v>
      </c>
      <c r="E26" s="15" t="s">
        <v>9</v>
      </c>
      <c r="F26" s="15" t="s">
        <v>11</v>
      </c>
      <c r="G26" s="16">
        <v>53</v>
      </c>
      <c r="H26" s="15" t="s">
        <v>9</v>
      </c>
    </row>
    <row r="28" spans="1:11">
      <c r="D28" s="6"/>
      <c r="G28" s="6"/>
    </row>
    <row r="29" spans="1:11">
      <c r="B29" s="24" t="s">
        <v>19</v>
      </c>
      <c r="D29" s="6"/>
      <c r="G29" s="6"/>
    </row>
    <row r="30" spans="1:11">
      <c r="B30" s="10" t="s">
        <v>53</v>
      </c>
      <c r="C30" s="11">
        <f>C21*10^((-G22-G26)/10)+C6*C7*C5*1000</f>
        <v>3.2066741940449838E-10</v>
      </c>
      <c r="D30" s="12">
        <f>10*LOG10(C30)</f>
        <v>-94.939451632135459</v>
      </c>
      <c r="E30" s="13"/>
      <c r="F30" s="13"/>
      <c r="G30" s="12"/>
      <c r="H30" s="13"/>
    </row>
    <row r="31" spans="1:11">
      <c r="A31" s="7" t="s">
        <v>20</v>
      </c>
      <c r="B31" s="7" t="s">
        <v>21</v>
      </c>
      <c r="C31" s="8"/>
      <c r="D31" s="9">
        <v>30</v>
      </c>
      <c r="E31" s="8" t="s">
        <v>9</v>
      </c>
      <c r="F31" s="8" t="s">
        <v>14</v>
      </c>
      <c r="G31" s="9">
        <f>D31</f>
        <v>30</v>
      </c>
      <c r="H31" s="8" t="s">
        <v>9</v>
      </c>
      <c r="I31" s="3" t="s">
        <v>62</v>
      </c>
      <c r="J31" s="3">
        <f>J21-G22-G26</f>
        <v>-27.002780139981439</v>
      </c>
      <c r="K31" s="3" t="s">
        <v>10</v>
      </c>
    </row>
    <row r="32" spans="1:11">
      <c r="B32" s="10" t="s">
        <v>54</v>
      </c>
      <c r="C32" s="13">
        <f>10^(D32/10)</f>
        <v>2.1379620895022322</v>
      </c>
      <c r="D32" s="12">
        <v>3.3</v>
      </c>
      <c r="E32" s="13" t="s">
        <v>9</v>
      </c>
      <c r="F32" s="13" t="s">
        <v>11</v>
      </c>
      <c r="G32" s="12">
        <f t="shared" ref="G32" si="1">D32</f>
        <v>3.3</v>
      </c>
      <c r="H32" s="13" t="s">
        <v>9</v>
      </c>
      <c r="I32" s="3" t="s">
        <v>31</v>
      </c>
      <c r="J32" s="3">
        <f>18.3-33-1</f>
        <v>-15.7</v>
      </c>
      <c r="K32" s="3" t="s">
        <v>10</v>
      </c>
    </row>
    <row r="33" spans="1:12">
      <c r="A33" s="14" t="s">
        <v>22</v>
      </c>
      <c r="B33" s="14" t="s">
        <v>23</v>
      </c>
      <c r="C33" s="15"/>
      <c r="D33" s="16">
        <v>0.7</v>
      </c>
      <c r="E33" s="15" t="s">
        <v>9</v>
      </c>
      <c r="F33" s="15" t="s">
        <v>11</v>
      </c>
      <c r="G33" s="16">
        <v>0.71</v>
      </c>
      <c r="H33" s="15" t="s">
        <v>9</v>
      </c>
      <c r="I33" s="20" t="s">
        <v>39</v>
      </c>
      <c r="J33" s="3">
        <f>G31-G33-G34</f>
        <v>-3.7100000000000009</v>
      </c>
      <c r="K33" s="20" t="s">
        <v>9</v>
      </c>
      <c r="L33" s="20">
        <f>10^(J33/10)</f>
        <v>0.42559841313374297</v>
      </c>
    </row>
    <row r="34" spans="1:12">
      <c r="A34" s="14" t="s">
        <v>26</v>
      </c>
      <c r="B34" s="14" t="s">
        <v>63</v>
      </c>
      <c r="C34" s="15"/>
      <c r="D34" s="16">
        <v>33</v>
      </c>
      <c r="E34" s="15" t="s">
        <v>9</v>
      </c>
      <c r="F34" s="15" t="s">
        <v>11</v>
      </c>
      <c r="G34" s="16">
        <v>33</v>
      </c>
      <c r="H34" s="15" t="s">
        <v>9</v>
      </c>
    </row>
    <row r="35" spans="1:12">
      <c r="A35" s="7" t="s">
        <v>25</v>
      </c>
      <c r="B35" s="7" t="s">
        <v>55</v>
      </c>
      <c r="C35" s="8"/>
      <c r="D35" s="9"/>
      <c r="E35" s="8"/>
      <c r="F35" s="8"/>
      <c r="G35" s="9">
        <f>J21-G22-G26+G31-G33-G34</f>
        <v>-30.71278013998144</v>
      </c>
      <c r="H35" s="21" t="s">
        <v>10</v>
      </c>
      <c r="I35" s="3" t="s">
        <v>52</v>
      </c>
      <c r="J35" s="3">
        <f>-15</f>
        <v>-15</v>
      </c>
      <c r="K35" s="3" t="s">
        <v>10</v>
      </c>
    </row>
    <row r="36" spans="1:12">
      <c r="B36" s="10" t="s">
        <v>56</v>
      </c>
      <c r="C36" s="11">
        <f>C30*L33+C5*C6*C7*(C32-1)*1000</f>
        <v>5.0080548741728159E-10</v>
      </c>
      <c r="D36" s="12">
        <f>10*LOG10(C36)</f>
        <v>-93.003309211275223</v>
      </c>
      <c r="E36" s="13"/>
      <c r="F36" s="13"/>
      <c r="G36" s="13"/>
      <c r="H36" s="22"/>
      <c r="I36" s="3" t="s">
        <v>57</v>
      </c>
      <c r="J36" s="23">
        <f>J35-G35</f>
        <v>15.71278013998144</v>
      </c>
      <c r="K36" s="3" t="s">
        <v>9</v>
      </c>
    </row>
    <row r="37" spans="1:12">
      <c r="D37" s="6"/>
      <c r="I37" s="3"/>
      <c r="J37" s="3"/>
    </row>
    <row r="38" spans="1:12">
      <c r="A38" t="s">
        <v>32</v>
      </c>
      <c r="D38" s="6">
        <f>G35-D36+C10</f>
        <v>48.80330921127522</v>
      </c>
      <c r="I38" s="3"/>
      <c r="J38" s="3"/>
    </row>
    <row r="39" spans="1:12">
      <c r="A39" t="s">
        <v>33</v>
      </c>
      <c r="D39" s="6">
        <v>20</v>
      </c>
      <c r="E39" t="s">
        <v>9</v>
      </c>
    </row>
    <row r="40" spans="1:12">
      <c r="A40" t="s">
        <v>34</v>
      </c>
      <c r="G40" s="6">
        <f>D38-D39</f>
        <v>28.80330921127522</v>
      </c>
    </row>
  </sheetData>
  <mergeCells count="1">
    <mergeCell ref="B1:D1"/>
  </mergeCells>
  <conditionalFormatting sqref="J17">
    <cfRule type="cellIs" dxfId="11" priority="4" operator="greaterThan">
      <formula>$J$18</formula>
    </cfRule>
  </conditionalFormatting>
  <conditionalFormatting sqref="G35">
    <cfRule type="cellIs" dxfId="10" priority="3" operator="greaterThan">
      <formula>$J$35</formula>
    </cfRule>
  </conditionalFormatting>
  <conditionalFormatting sqref="J31">
    <cfRule type="cellIs" dxfId="9" priority="1" operator="greaterThan">
      <formula>$J$32</formula>
    </cfRule>
    <cfRule type="cellIs" dxfId="8" priority="2" operator="greaterThan">
      <formula>$J$18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A427-D4C7-2745-B78F-CAA24FB96913}">
  <dimension ref="A1:O40"/>
  <sheetViews>
    <sheetView tabSelected="1" topLeftCell="A4" workbookViewId="0">
      <selection activeCell="G26" sqref="G26"/>
    </sheetView>
  </sheetViews>
  <sheetFormatPr baseColWidth="10" defaultRowHeight="16"/>
  <cols>
    <col min="2" max="2" width="33.5" bestFit="1" customWidth="1"/>
    <col min="9" max="9" width="24.83203125" bestFit="1" customWidth="1"/>
  </cols>
  <sheetData>
    <row r="1" spans="1:15" ht="21">
      <c r="B1" s="29" t="s">
        <v>0</v>
      </c>
      <c r="C1" s="29"/>
      <c r="D1" s="29"/>
    </row>
    <row r="3" spans="1:15">
      <c r="A3" s="4" t="s">
        <v>44</v>
      </c>
      <c r="C3" s="2">
        <v>900000000</v>
      </c>
      <c r="D3" s="3" t="s">
        <v>3</v>
      </c>
    </row>
    <row r="4" spans="1:15">
      <c r="A4" s="4" t="s">
        <v>42</v>
      </c>
      <c r="C4" s="2">
        <v>60000000</v>
      </c>
      <c r="D4" s="3" t="s">
        <v>3</v>
      </c>
    </row>
    <row r="5" spans="1:15">
      <c r="A5" s="4" t="s">
        <v>43</v>
      </c>
      <c r="C5" s="2">
        <v>80000000</v>
      </c>
      <c r="D5" s="3" t="s">
        <v>3</v>
      </c>
    </row>
    <row r="6" spans="1:15">
      <c r="A6" s="4" t="s">
        <v>45</v>
      </c>
      <c r="C6" s="2">
        <v>1.3800000000000001E-23</v>
      </c>
      <c r="D6" s="3" t="s">
        <v>4</v>
      </c>
      <c r="N6">
        <v>40</v>
      </c>
      <c r="O6">
        <v>40</v>
      </c>
    </row>
    <row r="7" spans="1:15">
      <c r="A7" s="4" t="s">
        <v>46</v>
      </c>
      <c r="C7" s="2">
        <v>290</v>
      </c>
      <c r="D7" s="3" t="s">
        <v>1</v>
      </c>
      <c r="N7">
        <v>20</v>
      </c>
      <c r="O7">
        <v>19.7</v>
      </c>
    </row>
    <row r="8" spans="1:15">
      <c r="A8" s="4" t="s">
        <v>41</v>
      </c>
      <c r="C8" s="2">
        <f>C9/C3</f>
        <v>0.33333333333333331</v>
      </c>
      <c r="D8" s="3" t="s">
        <v>40</v>
      </c>
      <c r="N8">
        <v>10</v>
      </c>
      <c r="O8">
        <v>9.7899999999999991</v>
      </c>
    </row>
    <row r="9" spans="1:15">
      <c r="A9" s="4" t="s">
        <v>2</v>
      </c>
      <c r="C9" s="2">
        <v>300000000</v>
      </c>
      <c r="D9" s="3" t="s">
        <v>5</v>
      </c>
      <c r="N9">
        <v>3</v>
      </c>
      <c r="O9">
        <v>2.78</v>
      </c>
    </row>
    <row r="10" spans="1:15">
      <c r="A10" s="4" t="s">
        <v>8</v>
      </c>
      <c r="C10" s="3">
        <f>10*LOG10(1.792/40)</f>
        <v>-13.487219860018559</v>
      </c>
      <c r="D10" s="3" t="s">
        <v>9</v>
      </c>
      <c r="O10">
        <f>SUM(O6:O9)</f>
        <v>72.27000000000001</v>
      </c>
    </row>
    <row r="11" spans="1:15">
      <c r="A11" s="26"/>
      <c r="C11" s="25"/>
      <c r="D11" s="25"/>
    </row>
    <row r="12" spans="1:15">
      <c r="B12" s="24" t="s">
        <v>6</v>
      </c>
      <c r="C12" s="1"/>
    </row>
    <row r="13" spans="1:15">
      <c r="A13" s="7" t="s">
        <v>7</v>
      </c>
      <c r="B13" s="7" t="s">
        <v>47</v>
      </c>
      <c r="C13" s="8">
        <f>10^(D13/10)</f>
        <v>0.35563131856898528</v>
      </c>
      <c r="D13" s="9">
        <v>-4.49</v>
      </c>
      <c r="E13" s="8" t="s">
        <v>10</v>
      </c>
      <c r="F13" s="8"/>
      <c r="G13" s="9">
        <f>D13</f>
        <v>-4.49</v>
      </c>
      <c r="H13" s="8" t="s">
        <v>10</v>
      </c>
    </row>
    <row r="14" spans="1:15">
      <c r="A14" s="5"/>
      <c r="B14" s="10" t="s">
        <v>48</v>
      </c>
      <c r="C14" s="11">
        <f>C5*C6*C7*1000</f>
        <v>3.2016000000000001E-10</v>
      </c>
      <c r="D14" s="12">
        <f>10*LOG10(C14)</f>
        <v>-94.94632928707864</v>
      </c>
      <c r="E14" s="13" t="s">
        <v>10</v>
      </c>
      <c r="F14" s="13"/>
      <c r="G14" s="12"/>
      <c r="H14" s="13"/>
    </row>
    <row r="15" spans="1:15">
      <c r="A15" s="14" t="s">
        <v>8</v>
      </c>
      <c r="B15" s="14" t="s">
        <v>49</v>
      </c>
      <c r="C15" s="15"/>
      <c r="D15" s="16">
        <f>-C10</f>
        <v>13.487219860018559</v>
      </c>
      <c r="E15" s="15" t="s">
        <v>9</v>
      </c>
      <c r="F15" s="15" t="s">
        <v>11</v>
      </c>
      <c r="G15" s="16">
        <f>D15</f>
        <v>13.487219860018559</v>
      </c>
      <c r="H15" s="15" t="s">
        <v>9</v>
      </c>
    </row>
    <row r="16" spans="1:15">
      <c r="A16" s="14" t="s">
        <v>29</v>
      </c>
      <c r="B16" s="14" t="s">
        <v>50</v>
      </c>
      <c r="C16" s="15"/>
      <c r="D16" s="16">
        <f>5.82*2</f>
        <v>11.64</v>
      </c>
      <c r="E16" s="15" t="s">
        <v>9</v>
      </c>
      <c r="F16" s="15" t="s">
        <v>11</v>
      </c>
      <c r="G16" s="16">
        <f>D16</f>
        <v>11.64</v>
      </c>
      <c r="H16" s="15" t="s">
        <v>9</v>
      </c>
      <c r="I16" s="20" t="s">
        <v>38</v>
      </c>
      <c r="J16" s="23">
        <f>G18-G17-G16</f>
        <v>28.659999999999997</v>
      </c>
      <c r="K16" s="20" t="s">
        <v>9</v>
      </c>
      <c r="L16" s="20">
        <f>10^(J16/10)</f>
        <v>734.51386815711487</v>
      </c>
    </row>
    <row r="17" spans="1:13">
      <c r="A17" s="14" t="s">
        <v>12</v>
      </c>
      <c r="B17" s="14" t="s">
        <v>23</v>
      </c>
      <c r="C17" s="15"/>
      <c r="D17" s="16">
        <v>0.7</v>
      </c>
      <c r="E17" s="15" t="s">
        <v>9</v>
      </c>
      <c r="F17" s="15" t="s">
        <v>11</v>
      </c>
      <c r="G17" s="16">
        <v>0.7</v>
      </c>
      <c r="H17" s="15" t="s">
        <v>9</v>
      </c>
      <c r="I17" s="3" t="s">
        <v>30</v>
      </c>
      <c r="J17" s="3">
        <f>G13+G15-G16-G17</f>
        <v>-3.3427801399814419</v>
      </c>
      <c r="K17" s="3" t="s">
        <v>9</v>
      </c>
    </row>
    <row r="18" spans="1:13">
      <c r="A18" s="7" t="s">
        <v>28</v>
      </c>
      <c r="B18" s="7" t="s">
        <v>51</v>
      </c>
      <c r="C18" s="8"/>
      <c r="D18" s="9">
        <v>41</v>
      </c>
      <c r="E18" s="8" t="s">
        <v>9</v>
      </c>
      <c r="F18" s="8" t="s">
        <v>14</v>
      </c>
      <c r="G18" s="9">
        <f>D18</f>
        <v>41</v>
      </c>
      <c r="H18" s="8" t="s">
        <v>9</v>
      </c>
      <c r="I18" s="3" t="s">
        <v>31</v>
      </c>
      <c r="J18" s="3">
        <v>10</v>
      </c>
      <c r="K18" s="3" t="s">
        <v>10</v>
      </c>
    </row>
    <row r="19" spans="1:13">
      <c r="B19" s="10" t="s">
        <v>58</v>
      </c>
      <c r="C19" s="13">
        <f t="shared" ref="C19" si="0">10^(D19/10)</f>
        <v>6.3095734448019343</v>
      </c>
      <c r="D19" s="12">
        <v>8</v>
      </c>
      <c r="E19" s="13" t="s">
        <v>9</v>
      </c>
      <c r="F19" s="13"/>
      <c r="G19" s="12"/>
      <c r="H19" s="13"/>
    </row>
    <row r="20" spans="1:13">
      <c r="A20" s="7" t="s">
        <v>36</v>
      </c>
      <c r="B20" s="7" t="s">
        <v>60</v>
      </c>
      <c r="C20" s="17">
        <f>10^(D20/10)</f>
        <v>5830.717308926799</v>
      </c>
      <c r="D20" s="9">
        <f>J21</f>
        <v>37.657219860018557</v>
      </c>
      <c r="E20" s="8" t="s">
        <v>10</v>
      </c>
      <c r="F20" s="8"/>
      <c r="G20" s="9"/>
      <c r="H20" s="8"/>
    </row>
    <row r="21" spans="1:13">
      <c r="A21" s="18" t="s">
        <v>37</v>
      </c>
      <c r="B21" s="10" t="s">
        <v>35</v>
      </c>
      <c r="C21" s="19">
        <f>C14*L16+L16*C6*C5*C7*(C19-1)*1000</f>
        <v>1.4837716582277002E-6</v>
      </c>
      <c r="D21" s="12">
        <f>10*LOG10(C21)</f>
        <v>-58.28632928707863</v>
      </c>
      <c r="E21" s="13" t="s">
        <v>10</v>
      </c>
      <c r="F21" s="13"/>
      <c r="G21" s="12"/>
      <c r="H21" s="13"/>
      <c r="I21" s="3" t="s">
        <v>59</v>
      </c>
      <c r="J21" s="23">
        <f>G13+G15-G16-G17+G18</f>
        <v>37.657219860018557</v>
      </c>
      <c r="K21" s="3" t="s">
        <v>10</v>
      </c>
      <c r="M21">
        <f>J21-O6-O7</f>
        <v>-22.042780139981442</v>
      </c>
    </row>
    <row r="22" spans="1:13">
      <c r="A22" s="14" t="s">
        <v>16</v>
      </c>
      <c r="B22" s="14" t="s">
        <v>17</v>
      </c>
      <c r="C22" s="15"/>
      <c r="D22" s="16">
        <v>0.7</v>
      </c>
      <c r="E22" s="15" t="s">
        <v>9</v>
      </c>
      <c r="F22" s="15" t="s">
        <v>11</v>
      </c>
      <c r="G22" s="16">
        <f>D22</f>
        <v>0.7</v>
      </c>
      <c r="H22" s="15" t="s">
        <v>9</v>
      </c>
    </row>
    <row r="24" spans="1:13">
      <c r="B24" s="24" t="s">
        <v>15</v>
      </c>
      <c r="J24" s="6">
        <f>J21-G22-G26</f>
        <v>-38.202780139981456</v>
      </c>
    </row>
    <row r="25" spans="1:13">
      <c r="J25" s="6">
        <f>J24+30-0.7-33+3</f>
        <v>-38.902780139981459</v>
      </c>
    </row>
    <row r="26" spans="1:13">
      <c r="A26" s="14" t="s">
        <v>27</v>
      </c>
      <c r="B26" s="14" t="s">
        <v>64</v>
      </c>
      <c r="C26" s="15"/>
      <c r="D26" s="16">
        <f>O10</f>
        <v>72.27000000000001</v>
      </c>
      <c r="E26" s="15" t="s">
        <v>9</v>
      </c>
      <c r="F26" s="15" t="s">
        <v>11</v>
      </c>
      <c r="G26" s="16">
        <f>D26+2.89</f>
        <v>75.160000000000011</v>
      </c>
      <c r="H26" s="15" t="s">
        <v>9</v>
      </c>
    </row>
    <row r="28" spans="1:13">
      <c r="D28" s="6"/>
      <c r="G28" s="6"/>
    </row>
    <row r="29" spans="1:13">
      <c r="B29" s="24" t="s">
        <v>19</v>
      </c>
      <c r="D29" s="6"/>
      <c r="G29" s="6"/>
    </row>
    <row r="30" spans="1:13">
      <c r="B30" s="10" t="s">
        <v>53</v>
      </c>
      <c r="C30" s="11">
        <f>C21*10^((-G22-G26)/10)+C6*C7*C5*1000</f>
        <v>3.2019849169813871E-10</v>
      </c>
      <c r="D30" s="12">
        <f>10*LOG10(C30)</f>
        <v>-94.945807181653691</v>
      </c>
      <c r="E30" s="13"/>
      <c r="F30" s="13"/>
      <c r="G30" s="12"/>
      <c r="H30" s="13"/>
    </row>
    <row r="31" spans="1:13">
      <c r="A31" s="7" t="s">
        <v>20</v>
      </c>
      <c r="B31" s="7" t="s">
        <v>21</v>
      </c>
      <c r="C31" s="8"/>
      <c r="D31" s="9">
        <v>37</v>
      </c>
      <c r="E31" s="8" t="s">
        <v>9</v>
      </c>
      <c r="F31" s="8" t="s">
        <v>14</v>
      </c>
      <c r="G31" s="9">
        <f>D31</f>
        <v>37</v>
      </c>
      <c r="H31" s="8" t="s">
        <v>9</v>
      </c>
      <c r="I31" s="3" t="s">
        <v>62</v>
      </c>
      <c r="J31" s="3">
        <f>J21-G22-G26</f>
        <v>-38.202780139981456</v>
      </c>
      <c r="K31" s="3" t="s">
        <v>10</v>
      </c>
    </row>
    <row r="32" spans="1:13">
      <c r="B32" s="10" t="s">
        <v>54</v>
      </c>
      <c r="C32" s="13">
        <f>10^(D32/10)</f>
        <v>2.1379620895022322</v>
      </c>
      <c r="D32" s="12">
        <v>3.3</v>
      </c>
      <c r="E32" s="13" t="s">
        <v>9</v>
      </c>
      <c r="F32" s="13" t="s">
        <v>11</v>
      </c>
      <c r="G32" s="12">
        <f t="shared" ref="G32" si="1">D32</f>
        <v>3.3</v>
      </c>
      <c r="H32" s="13" t="s">
        <v>9</v>
      </c>
      <c r="I32" s="3" t="s">
        <v>31</v>
      </c>
      <c r="J32" s="3">
        <f>18.3-33-1</f>
        <v>-15.7</v>
      </c>
      <c r="K32" s="3" t="s">
        <v>10</v>
      </c>
    </row>
    <row r="33" spans="1:12">
      <c r="A33" s="14" t="s">
        <v>22</v>
      </c>
      <c r="B33" s="14" t="s">
        <v>23</v>
      </c>
      <c r="C33" s="15"/>
      <c r="D33" s="16">
        <v>0.7</v>
      </c>
      <c r="E33" s="15" t="s">
        <v>9</v>
      </c>
      <c r="F33" s="15" t="s">
        <v>11</v>
      </c>
      <c r="G33" s="16">
        <v>0.7</v>
      </c>
      <c r="H33" s="15" t="s">
        <v>9</v>
      </c>
      <c r="I33" s="20" t="s">
        <v>39</v>
      </c>
      <c r="J33" s="3">
        <f>G31-G33-G34</f>
        <v>6.8099999999999987</v>
      </c>
      <c r="K33" s="20" t="s">
        <v>9</v>
      </c>
      <c r="L33" s="20">
        <f>10^(J33/10)</f>
        <v>4.7973344863668901</v>
      </c>
    </row>
    <row r="34" spans="1:12">
      <c r="A34" s="14" t="s">
        <v>26</v>
      </c>
      <c r="B34" s="14" t="s">
        <v>63</v>
      </c>
      <c r="C34" s="15"/>
      <c r="D34" s="16">
        <f>O7+O8</f>
        <v>29.49</v>
      </c>
      <c r="E34" s="15" t="s">
        <v>9</v>
      </c>
      <c r="F34" s="15" t="s">
        <v>11</v>
      </c>
      <c r="G34" s="16">
        <f>D34</f>
        <v>29.49</v>
      </c>
      <c r="H34" s="15" t="s">
        <v>9</v>
      </c>
    </row>
    <row r="35" spans="1:12">
      <c r="A35" s="7" t="s">
        <v>25</v>
      </c>
      <c r="B35" s="7" t="s">
        <v>55</v>
      </c>
      <c r="C35" s="8"/>
      <c r="D35" s="9"/>
      <c r="E35" s="8"/>
      <c r="F35" s="8"/>
      <c r="G35" s="9">
        <f>J21-G22-G26+G31-G33-G34</f>
        <v>-31.392780139981454</v>
      </c>
      <c r="H35" s="21" t="s">
        <v>10</v>
      </c>
      <c r="I35" s="3" t="s">
        <v>52</v>
      </c>
      <c r="J35" s="3">
        <f>-15</f>
        <v>-15</v>
      </c>
      <c r="K35" s="3" t="s">
        <v>10</v>
      </c>
    </row>
    <row r="36" spans="1:12">
      <c r="B36" s="10" t="s">
        <v>56</v>
      </c>
      <c r="C36" s="11">
        <f>C30*L33+C5*C6*C7*(C32-1)*1000</f>
        <v>1.9004292092811778E-9</v>
      </c>
      <c r="D36" s="12">
        <f>10*LOG10(C36)</f>
        <v>-87.211483031675087</v>
      </c>
      <c r="E36" s="13"/>
      <c r="F36" s="13"/>
      <c r="G36" s="13"/>
      <c r="H36" s="22"/>
      <c r="I36" s="3" t="s">
        <v>57</v>
      </c>
      <c r="J36" s="23">
        <f>J35-G35</f>
        <v>16.392780139981454</v>
      </c>
      <c r="K36" s="3" t="s">
        <v>9</v>
      </c>
    </row>
    <row r="37" spans="1:12">
      <c r="D37" s="6"/>
      <c r="I37" s="3"/>
      <c r="J37" s="3"/>
    </row>
    <row r="38" spans="1:12">
      <c r="A38" t="s">
        <v>32</v>
      </c>
      <c r="D38" s="6">
        <f>G35-D36+C10</f>
        <v>42.331483031675077</v>
      </c>
      <c r="I38" s="3"/>
      <c r="J38" s="3"/>
    </row>
    <row r="39" spans="1:12">
      <c r="A39" t="s">
        <v>33</v>
      </c>
      <c r="D39" s="6">
        <v>20</v>
      </c>
      <c r="E39" t="s">
        <v>9</v>
      </c>
    </row>
    <row r="40" spans="1:12">
      <c r="A40" t="s">
        <v>34</v>
      </c>
      <c r="G40" s="6">
        <f>D38-D39</f>
        <v>22.331483031675077</v>
      </c>
    </row>
  </sheetData>
  <mergeCells count="1">
    <mergeCell ref="B1:D1"/>
  </mergeCells>
  <conditionalFormatting sqref="J17">
    <cfRule type="cellIs" dxfId="3" priority="4" operator="greaterThan">
      <formula>$J$18</formula>
    </cfRule>
  </conditionalFormatting>
  <conditionalFormatting sqref="G35">
    <cfRule type="cellIs" dxfId="2" priority="3" operator="greaterThan">
      <formula>$J$35</formula>
    </cfRule>
  </conditionalFormatting>
  <conditionalFormatting sqref="J31">
    <cfRule type="cellIs" dxfId="1" priority="1" operator="greaterThan">
      <formula>$J$32</formula>
    </cfRule>
    <cfRule type="cellIs" dxfId="0" priority="2" operator="greaterThan">
      <formula>$J$18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B4A6B-8821-F343-8B2B-527D88D13E3E}">
  <dimension ref="A1:N40"/>
  <sheetViews>
    <sheetView topLeftCell="A5" workbookViewId="0">
      <selection activeCell="J32" sqref="J32"/>
    </sheetView>
  </sheetViews>
  <sheetFormatPr baseColWidth="10" defaultRowHeight="16"/>
  <cols>
    <col min="1" max="1" width="21.83203125" bestFit="1" customWidth="1"/>
    <col min="2" max="2" width="33.5" bestFit="1" customWidth="1"/>
    <col min="3" max="3" width="12.83203125" bestFit="1" customWidth="1"/>
    <col min="9" max="9" width="24.5" bestFit="1" customWidth="1"/>
  </cols>
  <sheetData>
    <row r="1" spans="1:12" ht="21">
      <c r="B1" s="29" t="s">
        <v>0</v>
      </c>
      <c r="C1" s="29"/>
      <c r="D1" s="29"/>
    </row>
    <row r="3" spans="1:12">
      <c r="A3" s="4" t="s">
        <v>44</v>
      </c>
      <c r="C3" s="2">
        <v>900000000</v>
      </c>
      <c r="D3" s="3" t="s">
        <v>3</v>
      </c>
    </row>
    <row r="4" spans="1:12">
      <c r="A4" s="4" t="s">
        <v>42</v>
      </c>
      <c r="C4" s="2">
        <v>60000000</v>
      </c>
      <c r="D4" s="3" t="s">
        <v>3</v>
      </c>
    </row>
    <row r="5" spans="1:12">
      <c r="A5" s="4" t="s">
        <v>43</v>
      </c>
      <c r="C5" s="2">
        <v>80000000</v>
      </c>
      <c r="D5" s="3" t="s">
        <v>3</v>
      </c>
    </row>
    <row r="6" spans="1:12">
      <c r="A6" s="4" t="s">
        <v>45</v>
      </c>
      <c r="C6" s="2">
        <v>1.3800000000000001E-23</v>
      </c>
      <c r="D6" s="3" t="s">
        <v>4</v>
      </c>
    </row>
    <row r="7" spans="1:12">
      <c r="A7" s="4" t="s">
        <v>46</v>
      </c>
      <c r="C7" s="2">
        <v>290</v>
      </c>
      <c r="D7" s="3" t="s">
        <v>1</v>
      </c>
    </row>
    <row r="8" spans="1:12">
      <c r="A8" s="4" t="s">
        <v>41</v>
      </c>
      <c r="C8" s="2">
        <f>C9/C3</f>
        <v>0.33333333333333331</v>
      </c>
      <c r="D8" s="3" t="s">
        <v>40</v>
      </c>
      <c r="J8">
        <f>1.3145/(2*0.0018)</f>
        <v>365.13888888888891</v>
      </c>
    </row>
    <row r="9" spans="1:12">
      <c r="A9" s="4" t="s">
        <v>2</v>
      </c>
      <c r="C9" s="2">
        <v>300000000</v>
      </c>
      <c r="D9" s="3" t="s">
        <v>5</v>
      </c>
      <c r="F9" s="28">
        <f>C7*C6*C5*1000</f>
        <v>3.2016000000000001E-10</v>
      </c>
      <c r="J9">
        <f>10*LOG10( J8)</f>
        <v>25.624580896750942</v>
      </c>
    </row>
    <row r="10" spans="1:12">
      <c r="A10" s="4" t="s">
        <v>8</v>
      </c>
      <c r="C10" s="3">
        <f>10*LOG10(1.792/40)</f>
        <v>-13.487219860018559</v>
      </c>
      <c r="D10" s="3" t="s">
        <v>9</v>
      </c>
      <c r="J10">
        <f>J9-24.9453</f>
        <v>0.67928089675094228</v>
      </c>
    </row>
    <row r="11" spans="1:12">
      <c r="A11" s="26"/>
      <c r="C11" s="25"/>
      <c r="D11" s="25"/>
    </row>
    <row r="12" spans="1:12">
      <c r="B12" s="24" t="s">
        <v>6</v>
      </c>
      <c r="C12" s="1"/>
    </row>
    <row r="13" spans="1:12">
      <c r="A13" s="7" t="s">
        <v>7</v>
      </c>
      <c r="B13" s="7" t="s">
        <v>47</v>
      </c>
      <c r="C13" s="8">
        <f>10^(D13/10)</f>
        <v>0.81096105785384065</v>
      </c>
      <c r="D13" s="9">
        <f>-23.5+19.7+2.89</f>
        <v>-0.91000000000000059</v>
      </c>
      <c r="E13" s="8" t="s">
        <v>10</v>
      </c>
      <c r="F13" s="8"/>
      <c r="G13" s="9">
        <f>D13</f>
        <v>-0.91000000000000059</v>
      </c>
      <c r="H13" s="8" t="s">
        <v>10</v>
      </c>
    </row>
    <row r="14" spans="1:12">
      <c r="A14" s="5"/>
      <c r="B14" s="10" t="s">
        <v>48</v>
      </c>
      <c r="C14" s="11">
        <f>C5*C6*C7*1000</f>
        <v>3.2016000000000001E-10</v>
      </c>
      <c r="D14" s="12">
        <f>10*LOG10(C14)</f>
        <v>-94.94632928707864</v>
      </c>
      <c r="E14" s="13" t="s">
        <v>10</v>
      </c>
      <c r="F14" s="13"/>
      <c r="G14" s="12"/>
      <c r="H14" s="13"/>
    </row>
    <row r="15" spans="1:12">
      <c r="A15" s="14" t="s">
        <v>8</v>
      </c>
      <c r="B15" s="14" t="s">
        <v>49</v>
      </c>
      <c r="C15" s="15"/>
      <c r="D15" s="16">
        <f>-C10</f>
        <v>13.487219860018559</v>
      </c>
      <c r="E15" s="15" t="s">
        <v>9</v>
      </c>
      <c r="F15" s="15" t="s">
        <v>11</v>
      </c>
      <c r="G15" s="16">
        <f>D15</f>
        <v>13.487219860018559</v>
      </c>
      <c r="H15" s="15" t="s">
        <v>9</v>
      </c>
    </row>
    <row r="16" spans="1:12">
      <c r="A16" s="14" t="s">
        <v>29</v>
      </c>
      <c r="B16" s="14" t="s">
        <v>50</v>
      </c>
      <c r="C16" s="15"/>
      <c r="D16" s="16">
        <f>19.7</f>
        <v>19.7</v>
      </c>
      <c r="E16" s="15" t="s">
        <v>9</v>
      </c>
      <c r="F16" s="15" t="s">
        <v>11</v>
      </c>
      <c r="G16" s="16">
        <f>D16</f>
        <v>19.7</v>
      </c>
      <c r="H16" s="15" t="s">
        <v>9</v>
      </c>
      <c r="I16" s="20" t="s">
        <v>38</v>
      </c>
      <c r="J16" s="3">
        <f>G18-G17-G16</f>
        <v>14.91</v>
      </c>
      <c r="K16" s="20" t="s">
        <v>9</v>
      </c>
      <c r="L16" s="20">
        <f>10^(J16/10)</f>
        <v>30.974192992165825</v>
      </c>
    </row>
    <row r="17" spans="1:14">
      <c r="A17" s="14" t="s">
        <v>12</v>
      </c>
      <c r="B17" s="14" t="s">
        <v>13</v>
      </c>
      <c r="C17" s="15"/>
      <c r="D17" s="16">
        <v>2.89</v>
      </c>
      <c r="E17" s="15" t="s">
        <v>9</v>
      </c>
      <c r="F17" s="15" t="s">
        <v>11</v>
      </c>
      <c r="G17" s="16">
        <f>D17</f>
        <v>2.89</v>
      </c>
      <c r="H17" s="15" t="s">
        <v>9</v>
      </c>
      <c r="I17" s="3" t="s">
        <v>30</v>
      </c>
      <c r="J17" s="3">
        <f>G13+G15-G16-G17</f>
        <v>-10.012780139981441</v>
      </c>
      <c r="K17" s="3" t="s">
        <v>9</v>
      </c>
    </row>
    <row r="18" spans="1:14">
      <c r="A18" s="7" t="s">
        <v>28</v>
      </c>
      <c r="B18" s="7" t="s">
        <v>51</v>
      </c>
      <c r="C18" s="8"/>
      <c r="D18" s="9">
        <v>37.5</v>
      </c>
      <c r="E18" s="8" t="s">
        <v>9</v>
      </c>
      <c r="F18" s="8" t="s">
        <v>14</v>
      </c>
      <c r="G18" s="9">
        <f>D18</f>
        <v>37.5</v>
      </c>
      <c r="H18" s="8" t="s">
        <v>9</v>
      </c>
      <c r="I18" s="3" t="s">
        <v>31</v>
      </c>
      <c r="J18" s="23">
        <f>30-D18-2</f>
        <v>-9.5</v>
      </c>
      <c r="K18" s="3" t="s">
        <v>10</v>
      </c>
    </row>
    <row r="19" spans="1:14">
      <c r="B19" s="10" t="s">
        <v>58</v>
      </c>
      <c r="C19" s="13">
        <f>10^(D19/10)</f>
        <v>1.9952623149688797</v>
      </c>
      <c r="D19" s="12">
        <v>3</v>
      </c>
      <c r="E19" s="13" t="s">
        <v>9</v>
      </c>
      <c r="F19" s="13"/>
      <c r="G19" s="12"/>
      <c r="H19" s="13"/>
    </row>
    <row r="20" spans="1:14">
      <c r="A20" s="7" t="s">
        <v>36</v>
      </c>
      <c r="B20" s="7" t="s">
        <v>60</v>
      </c>
      <c r="C20" s="17">
        <f>10^(D20/10)</f>
        <v>560.68893560481706</v>
      </c>
      <c r="D20" s="9">
        <f>J21</f>
        <v>27.487219860018559</v>
      </c>
      <c r="E20" s="8" t="s">
        <v>10</v>
      </c>
      <c r="F20" s="8"/>
      <c r="G20" s="9"/>
      <c r="H20" s="8"/>
    </row>
    <row r="21" spans="1:14">
      <c r="A21" s="18" t="s">
        <v>37</v>
      </c>
      <c r="B21" s="10" t="s">
        <v>35</v>
      </c>
      <c r="C21" s="19">
        <f>C14*L16+L16*C6*C5*C7*(C19-1)*1000</f>
        <v>1.9786413066831537E-8</v>
      </c>
      <c r="D21" s="12">
        <f>10*LOG10(C21)</f>
        <v>-77.03632928707863</v>
      </c>
      <c r="E21" s="13" t="s">
        <v>10</v>
      </c>
      <c r="F21" s="13"/>
      <c r="G21" s="12"/>
      <c r="H21" s="13"/>
      <c r="I21" s="3" t="s">
        <v>59</v>
      </c>
      <c r="J21" s="3">
        <f>G13+G15-G16-G17+G18</f>
        <v>27.487219860018559</v>
      </c>
      <c r="K21" s="3" t="s">
        <v>10</v>
      </c>
    </row>
    <row r="22" spans="1:14">
      <c r="C22" s="1"/>
      <c r="D22" s="6"/>
      <c r="G22" s="6"/>
      <c r="J22" s="6">
        <f>J21-D15</f>
        <v>14</v>
      </c>
      <c r="K22" s="27" t="s">
        <v>10</v>
      </c>
    </row>
    <row r="24" spans="1:14">
      <c r="B24" s="24" t="s">
        <v>15</v>
      </c>
    </row>
    <row r="25" spans="1:14">
      <c r="A25" s="14" t="s">
        <v>16</v>
      </c>
      <c r="B25" s="14" t="s">
        <v>17</v>
      </c>
      <c r="C25" s="15"/>
      <c r="D25" s="16">
        <v>0.7</v>
      </c>
      <c r="E25" s="15" t="s">
        <v>9</v>
      </c>
      <c r="F25" s="15" t="s">
        <v>11</v>
      </c>
      <c r="G25" s="16">
        <f>D25</f>
        <v>0.7</v>
      </c>
      <c r="H25" s="15" t="s">
        <v>9</v>
      </c>
    </row>
    <row r="26" spans="1:14">
      <c r="A26" s="14" t="s">
        <v>27</v>
      </c>
      <c r="B26" s="14" t="s">
        <v>18</v>
      </c>
      <c r="C26" s="15"/>
      <c r="D26" s="16">
        <v>40</v>
      </c>
      <c r="E26" s="15" t="s">
        <v>9</v>
      </c>
      <c r="F26" s="15" t="s">
        <v>11</v>
      </c>
      <c r="G26" s="16">
        <v>80</v>
      </c>
      <c r="H26" s="15" t="s">
        <v>9</v>
      </c>
      <c r="K26">
        <f>-26.3+40+13.49</f>
        <v>27.189999999999998</v>
      </c>
    </row>
    <row r="27" spans="1:14">
      <c r="J27" s="6"/>
    </row>
    <row r="28" spans="1:14">
      <c r="D28" s="6"/>
      <c r="G28" s="6"/>
      <c r="I28">
        <v>20</v>
      </c>
      <c r="J28" s="6"/>
      <c r="K28">
        <v>-26.2</v>
      </c>
      <c r="L28">
        <f>K28+40-C10</f>
        <v>27.28721986001856</v>
      </c>
      <c r="M28">
        <f>-23.4</f>
        <v>-23.4</v>
      </c>
      <c r="N28">
        <f>M28-C10</f>
        <v>-9.9127801399814395</v>
      </c>
    </row>
    <row r="29" spans="1:14">
      <c r="B29" s="24" t="s">
        <v>19</v>
      </c>
      <c r="D29" s="6"/>
      <c r="G29" s="6"/>
      <c r="J29" s="6"/>
      <c r="K29" s="6"/>
    </row>
    <row r="30" spans="1:14">
      <c r="B30" s="10" t="s">
        <v>53</v>
      </c>
      <c r="C30" s="11">
        <f>C21*10^((-G25-G26)/10)+C5*C6*C7*1000</f>
        <v>3.2016016840968803E-10</v>
      </c>
      <c r="D30" s="12">
        <f>10*LOG10(C30)</f>
        <v>-94.946327002615277</v>
      </c>
      <c r="E30" s="13"/>
      <c r="F30" s="13"/>
      <c r="G30" s="12"/>
      <c r="H30" s="13"/>
      <c r="J30" s="6"/>
    </row>
    <row r="31" spans="1:14">
      <c r="A31" s="7" t="s">
        <v>20</v>
      </c>
      <c r="B31" s="7" t="s">
        <v>21</v>
      </c>
      <c r="C31" s="8"/>
      <c r="D31" s="9">
        <v>30</v>
      </c>
      <c r="E31" s="8" t="s">
        <v>9</v>
      </c>
      <c r="F31" s="8" t="s">
        <v>14</v>
      </c>
      <c r="G31" s="9">
        <f>D31</f>
        <v>30</v>
      </c>
      <c r="H31" s="8" t="s">
        <v>9</v>
      </c>
      <c r="I31" s="3" t="s">
        <v>30</v>
      </c>
      <c r="J31" s="3">
        <f>J21-G25-G26</f>
        <v>-53.21278013998144</v>
      </c>
      <c r="K31" s="3" t="s">
        <v>10</v>
      </c>
    </row>
    <row r="32" spans="1:14">
      <c r="B32" s="10" t="s">
        <v>54</v>
      </c>
      <c r="C32" s="13">
        <f>10^(D32/10)</f>
        <v>2.1379620895022322</v>
      </c>
      <c r="D32" s="12">
        <v>3.3</v>
      </c>
      <c r="E32" s="13" t="s">
        <v>9</v>
      </c>
      <c r="F32" s="13" t="s">
        <v>11</v>
      </c>
      <c r="G32" s="12">
        <f t="shared" ref="G32:G33" si="0">D32</f>
        <v>3.3</v>
      </c>
      <c r="H32" s="13" t="s">
        <v>9</v>
      </c>
      <c r="I32" s="3" t="s">
        <v>31</v>
      </c>
      <c r="J32" s="3">
        <f>18.3-33-1</f>
        <v>-15.7</v>
      </c>
      <c r="K32" s="3" t="s">
        <v>10</v>
      </c>
    </row>
    <row r="33" spans="1:12">
      <c r="A33" s="14" t="s">
        <v>22</v>
      </c>
      <c r="B33" s="14" t="s">
        <v>23</v>
      </c>
      <c r="C33" s="15"/>
      <c r="D33" s="16">
        <v>0.7</v>
      </c>
      <c r="E33" s="15" t="s">
        <v>9</v>
      </c>
      <c r="F33" s="15" t="s">
        <v>11</v>
      </c>
      <c r="G33" s="16">
        <f t="shared" si="0"/>
        <v>0.7</v>
      </c>
      <c r="H33" s="15" t="s">
        <v>9</v>
      </c>
      <c r="I33" s="20" t="s">
        <v>39</v>
      </c>
      <c r="J33" s="3">
        <f>G31-G33-G34</f>
        <v>9.6000000000000014</v>
      </c>
      <c r="K33" s="20" t="s">
        <v>9</v>
      </c>
      <c r="L33" s="20">
        <f>10^(J33/10)</f>
        <v>9.1201083935591036</v>
      </c>
    </row>
    <row r="34" spans="1:12">
      <c r="A34" s="14" t="s">
        <v>26</v>
      </c>
      <c r="B34" s="14" t="s">
        <v>24</v>
      </c>
      <c r="C34" s="15"/>
      <c r="D34" s="16">
        <v>19.7</v>
      </c>
      <c r="E34" s="15" t="s">
        <v>9</v>
      </c>
      <c r="F34" s="15" t="s">
        <v>11</v>
      </c>
      <c r="G34" s="16">
        <f>D34</f>
        <v>19.7</v>
      </c>
      <c r="H34" s="15" t="s">
        <v>9</v>
      </c>
    </row>
    <row r="35" spans="1:12">
      <c r="A35" s="7" t="s">
        <v>25</v>
      </c>
      <c r="B35" s="7" t="s">
        <v>55</v>
      </c>
      <c r="C35" s="8"/>
      <c r="D35" s="9"/>
      <c r="E35" s="8"/>
      <c r="F35" s="8"/>
      <c r="G35" s="9">
        <f>J21-G25-G26+G31-G33-G34</f>
        <v>-43.612780139981439</v>
      </c>
      <c r="H35" s="21" t="s">
        <v>10</v>
      </c>
      <c r="I35" s="3" t="s">
        <v>52</v>
      </c>
      <c r="J35" s="3">
        <f>-15</f>
        <v>-15</v>
      </c>
      <c r="K35" s="3" t="s">
        <v>10</v>
      </c>
    </row>
    <row r="36" spans="1:12">
      <c r="B36" s="10" t="s">
        <v>56</v>
      </c>
      <c r="C36" s="11">
        <f>C30*L33+C5*C6*C7*(C32-1)*1000</f>
        <v>3.2842253817715264E-9</v>
      </c>
      <c r="D36" s="12">
        <f>10*LOG10(C36)</f>
        <v>-84.835670468324338</v>
      </c>
      <c r="E36" s="13"/>
      <c r="F36" s="13"/>
      <c r="G36" s="13"/>
      <c r="H36" s="22"/>
      <c r="I36" s="3" t="s">
        <v>57</v>
      </c>
      <c r="J36" s="23">
        <f>J35-G35</f>
        <v>28.612780139981439</v>
      </c>
      <c r="K36" s="3" t="s">
        <v>9</v>
      </c>
    </row>
    <row r="37" spans="1:12">
      <c r="D37" s="6"/>
      <c r="I37" s="25"/>
      <c r="J37" s="25"/>
    </row>
    <row r="38" spans="1:12">
      <c r="A38" t="s">
        <v>32</v>
      </c>
      <c r="D38" s="6">
        <f>G35-D36</f>
        <v>41.222890328342899</v>
      </c>
      <c r="I38" s="25"/>
      <c r="J38" s="25"/>
    </row>
    <row r="39" spans="1:12">
      <c r="A39" t="s">
        <v>33</v>
      </c>
      <c r="D39" s="6">
        <v>20</v>
      </c>
      <c r="E39" t="s">
        <v>9</v>
      </c>
    </row>
    <row r="40" spans="1:12">
      <c r="A40" t="s">
        <v>34</v>
      </c>
      <c r="G40" s="6">
        <f>D38-D39</f>
        <v>21.222890328342899</v>
      </c>
    </row>
  </sheetData>
  <mergeCells count="1">
    <mergeCell ref="B1:D1"/>
  </mergeCells>
  <conditionalFormatting sqref="J17">
    <cfRule type="cellIs" dxfId="7" priority="4" operator="greaterThan">
      <formula>$J$18</formula>
    </cfRule>
  </conditionalFormatting>
  <conditionalFormatting sqref="G35">
    <cfRule type="cellIs" dxfId="6" priority="3" operator="greaterThan">
      <formula>$J$35</formula>
    </cfRule>
  </conditionalFormatting>
  <conditionalFormatting sqref="J31">
    <cfRule type="cellIs" dxfId="5" priority="1" operator="greaterThan">
      <formula>$J$32</formula>
    </cfRule>
    <cfRule type="cellIs" dxfId="4" priority="2" operator="greaterThan">
      <formula>$J$18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Setup_v2 04_13_2018</vt:lpstr>
      <vt:lpstr>New Setup</vt:lpstr>
      <vt:lpstr>Old 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Gomez Ponce</dc:creator>
  <cp:lastModifiedBy>Jorge Luis Gomez Ponce</cp:lastModifiedBy>
  <dcterms:created xsi:type="dcterms:W3CDTF">2018-02-12T19:42:49Z</dcterms:created>
  <dcterms:modified xsi:type="dcterms:W3CDTF">2018-08-03T21:40:08Z</dcterms:modified>
</cp:coreProperties>
</file>